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omments12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Segment - CES" sheetId="3"/>
    <sheet r:id="rId4" name="Segment - DPT" sheetId="4"/>
    <sheet r:id="rId5" name="Income Statement" sheetId="5"/>
    <sheet r:id="rId6" name="Balance Sheet" sheetId="6"/>
    <sheet r:id="rId7" name="Cash Flow Statement" sheetId="7"/>
    <sheet r:id="rId8" name="Geo" sheetId="8"/>
    <sheet r:id="rId9" name="Share Count" sheetId="9"/>
    <sheet r:id="rId10" name="Guidance" sheetId="10"/>
    <sheet r:id="rId11" name="Sources" sheetId="11"/>
    <sheet r:id="rId12" name="Inputs" sheetId="12"/>
  </sheets>
  <calcPr calcId="0" iterateCount="100" iterateDelta="0.001"/>
</workbook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28" authorId="0">
      <text>
        <r>
          <rPr>
            <sz val="9"/>
            <color rgb="FF000000"/>
            <rFont val="Arial"/>
            <family val="2"/>
          </rPr>
          <t>2025-ge-aerospace-segment-adjustment-supplemental-financials.pdf | Eliminations &amp; other Revised | (361)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2025-ge-aerospace-segment-adjustment-supplemental-financials.pdf | Eliminations &amp; other Revised | (473)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2025-ge-aerospace-segment-adjustment-supplemental-financials.pdf | Eliminations &amp; other Revised | (466)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2025-ge-aerospace-segment-adjustment-supplemental-financials.pdf | Eliminations &amp; other Revised | (522)</t>
        </r>
      </text>
    </comment>
    <comment ref="H28" authorId="0">
      <text>
        <r>
          <rPr>
            <sz val="9"/>
            <color rgb="FF000000"/>
            <rFont val="Arial"/>
            <family val="2"/>
          </rPr>
          <t>ge-20260331.htm (1Q26 10-Q) | Segment Operations / Note 23, 3M 2026 | (519)</t>
        </r>
      </text>
    </comment>
    <comment ref="I28" authorId="0">
      <text>
        <r>
          <rPr>
            <sz val="9"/>
            <color rgb="FF000000"/>
            <rFont val="Arial"/>
            <family val="2"/>
          </rPr>
          <t>ge-20260630.htm (2Q26 10-Q) | Segment Operations / Note 23, 3M 2026 | (540)</t>
        </r>
      </text>
    </comment>
    <comment ref="H37" authorId="0">
      <text>
        <r>
          <rPr>
            <sz val="9"/>
            <color rgb="FF000000"/>
            <rFont val="Arial"/>
            <family val="2"/>
          </rPr>
          <t>geaerospace_webcast_presentation_04212026.pdf | Eliminations &amp; other Equipment 1Q26 | (440)</t>
        </r>
      </text>
    </comment>
    <comment ref="I37" authorId="0">
      <text>
        <r>
          <rPr>
            <sz val="9"/>
            <color rgb="FF000000"/>
            <rFont val="Arial"/>
            <family val="2"/>
          </rPr>
          <t>geaerospace_webcast_presentation_07162026_2.pdf | Eliminations &amp; other Equipment 2Q26 | (439)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2025-ge-aerospace-segment-adjustment-supplemental-financials.pdf | Corporate cost and eliminations Revised | (89)</t>
        </r>
      </text>
    </comment>
    <comment ref="D92" authorId="0">
      <text>
        <r>
          <rPr>
            <sz val="9"/>
            <color rgb="FF000000"/>
            <rFont val="Arial"/>
            <family val="2"/>
          </rPr>
          <t>2025-ge-aerospace-segment-adjustment-supplemental-financials.pdf | Corporate cost and eliminations Revised | (274)</t>
        </r>
      </text>
    </comment>
    <comment ref="E92" authorId="0">
      <text>
        <r>
          <rPr>
            <sz val="9"/>
            <color rgb="FF000000"/>
            <rFont val="Arial"/>
            <family val="2"/>
          </rPr>
          <t>2025-ge-aerospace-segment-adjustment-supplemental-financials.pdf | Corporate cost and eliminations Revised | (525)</t>
        </r>
      </text>
    </comment>
    <comment ref="F92" authorId="0">
      <text>
        <r>
          <rPr>
            <sz val="9"/>
            <color rgb="FF000000"/>
            <rFont val="Arial"/>
            <family val="2"/>
          </rPr>
          <t>2025-ge-aerospace-segment-adjustment-supplemental-financials.pdf | Corporate cost and eliminations Revised | (187)</t>
        </r>
      </text>
    </comment>
    <comment ref="H92" authorId="0">
      <text>
        <r>
          <rPr>
            <sz val="9"/>
            <color rgb="FF000000"/>
            <rFont val="Arial"/>
            <family val="2"/>
          </rPr>
          <t>ge1q2026earningsrelease.htm | Corporate Cost &amp; Eliminations 1Q26 | (206)</t>
        </r>
      </text>
    </comment>
    <comment ref="I92" authorId="0">
      <text>
        <r>
          <rPr>
            <sz val="9"/>
            <color rgb="FF000000"/>
            <rFont val="Arial"/>
            <family val="2"/>
          </rPr>
          <t>ge2q2026earningsrelease.htm | Corporate Cost &amp; Eliminations 2Q26 | (386)</t>
        </r>
      </text>
    </comment>
    <comment ref="C104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1Q25 | 2,146</t>
        </r>
      </text>
    </comment>
    <comment ref="D104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2Q25 | 2,337</t>
        </r>
      </text>
    </comment>
    <comment ref="E104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3Q25 | 2,299</t>
        </r>
      </text>
    </comment>
    <comment ref="F104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4Q25 | 2,273</t>
        </r>
      </text>
    </comment>
    <comment ref="G104" authorId="0">
      <text>
        <r>
          <rPr>
            <sz val="9"/>
            <color rgb="FF000000"/>
            <rFont val="Arial"/>
            <family val="2"/>
          </rPr>
          <t>ge4q2025earningsrelease.htm | Operating Profit FY2025 | 9,055</t>
        </r>
      </text>
    </comment>
    <comment ref="H104" authorId="0">
      <text>
        <r>
          <rPr>
            <sz val="9"/>
            <color rgb="FF000000"/>
            <rFont val="Arial"/>
            <family val="2"/>
          </rPr>
          <t>geaerospace_webcast_presentation_04212026.pdf | Slide: First quarter adjusted reconciliation, 1Q26 | 2,528</t>
        </r>
      </text>
    </comment>
    <comment ref="I104" authorId="0">
      <text>
        <r>
          <rPr>
            <sz val="9"/>
            <color rgb="FF000000"/>
            <rFont val="Arial"/>
            <family val="2"/>
          </rPr>
          <t>geaerospace_webcast_presentation_07162026_2.pdf | Slide: Second quarter adjusted reconciliation, 2Q26 | 2,746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2025-ge-aerospace-segment-adjustment-supplemental-financials.pdf | Sales units CES Revised | 426</t>
        </r>
      </text>
    </comment>
    <comment ref="D10" authorId="0">
      <text>
        <r>
          <rPr>
            <sz val="9"/>
            <color rgb="FF000000"/>
            <rFont val="Arial"/>
            <family val="2"/>
          </rPr>
          <t>2025-ge-aerospace-segment-adjustment-supplemental-financials.pdf | Sales units CES Revised | 525</t>
        </r>
      </text>
    </comment>
    <comment ref="E10" authorId="0">
      <text>
        <r>
          <rPr>
            <sz val="9"/>
            <color rgb="FF000000"/>
            <rFont val="Arial"/>
            <family val="2"/>
          </rPr>
          <t>2025-ge-aerospace-segment-adjustment-supplemental-financials.pdf | Adjustments to segment structure, Revised | 641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2025-ge-aerospace-segment-adjustment-supplemental-financials.pdf | Adjustments to segment structure, Revised | 700</t>
        </r>
      </text>
    </comment>
    <comment ref="H10" authorId="0">
      <text>
        <r>
          <rPr>
            <sz val="9"/>
            <color rgb="FF000000"/>
            <rFont val="Arial"/>
            <family val="2"/>
          </rPr>
          <t>ge-20260331.htm (1Q26 10-Q) | Segment Operations / Note 23, 3M 2026 | 640</t>
        </r>
      </text>
    </comment>
    <comment ref="I10" authorId="0">
      <text>
        <r>
          <rPr>
            <sz val="9"/>
            <color rgb="FF000000"/>
            <rFont val="Arial"/>
            <family val="2"/>
          </rPr>
          <t>ge-20260630.htm (2Q26 10-Q) | Segment Operations / Note 23, 3M 2026 | 659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ge-20260331.htm (1Q26 10-Q) | LEAP Engines 3M 2025 | 319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ge-20260630.htm (2Q26 10-Q) | LEAP Engines 3M 2025 | 410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ge-20250930.htm (3Q25 10-Q) | LEAP Engines 3M 2025 | 511</t>
        </r>
      </text>
    </comment>
    <comment ref="G14" authorId="0">
      <text>
        <r>
          <rPr>
            <sz val="9"/>
            <color rgb="FF000000"/>
            <rFont val="Arial"/>
            <family val="2"/>
          </rPr>
          <t>ge-20251231.htm (FY25 10-K) | LEAP Engines 2025 | 1,802</t>
        </r>
      </text>
    </comment>
    <comment ref="H14" authorId="0">
      <text>
        <r>
          <rPr>
            <sz val="9"/>
            <color rgb="FF000000"/>
            <rFont val="Arial"/>
            <family val="2"/>
          </rPr>
          <t>ge-20260331.htm (1Q26 10-Q) | LEAP Engines 3M 2026 | 520</t>
        </r>
      </text>
    </comment>
    <comment ref="I14" authorId="0">
      <text>
        <r>
          <rPr>
            <sz val="9"/>
            <color rgb="FF000000"/>
            <rFont val="Arial"/>
            <family val="2"/>
          </rPr>
          <t>ge-20260630.htm (2Q26 10-Q) | LEAP Engines 3M 2026 | 510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2025-ge-aerospace-segment-adjustment-supplemental-financials.pdf | CES Equipment Revised | 1,749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2025-ge-aerospace-segment-adjustment-supplemental-financials.pdf | CES Equipment Revised | 1,765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2025-ge-aerospace-segment-adjustment-supplemental-financials.pdf | CES Equipment Revised | 1,892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2025-ge-aerospace-segment-adjustment-supplemental-financials.pdf | CES Equipment Revised | 2,292</t>
        </r>
      </text>
    </comment>
    <comment ref="H28" authorId="0">
      <text>
        <r>
          <rPr>
            <sz val="9"/>
            <color rgb="FF000000"/>
            <rFont val="Arial"/>
            <family val="2"/>
          </rPr>
          <t>ge-20260331.htm (1Q26 10-Q) | Segment Operations / Note 23, 3M 2026 | 2,102</t>
        </r>
      </text>
    </comment>
    <comment ref="I28" authorId="0">
      <text>
        <r>
          <rPr>
            <sz val="9"/>
            <color rgb="FF000000"/>
            <rFont val="Arial"/>
            <family val="2"/>
          </rPr>
          <t>ge-20260630.htm (2Q26 10-Q) | Segment Operations / Note 23, 3M 2026 | 2,297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ge-20260331.htm (1Q26 10-Q) | Internal shop visit revenue growth % 2025 | 11%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ge-20260630.htm (2Q26 10-Q) | Internal shop visit revenue growth % 2025 | 22%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ge-20250930.htm (3Q25 10-Q) | Internal shop visit revenue growth % 2025 | 33%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ge4q2025earningsrelease.htm | internal shop visit revenue up 30% | 30%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ge-20251231.htm (FY25 10-K) | Internal shop visit revenue growth % 2025 | 24%</t>
        </r>
      </text>
    </comment>
    <comment ref="H35" authorId="0">
      <text>
        <r>
          <rPr>
            <sz val="9"/>
            <color rgb="FF000000"/>
            <rFont val="Arial"/>
            <family val="2"/>
          </rPr>
          <t>ge-20260331.htm (1Q26 10-Q) | Internal shop visit revenue growth % 2026 | 35%</t>
        </r>
      </text>
    </comment>
    <comment ref="I35" authorId="0">
      <text>
        <r>
          <rPr>
            <sz val="9"/>
            <color rgb="FF000000"/>
            <rFont val="Arial"/>
            <family val="2"/>
          </rPr>
          <t>ge-20260630.htm (2Q26 10-Q) | Internal shop visit revenue growth % 2026 | 25%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2025-ge-aerospace-segment-adjustment-supplemental-financials.pdf | CES Services Revised | 4,915</t>
        </r>
      </text>
    </comment>
    <comment ref="D40" authorId="0">
      <text>
        <r>
          <rPr>
            <sz val="9"/>
            <color rgb="FF000000"/>
            <rFont val="Arial"/>
            <family val="2"/>
          </rPr>
          <t>2025-ge-aerospace-segment-adjustment-supplemental-financials.pdf | CES Services Revised | 5,881</t>
        </r>
      </text>
    </comment>
    <comment ref="E40" authorId="0">
      <text>
        <r>
          <rPr>
            <sz val="9"/>
            <color rgb="FF000000"/>
            <rFont val="Arial"/>
            <family val="2"/>
          </rPr>
          <t>2025-ge-aerospace-segment-adjustment-supplemental-financials.pdf | CES Services Revised | 6,629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2025-ge-aerospace-segment-adjustment-supplemental-financials.pdf | CES Services Revised | 6,826</t>
        </r>
      </text>
    </comment>
    <comment ref="H40" authorId="0">
      <text>
        <r>
          <rPr>
            <sz val="9"/>
            <color rgb="FF000000"/>
            <rFont val="Arial"/>
            <family val="2"/>
          </rPr>
          <t>ge-20260331.htm (1Q26 10-Q) | Segment Operations / Note 23, 3M 2026 | 6,817</t>
        </r>
      </text>
    </comment>
    <comment ref="I40" authorId="0">
      <text>
        <r>
          <rPr>
            <sz val="9"/>
            <color rgb="FF000000"/>
            <rFont val="Arial"/>
            <family val="2"/>
          </rPr>
          <t>ge-20260630.htm (2Q26 10-Q) | Segment Operations / Note 23, 3M 2026 | 7,434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2025-ge-aerospace-segment-adjustment-supplemental-financials.pdf | Adjustments to segment structure, Revised | 6,663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2025-ge-aerospace-segment-adjustment-supplemental-financials.pdf | Adjustments to segment structure, Revised | 7,646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2025-ge-aerospace-segment-adjustment-supplemental-financials.pdf | Adjustments to segment structure, Revised | 8,521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2025-ge-aerospace-segment-adjustment-supplemental-financials.pdf | Adjustments to segment structure, Revised | 9,118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2025-ge-aerospace-segment-adjustment-supplemental-financials.pdf | CES 2025 Revised | 31,947</t>
        </r>
      </text>
    </comment>
    <comment ref="H56" authorId="0">
      <text>
        <r>
          <rPr>
            <sz val="9"/>
            <color rgb="FF000000"/>
            <rFont val="Arial"/>
            <family val="2"/>
          </rPr>
          <t>ge-20260331.htm (1Q26 10-Q) | Segment Operations / Note 23, 3M 2026 | 8,920</t>
        </r>
      </text>
    </comment>
    <comment ref="I56" authorId="0">
      <text>
        <r>
          <rPr>
            <sz val="9"/>
            <color rgb="FF000000"/>
            <rFont val="Arial"/>
            <family val="2"/>
          </rPr>
          <t>ge-20260630.htm (2Q26 10-Q) | Segment Operations / Note 23, 3M 2026 | 9,731</t>
        </r>
      </text>
    </comment>
    <comment ref="H59" authorId="0">
      <text>
        <r>
          <rPr>
            <sz val="9"/>
            <color rgb="FF000000"/>
            <rFont val="Arial"/>
            <family val="2"/>
          </rPr>
          <t>geaerospace_webcast_presentation_04212026.pdf | Orders CES Services 1Q26 | 9,777</t>
        </r>
      </text>
    </comment>
    <comment ref="I59" authorId="0">
      <text>
        <r>
          <rPr>
            <sz val="9"/>
            <color rgb="FF000000"/>
            <rFont val="Arial"/>
            <family val="2"/>
          </rPr>
          <t>geaerospace_webcast_presentation_07162026_2.pdf | Orders CES Services 2Q26 | 9,635</t>
        </r>
      </text>
    </comment>
    <comment ref="H62" authorId="0">
      <text>
        <r>
          <rPr>
            <sz val="9"/>
            <color rgb="FF000000"/>
            <rFont val="Arial"/>
            <family val="2"/>
          </rPr>
          <t>geaerospace_webcast_presentation_04212026.pdf | Orders CES Equipment 1Q26 | 7,554</t>
        </r>
      </text>
    </comment>
    <comment ref="I62" authorId="0">
      <text>
        <r>
          <rPr>
            <sz val="9"/>
            <color rgb="FF000000"/>
            <rFont val="Arial"/>
            <family val="2"/>
          </rPr>
          <t>geaerospace_webcast_presentation_07162026_2.pdf | Orders CES Equipment 2Q26 | 3,297</t>
        </r>
      </text>
    </comment>
    <comment ref="C65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Orders CES Revised | 8,988</t>
        </r>
      </text>
    </comment>
    <comment ref="D65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Orders CES Revised | 10,985</t>
        </r>
      </text>
    </comment>
    <comment ref="E65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Orders CES Revised | 9,645</t>
        </r>
      </text>
    </comment>
    <comment ref="F65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Orders CES Revised | 22,130</t>
        </r>
      </text>
    </comment>
    <comment ref="F73" authorId="0">
      <text>
        <r>
          <rPr>
            <sz val="9"/>
            <color rgb="FF000000"/>
            <rFont val="Arial"/>
            <family val="2"/>
          </rPr>
          <t>ge-20260630.htm (2Q26 10-Q) | CES RPO Equipment Dec 31 2025 | 9,773</t>
        </r>
      </text>
    </comment>
    <comment ref="H73" authorId="0">
      <text>
        <r>
          <rPr>
            <sz val="9"/>
            <color rgb="FF000000"/>
            <rFont val="Arial"/>
            <family val="2"/>
          </rPr>
          <t>ge-20260331.htm (1Q26 10-Q) | CES RPO Equipment Mar 31 2026 | 9,679</t>
        </r>
      </text>
    </comment>
    <comment ref="I73" authorId="0">
      <text>
        <r>
          <rPr>
            <sz val="9"/>
            <color rgb="FF000000"/>
            <rFont val="Arial"/>
            <family val="2"/>
          </rPr>
          <t>ge-20260630.htm (2Q26 10-Q) | CES RPO Equipment Jun 30 2026 | 9,618</t>
        </r>
      </text>
    </comment>
    <comment ref="F75" authorId="0">
      <text>
        <r>
          <rPr>
            <sz val="9"/>
            <color rgb="FF000000"/>
            <rFont val="Arial"/>
            <family val="2"/>
          </rPr>
          <t>ge-20260630.htm (2Q26 10-Q) | CES RPO Services Dec 31 2025 | 154,712</t>
        </r>
      </text>
    </comment>
    <comment ref="H75" authorId="0">
      <text>
        <r>
          <rPr>
            <sz val="9"/>
            <color rgb="FF000000"/>
            <rFont val="Arial"/>
            <family val="2"/>
          </rPr>
          <t>ge-20260331.htm (1Q26 10-Q) | CES RPO Services Mar 31 2026 | 171,376</t>
        </r>
      </text>
    </comment>
    <comment ref="I75" authorId="0">
      <text>
        <r>
          <rPr>
            <sz val="9"/>
            <color rgb="FF000000"/>
            <rFont val="Arial"/>
            <family val="2"/>
          </rPr>
          <t>ge-20260630.htm (2Q26 10-Q) | CES RPO Services Jun 30 2026 | 170,282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2025-ge-aerospace-segment-adjustment-supplemental-financials.pdf | RPO CES Revised | 148,810</t>
        </r>
      </text>
    </comment>
    <comment ref="D77" authorId="0">
      <text>
        <r>
          <rPr>
            <sz val="9"/>
            <color rgb="FF000000"/>
            <rFont val="Arial"/>
            <family val="2"/>
          </rPr>
          <t>2025-ge-aerospace-segment-adjustment-supplemental-financials.pdf | RPO CES Revised | 150,132</t>
        </r>
      </text>
    </comment>
    <comment ref="E77" authorId="0">
      <text>
        <r>
          <rPr>
            <sz val="9"/>
            <color rgb="FF000000"/>
            <rFont val="Arial"/>
            <family val="2"/>
          </rPr>
          <t>2025-ge-aerospace-segment-adjustment-supplemental-financials.pdf | RPO CES Revised | 151,975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Operating profit CES Revised | 1,910</t>
        </r>
      </text>
    </comment>
    <comment ref="D92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Operating profit CES Revised | 2,208</t>
        </r>
      </text>
    </comment>
    <comment ref="E92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Operating profit CES Revised | 2,384</t>
        </r>
      </text>
    </comment>
    <comment ref="F92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Operating profit CES Revised | 2,160</t>
        </r>
      </text>
    </comment>
    <comment ref="H92" authorId="0">
      <text>
        <r>
          <rPr>
            <sz val="9"/>
            <color rgb="FF000000"/>
            <rFont val="Arial"/>
            <family val="2"/>
          </rPr>
          <t>ge-20260331.htm (1Q26 10-Q) | Segment Operations / Note 23, 3M 2026 | 2,356</t>
        </r>
      </text>
    </comment>
    <comment ref="I92" authorId="0">
      <text>
        <r>
          <rPr>
            <sz val="9"/>
            <color rgb="FF000000"/>
            <rFont val="Arial"/>
            <family val="2"/>
          </rPr>
          <t>ge-20260630.htm (2Q26 10-Q) | Segment Operations / Note 23, 3M 2026 | 2,657</t>
        </r>
      </text>
    </comment>
    <comment ref="C99" authorId="0">
      <text>
        <r>
          <rPr>
            <sz val="9"/>
            <color rgb="FF000000"/>
            <rFont val="Arial"/>
            <family val="2"/>
          </rPr>
          <t>ge-20260331.htm (1Q26 10-Q) | Note 23 / Segment Operations, 3M 2025 recast comparative | 4,215</t>
        </r>
      </text>
    </comment>
    <comment ref="D99" authorId="0">
      <text>
        <r>
          <rPr>
            <sz val="9"/>
            <color rgb="FF000000"/>
            <rFont val="Arial"/>
            <family val="2"/>
          </rPr>
          <t>ge-20260630.htm (2Q26 10-Q) | Note 23 / Segment Operations, 3M 2025 recast comparative | 4,925</t>
        </r>
      </text>
    </comment>
    <comment ref="H99" authorId="0">
      <text>
        <r>
          <rPr>
            <sz val="9"/>
            <color rgb="FF000000"/>
            <rFont val="Arial"/>
            <family val="2"/>
          </rPr>
          <t>ge-20260331.htm (1Q26 10-Q) | Note 23 / Segment Operations, 3M 2026 | 5,890</t>
        </r>
      </text>
    </comment>
    <comment ref="I99" authorId="0">
      <text>
        <r>
          <rPr>
            <sz val="9"/>
            <color rgb="FF000000"/>
            <rFont val="Arial"/>
            <family val="2"/>
          </rPr>
          <t>ge-20260630.htm (2Q26 10-Q) | Note 23 / Segment Operations, 3M 2026 | 6,398</t>
        </r>
      </text>
    </comment>
    <comment ref="C103" authorId="0">
      <text>
        <r>
          <rPr>
            <sz val="9"/>
            <color rgb="FF000000"/>
            <rFont val="Arial"/>
            <family val="2"/>
          </rPr>
          <t>ge-20260331.htm (1Q26 10-Q) | Note 23 / Segment Operations, 3M 2025 recast comparative | 409</t>
        </r>
      </text>
    </comment>
    <comment ref="D103" authorId="0">
      <text>
        <r>
          <rPr>
            <sz val="9"/>
            <color rgb="FF000000"/>
            <rFont val="Arial"/>
            <family val="2"/>
          </rPr>
          <t>ge-20260630.htm (2Q26 10-Q) | Note 23 / Segment Operations, 3M 2025 recast comparative | 423</t>
        </r>
      </text>
    </comment>
    <comment ref="H103" authorId="0">
      <text>
        <r>
          <rPr>
            <sz val="9"/>
            <color rgb="FF000000"/>
            <rFont val="Arial"/>
            <family val="2"/>
          </rPr>
          <t>ge-20260331.htm (1Q26 10-Q) | Note 23 / Segment Operations, 3M 2026 | 496</t>
        </r>
      </text>
    </comment>
    <comment ref="I103" authorId="0">
      <text>
        <r>
          <rPr>
            <sz val="9"/>
            <color rgb="FF000000"/>
            <rFont val="Arial"/>
            <family val="2"/>
          </rPr>
          <t>ge-20260630.htm (2Q26 10-Q) | Note 23 / Segment Operations, 3M 2026 | 507</t>
        </r>
      </text>
    </comment>
    <comment ref="C107" authorId="0">
      <text>
        <r>
          <rPr>
            <sz val="9"/>
            <color rgb="FF000000"/>
            <rFont val="Arial"/>
            <family val="2"/>
          </rPr>
          <t>ge-20260331.htm (1Q26 10-Q) | Note 23 / Segment Operations, 3M 2025 recast comparative | 285</t>
        </r>
      </text>
    </comment>
    <comment ref="D107" authorId="0">
      <text>
        <r>
          <rPr>
            <sz val="9"/>
            <color rgb="FF000000"/>
            <rFont val="Arial"/>
            <family val="2"/>
          </rPr>
          <t>ge-20260630.htm (2Q26 10-Q) | Note 23 / Segment Operations, 3M 2025 recast comparative | 297</t>
        </r>
      </text>
    </comment>
    <comment ref="H107" authorId="0">
      <text>
        <r>
          <rPr>
            <sz val="9"/>
            <color rgb="FF000000"/>
            <rFont val="Arial"/>
            <family val="2"/>
          </rPr>
          <t>ge-20260331.htm (1Q26 10-Q) | Note 23 / Segment Operations, 3M 2026 | 349</t>
        </r>
      </text>
    </comment>
    <comment ref="I107" authorId="0">
      <text>
        <r>
          <rPr>
            <sz val="9"/>
            <color rgb="FF000000"/>
            <rFont val="Arial"/>
            <family val="2"/>
          </rPr>
          <t>ge-20260630.htm (2Q26 10-Q) | Note 23 / Segment Operations, 3M 2026 | 386</t>
        </r>
      </text>
    </comment>
    <comment ref="C111" authorId="0">
      <text>
        <r>
          <rPr>
            <sz val="9"/>
            <color rgb="FF000000"/>
            <rFont val="Arial"/>
            <family val="2"/>
          </rPr>
          <t>ge-20260331.htm (1Q26 10-Q) | Note 23 / Segment Operations, 3M 2025 recast comparative | (156)</t>
        </r>
      </text>
    </comment>
    <comment ref="D111" authorId="0">
      <text>
        <r>
          <rPr>
            <sz val="9"/>
            <color rgb="FF000000"/>
            <rFont val="Arial"/>
            <family val="2"/>
          </rPr>
          <t>ge-20260630.htm (2Q26 10-Q) | Note 23 / Segment Operations, 3M 2025 recast comparative | (207)</t>
        </r>
      </text>
    </comment>
    <comment ref="H111" authorId="0">
      <text>
        <r>
          <rPr>
            <sz val="9"/>
            <color rgb="FF000000"/>
            <rFont val="Arial"/>
            <family val="2"/>
          </rPr>
          <t>ge-20260331.htm (1Q26 10-Q) | Note 23 / Segment Operations, 3M 2026 | (171)</t>
        </r>
      </text>
    </comment>
    <comment ref="I111" authorId="0">
      <text>
        <r>
          <rPr>
            <sz val="9"/>
            <color rgb="FF000000"/>
            <rFont val="Arial"/>
            <family val="2"/>
          </rPr>
          <t>ge-20260630.htm (2Q26 10-Q) | Note 23 / Segment Operations, 3M 2026 | (218)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2025-ge-aerospace-segment-adjustment-supplemental-financials.pdf | Sales units DPT Revised | 149</t>
        </r>
      </text>
    </comment>
    <comment ref="D10" authorId="0">
      <text>
        <r>
          <rPr>
            <sz val="9"/>
            <color rgb="FF000000"/>
            <rFont val="Arial"/>
            <family val="2"/>
          </rPr>
          <t>2025-ge-aerospace-segment-adjustment-supplemental-financials.pdf | Sales units DPT Revised | 186</t>
        </r>
      </text>
    </comment>
    <comment ref="E10" authorId="0">
      <text>
        <r>
          <rPr>
            <sz val="9"/>
            <color rgb="FF000000"/>
            <rFont val="Arial"/>
            <family val="2"/>
          </rPr>
          <t>2025-ge-aerospace-segment-adjustment-supplemental-financials.pdf | Sales units DPT Revised | 195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2025-ge-aerospace-segment-adjustment-supplemental-financials.pdf | Sales units DPT Revised | 199</t>
        </r>
      </text>
    </comment>
    <comment ref="H10" authorId="0">
      <text>
        <r>
          <rPr>
            <sz val="9"/>
            <color rgb="FF000000"/>
            <rFont val="Arial"/>
            <family val="2"/>
          </rPr>
          <t>ge-20260331.htm (1Q26 10-Q) | Defense &amp; Systems engines 3M 2026 | 185</t>
        </r>
      </text>
    </comment>
    <comment ref="I10" authorId="0">
      <text>
        <r>
          <rPr>
            <sz val="9"/>
            <color rgb="FF000000"/>
            <rFont val="Arial"/>
            <family val="2"/>
          </rPr>
          <t>ge-20260630.htm (2Q26 10-Q) | Defense &amp; Systems engines 3M 2026 | 199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ge-20260331.htm (1Q26 10-Q) | Note 23 / Segment Operations, 3M 2025 recast comparative | 1,826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ge-20260630.htm (2Q26 10-Q) | Note 23 / Segment Operations, 3M 2025 recast comparative | 1,981</t>
        </r>
      </text>
    </comment>
    <comment ref="H18" authorId="0">
      <text>
        <r>
          <rPr>
            <sz val="9"/>
            <color rgb="FF000000"/>
            <rFont val="Arial"/>
            <family val="2"/>
          </rPr>
          <t>ge-20260331.htm (1Q26 10-Q) | Note 23 / Segment Operations, 3M 2026 | 2,090</t>
        </r>
      </text>
    </comment>
    <comment ref="I18" authorId="0">
      <text>
        <r>
          <rPr>
            <sz val="9"/>
            <color rgb="FF000000"/>
            <rFont val="Arial"/>
            <family val="2"/>
          </rPr>
          <t>ge-20260630.htm (2Q26 10-Q) | Note 23 / Segment Operations, 3M 2026 | 2,213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ge-20260331.htm (1Q26 10-Q) | Note 23 / Segment Operations, 3M 2025 recast comparative | 872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ge-20260630.htm (2Q26 10-Q) | Note 23 / Segment Operations, 3M 2025 recast comparative | 997</t>
        </r>
      </text>
    </comment>
    <comment ref="H24" authorId="0">
      <text>
        <r>
          <rPr>
            <sz val="9"/>
            <color rgb="FF000000"/>
            <rFont val="Arial"/>
            <family val="2"/>
          </rPr>
          <t>ge-20260331.htm (1Q26 10-Q) | Note 23 / Segment Operations, 3M 2026 | 1,124</t>
        </r>
      </text>
    </comment>
    <comment ref="I24" authorId="0">
      <text>
        <r>
          <rPr>
            <sz val="9"/>
            <color rgb="FF000000"/>
            <rFont val="Arial"/>
            <family val="2"/>
          </rPr>
          <t>ge-20260630.htm (2Q26 10-Q) | Note 23 / Segment Operations, 3M 2026 | 1,230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2025-ge-aerospace-segment-adjustment-supplemental-financials.pdf | Adjustments to segment structure, Revised | 2,698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2025-ge-aerospace-segment-adjustment-supplemental-financials.pdf | Adjustments to segment structure, Revised | 2,978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2025-ge-aerospace-segment-adjustment-supplemental-financials.pdf | Adjustments to segment structure, Revised | 3,251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2025-ge-aerospace-segment-adjustment-supplemental-financials.pdf | Adjustments to segment structure, Revised | 3,270</t>
        </r>
      </text>
    </comment>
    <comment ref="G37" authorId="0">
      <text>
        <r>
          <rPr>
            <sz val="9"/>
            <color rgb="FF000000"/>
            <rFont val="Arial"/>
            <family val="2"/>
          </rPr>
          <t>2025-ge-aerospace-segment-adjustment-supplemental-financials.pdf | DPT 2025 Revised | 12,197</t>
        </r>
      </text>
    </comment>
    <comment ref="H37" authorId="0">
      <text>
        <r>
          <rPr>
            <sz val="9"/>
            <color rgb="FF000000"/>
            <rFont val="Arial"/>
            <family val="2"/>
          </rPr>
          <t>ge-20260331.htm (1Q26 10-Q) | Segment Operations / Note 23, 3M 2026 | 3,214</t>
        </r>
      </text>
    </comment>
    <comment ref="I37" authorId="0">
      <text>
        <r>
          <rPr>
            <sz val="9"/>
            <color rgb="FF000000"/>
            <rFont val="Arial"/>
            <family val="2"/>
          </rPr>
          <t>ge-20260630.htm (2Q26 10-Q) | Segment Operations / Note 23, 3M 2026 | 3,443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ge-20260331.htm (1Q26 10-Q) | Note 23 / Segment Operations, 3M 2025 recast comparative | 1,223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ge-20260630.htm (2Q26 10-Q) | Note 23 / Segment Operations, 3M 2025 recast comparative | 1,469</t>
        </r>
      </text>
    </comment>
    <comment ref="H43" authorId="0">
      <text>
        <r>
          <rPr>
            <sz val="9"/>
            <color rgb="FF000000"/>
            <rFont val="Arial"/>
            <family val="2"/>
          </rPr>
          <t>ge-20260331.htm (1Q26 10-Q) | Note 23 / Segment Operations, 3M 2026 | 1,605</t>
        </r>
      </text>
    </comment>
    <comment ref="I43" authorId="0">
      <text>
        <r>
          <rPr>
            <sz val="9"/>
            <color rgb="FF000000"/>
            <rFont val="Arial"/>
            <family val="2"/>
          </rPr>
          <t>ge-20260630.htm (2Q26 10-Q) | Note 23 / Segment Operations, 3M 2026 | 1,744</t>
        </r>
      </text>
    </comment>
    <comment ref="C49" authorId="0">
      <text>
        <r>
          <rPr>
            <sz val="9"/>
            <color rgb="FF000000"/>
            <rFont val="Arial"/>
            <family val="2"/>
          </rPr>
          <t>ge-20260331.htm (1Q26 10-Q) | Note 23 / Segment Operations, 3M 2025 recast comparative | 1,475</t>
        </r>
      </text>
    </comment>
    <comment ref="D49" authorId="0">
      <text>
        <r>
          <rPr>
            <sz val="9"/>
            <color rgb="FF000000"/>
            <rFont val="Arial"/>
            <family val="2"/>
          </rPr>
          <t>ge-20260630.htm (2Q26 10-Q) | Note 23 / Segment Operations, 3M 2025 recast comparative | 1,509</t>
        </r>
      </text>
    </comment>
    <comment ref="H49" authorId="0">
      <text>
        <r>
          <rPr>
            <sz val="9"/>
            <color rgb="FF000000"/>
            <rFont val="Arial"/>
            <family val="2"/>
          </rPr>
          <t>ge-20260331.htm (1Q26 10-Q) | Note 23 / Segment Operations, 3M 2026 | 1,608</t>
        </r>
      </text>
    </comment>
    <comment ref="I49" authorId="0">
      <text>
        <r>
          <rPr>
            <sz val="9"/>
            <color rgb="FF000000"/>
            <rFont val="Arial"/>
            <family val="2"/>
          </rPr>
          <t>ge-20260630.htm (2Q26 10-Q) | Note 23 / Segment Operations, 3M 2026 | 1,699</t>
        </r>
      </text>
    </comment>
    <comment ref="H59" authorId="0">
      <text>
        <r>
          <rPr>
            <sz val="9"/>
            <color rgb="FF000000"/>
            <rFont val="Arial"/>
            <family val="2"/>
          </rPr>
          <t>geaerospace_webcast_presentation_04212026.pdf | Orders DPT Services 1Q26 | 1,814</t>
        </r>
      </text>
    </comment>
    <comment ref="I59" authorId="0">
      <text>
        <r>
          <rPr>
            <sz val="9"/>
            <color rgb="FF000000"/>
            <rFont val="Arial"/>
            <family val="2"/>
          </rPr>
          <t>geaerospace_webcast_presentation_07162026_2.pdf | Orders DPT Services 2Q26 | 1,782</t>
        </r>
      </text>
    </comment>
    <comment ref="H62" authorId="0">
      <text>
        <r>
          <rPr>
            <sz val="9"/>
            <color rgb="FF000000"/>
            <rFont val="Arial"/>
            <family val="2"/>
          </rPr>
          <t>geaerospace_webcast_presentation_04212026.pdf | Orders DPT Equipment 1Q26 | 4,360</t>
        </r>
      </text>
    </comment>
    <comment ref="I62" authorId="0">
      <text>
        <r>
          <rPr>
            <sz val="9"/>
            <color rgb="FF000000"/>
            <rFont val="Arial"/>
            <family val="2"/>
          </rPr>
          <t>geaerospace_webcast_presentation_07162026_2.pdf | Orders DPT Equipment 2Q26 | 2,356</t>
        </r>
      </text>
    </comment>
    <comment ref="C65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Orders DPT Revised | 3,693</t>
        </r>
      </text>
    </comment>
    <comment ref="D65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Orders DPT Revised | 3,679</t>
        </r>
      </text>
    </comment>
    <comment ref="E65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Orders DPT Revised | 3,607</t>
        </r>
      </text>
    </comment>
    <comment ref="F65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Orders DPT Revised | 5,372</t>
        </r>
      </text>
    </comment>
    <comment ref="F73" authorId="0">
      <text>
        <r>
          <rPr>
            <sz val="9"/>
            <color rgb="FF000000"/>
            <rFont val="Arial"/>
            <family val="2"/>
          </rPr>
          <t>ge-20260630.htm (2Q26 10-Q) | DPT RPO Equipment Dec 31 2025 | 17,762</t>
        </r>
      </text>
    </comment>
    <comment ref="H73" authorId="0">
      <text>
        <r>
          <rPr>
            <sz val="9"/>
            <color rgb="FF000000"/>
            <rFont val="Arial"/>
            <family val="2"/>
          </rPr>
          <t>ge-20260331.htm (1Q26 10-Q) | DPT RPO Equipment Mar 31 2026 | 21,711</t>
        </r>
      </text>
    </comment>
    <comment ref="I73" authorId="0">
      <text>
        <r>
          <rPr>
            <sz val="9"/>
            <color rgb="FF000000"/>
            <rFont val="Arial"/>
            <family val="2"/>
          </rPr>
          <t>ge-20260630.htm (2Q26 10-Q) | DPT RPO Equipment Jun 30 2026 | 22,467</t>
        </r>
      </text>
    </comment>
    <comment ref="F75" authorId="0">
      <text>
        <r>
          <rPr>
            <sz val="9"/>
            <color rgb="FF000000"/>
            <rFont val="Arial"/>
            <family val="2"/>
          </rPr>
          <t>ge-20260630.htm (2Q26 10-Q) | DPT RPO Services Dec 31 2025 | 8,094</t>
        </r>
      </text>
    </comment>
    <comment ref="H75" authorId="0">
      <text>
        <r>
          <rPr>
            <sz val="9"/>
            <color rgb="FF000000"/>
            <rFont val="Arial"/>
            <family val="2"/>
          </rPr>
          <t>ge-20260331.htm (1Q26 10-Q) | DPT RPO Services Mar 31 2026 | 8,316</t>
        </r>
      </text>
    </comment>
    <comment ref="I75" authorId="0">
      <text>
        <r>
          <rPr>
            <sz val="9"/>
            <color rgb="FF000000"/>
            <rFont val="Arial"/>
            <family val="2"/>
          </rPr>
          <t>ge-20260630.htm (2Q26 10-Q) | DPT RPO Services Jun 30 2026 | 8,197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2025-ge-aerospace-segment-adjustment-supplemental-financials.pdf | RPO DPT Revised | 23,600</t>
        </r>
      </text>
    </comment>
    <comment ref="D77" authorId="0">
      <text>
        <r>
          <rPr>
            <sz val="9"/>
            <color rgb="FF000000"/>
            <rFont val="Arial"/>
            <family val="2"/>
          </rPr>
          <t>2025-ge-aerospace-segment-adjustment-supplemental-financials.pdf | RPO DPT Revised | 24,069</t>
        </r>
      </text>
    </comment>
    <comment ref="E77" authorId="0">
      <text>
        <r>
          <rPr>
            <sz val="9"/>
            <color rgb="FF000000"/>
            <rFont val="Arial"/>
            <family val="2"/>
          </rPr>
          <t>2025-ge-aerospace-segment-adjustment-supplemental-financials.pdf | RPO DPT Revised | 24,091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Operating profit DPT Revised | 325</t>
        </r>
      </text>
    </comment>
    <comment ref="D92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Operating profit DPT Revised | 403</t>
        </r>
      </text>
    </comment>
    <comment ref="E92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Operating profit DPT Revised | 440</t>
        </r>
      </text>
    </comment>
    <comment ref="F92" authorId="0">
      <text>
        <r>
          <rPr>
            <sz val="9"/>
            <color rgb="FF000000"/>
            <rFont val="Arial"/>
            <family val="2"/>
          </rPr>
          <t>2025-ge-aerospace-segment-adjustment-supplemental-financials.pdf | Operating profit DPT Revised | 300</t>
        </r>
      </text>
    </comment>
    <comment ref="H92" authorId="0">
      <text>
        <r>
          <rPr>
            <sz val="9"/>
            <color rgb="FF000000"/>
            <rFont val="Arial"/>
            <family val="2"/>
          </rPr>
          <t>ge-20260331.htm (1Q26 10-Q) | Segment Operations / Note 23, 3M 2026 | 379</t>
        </r>
      </text>
    </comment>
    <comment ref="I92" authorId="0">
      <text>
        <r>
          <rPr>
            <sz val="9"/>
            <color rgb="FF000000"/>
            <rFont val="Arial"/>
            <family val="2"/>
          </rPr>
          <t>ge-20260630.htm (2Q26 10-Q) | Segment Operations / Note 23, 3M 2026 | 475</t>
        </r>
      </text>
    </comment>
    <comment ref="C99" authorId="0">
      <text>
        <r>
          <rPr>
            <sz val="9"/>
            <color rgb="FF000000"/>
            <rFont val="Arial"/>
            <family val="2"/>
          </rPr>
          <t>ge-20260331.htm (1Q26 10-Q) | Note 23 / Segment Operations, 3M 2025 recast comparative | 2,053</t>
        </r>
      </text>
    </comment>
    <comment ref="D99" authorId="0">
      <text>
        <r>
          <rPr>
            <sz val="9"/>
            <color rgb="FF000000"/>
            <rFont val="Arial"/>
            <family val="2"/>
          </rPr>
          <t>ge-20260630.htm (2Q26 10-Q) | Note 23 / Segment Operations, 3M 2025 recast comparative | 2,244</t>
        </r>
      </text>
    </comment>
    <comment ref="H99" authorId="0">
      <text>
        <r>
          <rPr>
            <sz val="9"/>
            <color rgb="FF000000"/>
            <rFont val="Arial"/>
            <family val="2"/>
          </rPr>
          <t>ge-20260331.htm (1Q26 10-Q) | Note 23 / Segment Operations, 3M 2026 | 2,438</t>
        </r>
      </text>
    </comment>
    <comment ref="I99" authorId="0">
      <text>
        <r>
          <rPr>
            <sz val="9"/>
            <color rgb="FF000000"/>
            <rFont val="Arial"/>
            <family val="2"/>
          </rPr>
          <t>ge-20260630.htm (2Q26 10-Q) | Note 23 / Segment Operations, 3M 2026 | 2,580</t>
        </r>
      </text>
    </comment>
    <comment ref="C103" authorId="0">
      <text>
        <r>
          <rPr>
            <sz val="9"/>
            <color rgb="FF000000"/>
            <rFont val="Arial"/>
            <family val="2"/>
          </rPr>
          <t>ge-20260331.htm (1Q26 10-Q) | Note 23 / Segment Operations, 3M 2025 recast comparative | 259</t>
        </r>
      </text>
    </comment>
    <comment ref="D103" authorId="0">
      <text>
        <r>
          <rPr>
            <sz val="9"/>
            <color rgb="FF000000"/>
            <rFont val="Arial"/>
            <family val="2"/>
          </rPr>
          <t>ge-20260630.htm (2Q26 10-Q) | Note 23 / Segment Operations, 3M 2025 recast comparative | 271</t>
        </r>
      </text>
    </comment>
    <comment ref="H103" authorId="0">
      <text>
        <r>
          <rPr>
            <sz val="9"/>
            <color rgb="FF000000"/>
            <rFont val="Arial"/>
            <family val="2"/>
          </rPr>
          <t>ge-20260331.htm (1Q26 10-Q) | Note 23 / Segment Operations, 3M 2026 | 319</t>
        </r>
      </text>
    </comment>
    <comment ref="I103" authorId="0">
      <text>
        <r>
          <rPr>
            <sz val="9"/>
            <color rgb="FF000000"/>
            <rFont val="Arial"/>
            <family val="2"/>
          </rPr>
          <t>ge-20260630.htm (2Q26 10-Q) | Note 23 / Segment Operations, 3M 2026 | 307</t>
        </r>
      </text>
    </comment>
    <comment ref="C107" authorId="0">
      <text>
        <r>
          <rPr>
            <sz val="9"/>
            <color rgb="FF000000"/>
            <rFont val="Arial"/>
            <family val="2"/>
          </rPr>
          <t>ge-20260331.htm (1Q26 10-Q) | Note 23 / Segment Operations, 3M 2025 recast comparative | 72</t>
        </r>
      </text>
    </comment>
    <comment ref="D107" authorId="0">
      <text>
        <r>
          <rPr>
            <sz val="9"/>
            <color rgb="FF000000"/>
            <rFont val="Arial"/>
            <family val="2"/>
          </rPr>
          <t>ge-20260630.htm (2Q26 10-Q) | Note 23 / Segment Operations, 3M 2025 recast comparative | 72</t>
        </r>
      </text>
    </comment>
    <comment ref="H107" authorId="0">
      <text>
        <r>
          <rPr>
            <sz val="9"/>
            <color rgb="FF000000"/>
            <rFont val="Arial"/>
            <family val="2"/>
          </rPr>
          <t>ge-20260331.htm (1Q26 10-Q) | Note 23 / Segment Operations, 3M 2026 | 86</t>
        </r>
      </text>
    </comment>
    <comment ref="I107" authorId="0">
      <text>
        <r>
          <rPr>
            <sz val="9"/>
            <color rgb="FF000000"/>
            <rFont val="Arial"/>
            <family val="2"/>
          </rPr>
          <t>ge-20260630.htm (2Q26 10-Q) | Note 23 / Segment Operations, 3M 2026 | 88</t>
        </r>
      </text>
    </comment>
    <comment ref="C111" authorId="0">
      <text>
        <r>
          <rPr>
            <sz val="9"/>
            <color rgb="FF000000"/>
            <rFont val="Arial"/>
            <family val="2"/>
          </rPr>
          <t>ge-20260331.htm (1Q26 10-Q) | Note 23 / Segment Operations, 3M 2025 recast comparative | (11)</t>
        </r>
      </text>
    </comment>
    <comment ref="D111" authorId="0">
      <text>
        <r>
          <rPr>
            <sz val="9"/>
            <color rgb="FF000000"/>
            <rFont val="Arial"/>
            <family val="2"/>
          </rPr>
          <t>ge-20260630.htm (2Q26 10-Q) | Note 23 / Segment Operations, 3M 2025 recast comparative | (12)</t>
        </r>
      </text>
    </comment>
    <comment ref="H111" authorId="0">
      <text>
        <r>
          <rPr>
            <sz val="9"/>
            <color rgb="FF000000"/>
            <rFont val="Arial"/>
            <family val="2"/>
          </rPr>
          <t>ge-20260331.htm (1Q26 10-Q) | Note 23 / Segment Operations, 3M 2026 | (9)</t>
        </r>
      </text>
    </comment>
    <comment ref="I111" authorId="0">
      <text>
        <r>
          <rPr>
            <sz val="9"/>
            <color rgb="FF000000"/>
            <rFont val="Arial"/>
            <family val="2"/>
          </rPr>
          <t>ge-20260630.htm (2Q26 10-Q) | Note 23 / Segment Operations, 3M 2026 | (6)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2,653</t>
        </r>
      </text>
    </comment>
    <comment ref="D10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2,842</t>
        </r>
      </text>
    </comment>
    <comment ref="E10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3,163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3,500</t>
        </r>
      </text>
    </comment>
    <comment ref="H10" authorId="0">
      <text>
        <r>
          <rPr>
            <sz val="9"/>
            <color rgb="FF000000"/>
            <rFont val="Arial"/>
            <family val="2"/>
          </rPr>
          <t>ge-20260331.htm (1Q26 10-Q) | Statement of Operations, 3M 2026 | 3,268</t>
        </r>
      </text>
    </comment>
    <comment ref="I10" authorId="0">
      <text>
        <r>
          <rPr>
            <sz val="9"/>
            <color rgb="FF000000"/>
            <rFont val="Arial"/>
            <family val="2"/>
          </rPr>
          <t>ge-20260630.htm (2Q26 10-Q) | Statement of Operations, 3M 2026 | 3,602</t>
        </r>
      </text>
    </comment>
    <comment ref="C11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6,347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7,308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8,143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8,365</t>
        </r>
      </text>
    </comment>
    <comment ref="H11" authorId="0">
      <text>
        <r>
          <rPr>
            <sz val="9"/>
            <color rgb="FF000000"/>
            <rFont val="Arial"/>
            <family val="2"/>
          </rPr>
          <t>ge-20260331.htm (1Q26 10-Q) | Statement of Operations, 3M 2026 | 8,346</t>
        </r>
      </text>
    </comment>
    <comment ref="I11" authorId="0">
      <text>
        <r>
          <rPr>
            <sz val="9"/>
            <color rgb="FF000000"/>
            <rFont val="Arial"/>
            <family val="2"/>
          </rPr>
          <t>ge-20260630.htm (2Q26 10-Q) | Statement of Operations, 3M 2026 | 9,031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934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872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875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852</t>
        </r>
      </text>
    </comment>
    <comment ref="H12" authorId="0">
      <text>
        <r>
          <rPr>
            <sz val="9"/>
            <color rgb="FF000000"/>
            <rFont val="Arial"/>
            <family val="2"/>
          </rPr>
          <t>ge-20260331.htm (1Q26 10-Q) | Statement of Operations, 3M 2026 | 778</t>
        </r>
      </text>
    </comment>
    <comment ref="I12" authorId="0">
      <text>
        <r>
          <rPr>
            <sz val="9"/>
            <color rgb="FF000000"/>
            <rFont val="Arial"/>
            <family val="2"/>
          </rPr>
          <t>ge-20260630.htm (2Q26 10-Q) | Statement of Operations, 3M 2026 | 715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9,935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11,023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12,181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12,717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ge-20251231.htm (FY25 10-K) | Statement of Operations, FY2025 | 45,855</t>
        </r>
      </text>
    </comment>
    <comment ref="H18" authorId="0">
      <text>
        <r>
          <rPr>
            <sz val="9"/>
            <color rgb="FF000000"/>
            <rFont val="Arial"/>
            <family val="2"/>
          </rPr>
          <t>ge-20260331.htm (1Q26 10-Q) | Statement of Operations, 3M 2026 | 12,392</t>
        </r>
      </text>
    </comment>
    <comment ref="I18" authorId="0">
      <text>
        <r>
          <rPr>
            <sz val="9"/>
            <color rgb="FF000000"/>
            <rFont val="Arial"/>
            <family val="2"/>
          </rPr>
          <t>ge-20260630.htm (2Q26 10-Q) | Statement of Operations, 3M 2026 | 13,349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2,335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2,754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3,361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3,931</t>
        </r>
      </text>
    </comment>
    <comment ref="H20" authorId="0">
      <text>
        <r>
          <rPr>
            <sz val="9"/>
            <color rgb="FF000000"/>
            <rFont val="Arial"/>
            <family val="2"/>
          </rPr>
          <t>ge-20260331.htm (1Q26 10-Q) | Statement of Operations, 3M 2026 | 3,281</t>
        </r>
      </text>
    </comment>
    <comment ref="I20" authorId="0">
      <text>
        <r>
          <rPr>
            <sz val="9"/>
            <color rgb="FF000000"/>
            <rFont val="Arial"/>
            <family val="2"/>
          </rPr>
          <t>ge-20260630.htm (2Q26 10-Q) | Statement of Operations, 3M 2026 | 3,817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3,660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4,092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4,401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4,432</t>
        </r>
      </text>
    </comment>
    <comment ref="H21" authorId="0">
      <text>
        <r>
          <rPr>
            <sz val="9"/>
            <color rgb="FF000000"/>
            <rFont val="Arial"/>
            <family val="2"/>
          </rPr>
          <t>ge-20260331.htm (1Q26 10-Q) | Statement of Operations, 3M 2026 | 4,641</t>
        </r>
      </text>
    </comment>
    <comment ref="I21" authorId="0">
      <text>
        <r>
          <rPr>
            <sz val="9"/>
            <color rgb="FF000000"/>
            <rFont val="Arial"/>
            <family val="2"/>
          </rPr>
          <t>ge-20260630.htm (2Q26 10-Q) | Statement of Operations, 3M 2026 | 4,856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876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1,020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1,195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997</t>
        </r>
      </text>
    </comment>
    <comment ref="H26" authorId="0">
      <text>
        <r>
          <rPr>
            <sz val="9"/>
            <color rgb="FF000000"/>
            <rFont val="Arial"/>
            <family val="2"/>
          </rPr>
          <t>ge-20260331.htm (1Q26 10-Q) | Statement of Operations, 3M 2026 | 1,084</t>
        </r>
      </text>
    </comment>
    <comment ref="I26" authorId="0">
      <text>
        <r>
          <rPr>
            <sz val="9"/>
            <color rgb="FF000000"/>
            <rFont val="Arial"/>
            <family val="2"/>
          </rPr>
          <t>ge-20260630.htm (2Q26 10-Q) | Statement of Operations, 3M 2026 | 1,131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51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47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53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52</t>
        </r>
      </text>
    </comment>
    <comment ref="H32" authorId="0">
      <text>
        <r>
          <rPr>
            <sz val="9"/>
            <color rgb="FF000000"/>
            <rFont val="Arial"/>
            <family val="2"/>
          </rPr>
          <t>ge-20260331.htm (1Q26 10-Q) | Statement of Operations, 3M 2026 | 55</t>
        </r>
      </text>
    </comment>
    <comment ref="I32" authorId="0">
      <text>
        <r>
          <rPr>
            <sz val="9"/>
            <color rgb="FF000000"/>
            <rFont val="Arial"/>
            <family val="2"/>
          </rPr>
          <t>ge-20260630.htm (2Q26 10-Q) | Statement of Operations, 3M 2026 | 34</t>
        </r>
      </text>
    </comment>
    <comment ref="C33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359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359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415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448</t>
        </r>
      </text>
    </comment>
    <comment ref="H33" authorId="0">
      <text>
        <r>
          <rPr>
            <sz val="9"/>
            <color rgb="FF000000"/>
            <rFont val="Arial"/>
            <family val="2"/>
          </rPr>
          <t>ge-20260331.htm (1Q26 10-Q) | Statement of Operations, 3M 2026 | 440</t>
        </r>
      </text>
    </comment>
    <comment ref="I33" authorId="0">
      <text>
        <r>
          <rPr>
            <sz val="9"/>
            <color rgb="FF000000"/>
            <rFont val="Arial"/>
            <family val="2"/>
          </rPr>
          <t>ge-20260630.htm (2Q26 10-Q) | Statement of Operations, 3M 2026 | 460</t>
        </r>
      </text>
    </comment>
    <comment ref="C39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210</t>
        </r>
      </text>
    </comment>
    <comment ref="D39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158</t>
        </r>
      </text>
    </comment>
    <comment ref="E39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225</t>
        </r>
      </text>
    </comment>
    <comment ref="F39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250</t>
        </r>
      </text>
    </comment>
    <comment ref="H39" authorId="0">
      <text>
        <r>
          <rPr>
            <sz val="9"/>
            <color rgb="FF000000"/>
            <rFont val="Arial"/>
            <family val="2"/>
          </rPr>
          <t>ge-20260331.htm (1Q26 10-Q) | Statement of Operations, 3M 2026 | 230</t>
        </r>
      </text>
    </comment>
    <comment ref="I39" authorId="0">
      <text>
        <r>
          <rPr>
            <sz val="9"/>
            <color rgb="FF000000"/>
            <rFont val="Arial"/>
            <family val="2"/>
          </rPr>
          <t>ge-20260630.htm (2Q26 10-Q) | Statement of Operations, 3M 2026 | 215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701</t>
        </r>
      </text>
    </comment>
    <comment ref="D40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698</t>
        </r>
      </text>
    </comment>
    <comment ref="E40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500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550</t>
        </r>
      </text>
    </comment>
    <comment ref="H40" authorId="0">
      <text>
        <r>
          <rPr>
            <sz val="9"/>
            <color rgb="FF000000"/>
            <rFont val="Arial"/>
            <family val="2"/>
          </rPr>
          <t>ge-20260331.htm (1Q26 10-Q) | Statement of Operations, 3M 2026 | 624</t>
        </r>
      </text>
    </comment>
    <comment ref="I40" authorId="0">
      <text>
        <r>
          <rPr>
            <sz val="9"/>
            <color rgb="FF000000"/>
            <rFont val="Arial"/>
            <family val="2"/>
          </rPr>
          <t>ge-20260630.htm (2Q26 10-Q) | Statement of Operations, 3M 2026 | 524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(201)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(197)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(198)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(192)</t>
        </r>
      </text>
    </comment>
    <comment ref="H41" authorId="0">
      <text>
        <r>
          <rPr>
            <sz val="9"/>
            <color rgb="FF000000"/>
            <rFont val="Arial"/>
            <family val="2"/>
          </rPr>
          <t>ge-20260331.htm (1Q26 10-Q) | Statement of Operations, 3M 2026 | (176)</t>
        </r>
      </text>
    </comment>
    <comment ref="I41" authorId="0">
      <text>
        <r>
          <rPr>
            <sz val="9"/>
            <color rgb="FF000000"/>
            <rFont val="Arial"/>
            <family val="2"/>
          </rPr>
          <t>ge-20260630.htm (2Q26 10-Q) | Statement of Operations, 3M 2026 | (177)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302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298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285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602</t>
        </r>
      </text>
    </comment>
    <comment ref="H43" authorId="0">
      <text>
        <r>
          <rPr>
            <sz val="9"/>
            <color rgb="FF000000"/>
            <rFont val="Arial"/>
            <family val="2"/>
          </rPr>
          <t>ge-20260331.htm (1Q26 10-Q) | Statement of Operations, 3M 2026 | (16)</t>
        </r>
      </text>
    </comment>
    <comment ref="I43" authorId="0">
      <text>
        <r>
          <rPr>
            <sz val="9"/>
            <color rgb="FF000000"/>
            <rFont val="Arial"/>
            <family val="2"/>
          </rPr>
          <t>ge-20260630.htm (2Q26 10-Q) | Statement of Operations, 3M 2026 | 313</t>
        </r>
      </text>
    </comment>
    <comment ref="C49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2,245</t>
        </r>
      </text>
    </comment>
    <comment ref="D49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2,389</t>
        </r>
      </text>
    </comment>
    <comment ref="E49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2,515</t>
        </r>
      </text>
    </comment>
    <comment ref="F49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2,851</t>
        </r>
      </text>
    </comment>
    <comment ref="G49" authorId="0">
      <text>
        <r>
          <rPr>
            <sz val="9"/>
            <color rgb="FF000000"/>
            <rFont val="Arial"/>
            <family val="2"/>
          </rPr>
          <t>ge-20251231.htm (FY25 10-K) | Statement of Operations, FY2025 | 10,000</t>
        </r>
      </text>
    </comment>
    <comment ref="H49" authorId="0">
      <text>
        <r>
          <rPr>
            <sz val="9"/>
            <color rgb="FF000000"/>
            <rFont val="Arial"/>
            <family val="2"/>
          </rPr>
          <t>ge-20260331.htm (1Q26 10-Q) | Statement of Operations, 3M 2026 | 2,198</t>
        </r>
      </text>
    </comment>
    <comment ref="I49" authorId="0">
      <text>
        <r>
          <rPr>
            <sz val="9"/>
            <color rgb="FF000000"/>
            <rFont val="Arial"/>
            <family val="2"/>
          </rPr>
          <t>ge-20260630.htm (2Q26 10-Q) | Statement of Operations, 3M 2026 | 2,801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(283)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(388)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(344)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(390)</t>
        </r>
      </text>
    </comment>
    <comment ref="H51" authorId="0">
      <text>
        <r>
          <rPr>
            <sz val="9"/>
            <color rgb="FF000000"/>
            <rFont val="Arial"/>
            <family val="2"/>
          </rPr>
          <t>ge-20260331.htm (1Q26 10-Q) | Statement of Operations, 3M 2026 | (252)</t>
        </r>
      </text>
    </comment>
    <comment ref="I51" authorId="0">
      <text>
        <r>
          <rPr>
            <sz val="9"/>
            <color rgb="FF000000"/>
            <rFont val="Arial"/>
            <family val="2"/>
          </rPr>
          <t>ge-20260630.htm (2Q26 10-Q) | Statement of Operations, 3M 2026 | (407)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10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21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(17)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89</t>
        </r>
      </text>
    </comment>
    <comment ref="H56" authorId="0">
      <text>
        <r>
          <rPr>
            <sz val="9"/>
            <color rgb="FF000000"/>
            <rFont val="Arial"/>
            <family val="2"/>
          </rPr>
          <t>ge-20260331.htm (1Q26 10-Q) | Statement of Operations, 3M 2026 | (26)</t>
        </r>
      </text>
    </comment>
    <comment ref="I56" authorId="0">
      <text>
        <r>
          <rPr>
            <sz val="9"/>
            <color rgb="FF000000"/>
            <rFont val="Arial"/>
            <family val="2"/>
          </rPr>
          <t>ge-20260630.htm (2Q26 10-Q) | Statement of Operations, 3M 2026 | (38)</t>
        </r>
      </text>
    </comment>
    <comment ref="C58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(5)</t>
        </r>
      </text>
    </comment>
    <comment ref="D58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(7)</t>
        </r>
      </text>
    </comment>
    <comment ref="E58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(3)</t>
        </r>
      </text>
    </comment>
    <comment ref="F58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10</t>
        </r>
      </text>
    </comment>
    <comment ref="H58" authorId="0">
      <text>
        <r>
          <rPr>
            <sz val="9"/>
            <color rgb="FF000000"/>
            <rFont val="Arial"/>
            <family val="2"/>
          </rPr>
          <t>ge-20260331.htm (1Q26 10-Q) | Statement of Operations, 3M 2026 | 16</t>
        </r>
      </text>
    </comment>
    <comment ref="I58" authorId="0">
      <text>
        <r>
          <rPr>
            <sz val="9"/>
            <color rgb="FF000000"/>
            <rFont val="Arial"/>
            <family val="2"/>
          </rPr>
          <t>ge-20260630.htm (2Q26 10-Q) | Statement of Operations, 3M 2026 | (13)</t>
        </r>
      </text>
    </comment>
    <comment ref="C64" authorId="0">
      <text>
        <r>
          <rPr>
            <sz val="9"/>
            <color rgb="FF000000"/>
            <rFont val="Arial"/>
            <family val="2"/>
          </rPr>
          <t>ge-20260331.htm (1Q26 10-Q) | Statement of Operations, 3M 2025 comparative | 1,978</t>
        </r>
      </text>
    </comment>
    <comment ref="D64" authorId="0">
      <text>
        <r>
          <rPr>
            <sz val="9"/>
            <color rgb="FF000000"/>
            <rFont val="Arial"/>
            <family val="2"/>
          </rPr>
          <t>ge-20260630.htm (2Q26 10-Q) | Statement of Operations, 3M 2025 comparative | 2,028</t>
        </r>
      </text>
    </comment>
    <comment ref="E64" authorId="0">
      <text>
        <r>
          <rPr>
            <sz val="9"/>
            <color rgb="FF000000"/>
            <rFont val="Arial"/>
            <family val="2"/>
          </rPr>
          <t>ge-20250930.htm (3Q25 10-Q) | Statement of Operations, three months ended Sep 30 2025 | 2,157</t>
        </r>
      </text>
    </comment>
    <comment ref="F64" authorId="0">
      <text>
        <r>
          <rPr>
            <sz val="9"/>
            <color rgb="FF000000"/>
            <rFont val="Arial"/>
            <family val="2"/>
          </rPr>
          <t>ge4q2025earningsrelease.htm | Statement of Operations (unaudited), three months ended Dec 31 2025 | 2,541</t>
        </r>
      </text>
    </comment>
    <comment ref="G64" authorId="0">
      <text>
        <r>
          <rPr>
            <sz val="9"/>
            <color rgb="FF000000"/>
            <rFont val="Arial"/>
            <family val="2"/>
          </rPr>
          <t>ge-20251231.htm (FY25 10-K) | Statement of Operations, FY2025 | 8,704</t>
        </r>
      </text>
    </comment>
    <comment ref="H64" authorId="0">
      <text>
        <r>
          <rPr>
            <sz val="9"/>
            <color rgb="FF000000"/>
            <rFont val="Arial"/>
            <family val="2"/>
          </rPr>
          <t>ge-20260331.htm (1Q26 10-Q) | Statement of Operations, 3M 2026 | 1,904</t>
        </r>
      </text>
    </comment>
    <comment ref="I64" authorId="0">
      <text>
        <r>
          <rPr>
            <sz val="9"/>
            <color rgb="FF000000"/>
            <rFont val="Arial"/>
            <family val="2"/>
          </rPr>
          <t>ge-20260630.htm (2Q26 10-Q) | Statement of Operations, 3M 2026 | 2,370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ge-20260331.htm (1Q26 10-Q) | Note 17 EPS information, 3M 2025 | 1,967</t>
        </r>
      </text>
    </comment>
    <comment ref="D67" authorId="0">
      <text>
        <r>
          <rPr>
            <sz val="9"/>
            <color rgb="FF000000"/>
            <rFont val="Arial"/>
            <family val="2"/>
          </rPr>
          <t>ge-20260630.htm (2Q26 10-Q) | Note 17 EPS information, 3M 2025 | 2,007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ge-20250930.htm (3Q25 10-Q) | Note 17 EPS information, 3M 2025 | 2,170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ge4q2025earningsrelease.htm | Net income (loss) from continuing operations (GAAP) 4Q25 | 2,452</t>
        </r>
      </text>
    </comment>
    <comment ref="H67" authorId="0">
      <text>
        <r>
          <rPr>
            <sz val="9"/>
            <color rgb="FF000000"/>
            <rFont val="Arial"/>
            <family val="2"/>
          </rPr>
          <t>ge-20260331.htm (1Q26 10-Q) | Note 17 EPS information, 3M 2026 | 1,930</t>
        </r>
      </text>
    </comment>
    <comment ref="I67" authorId="0">
      <text>
        <r>
          <rPr>
            <sz val="9"/>
            <color rgb="FF000000"/>
            <rFont val="Arial"/>
            <family val="2"/>
          </rPr>
          <t>ge-20260630.htm (2Q26 10-Q) | Note 17 EPS information, 3M 2026 | 2,405</t>
        </r>
      </text>
    </comment>
    <comment ref="C68" authorId="0">
      <text>
        <r>
          <rPr>
            <sz val="9"/>
            <color rgb="FF000000"/>
            <rFont val="Arial"/>
            <family val="2"/>
          </rPr>
          <t>ge-20260331.htm (1Q26 10-Q) | Note 17 EPS information, 3M 2025 | 1,967</t>
        </r>
      </text>
    </comment>
    <comment ref="D68" authorId="0">
      <text>
        <r>
          <rPr>
            <sz val="9"/>
            <color rgb="FF000000"/>
            <rFont val="Arial"/>
            <family val="2"/>
          </rPr>
          <t>ge-20260630.htm (2Q26 10-Q) | Note 17 EPS information, 3M 2025 | 2,008</t>
        </r>
      </text>
    </comment>
    <comment ref="E68" authorId="0">
      <text>
        <r>
          <rPr>
            <sz val="9"/>
            <color rgb="FF000000"/>
            <rFont val="Arial"/>
            <family val="2"/>
          </rPr>
          <t>ge-20250930.htm (3Q25 10-Q) | Note 17 EPS information, 3M 2025 | 2,174</t>
        </r>
      </text>
    </comment>
    <comment ref="G68" authorId="0">
      <text>
        <r>
          <rPr>
            <sz val="9"/>
            <color rgb="FF000000"/>
            <rFont val="Arial"/>
            <family val="2"/>
          </rPr>
          <t>ge-20251231.htm (FY25 10-K) | EPS details basic FY2025 | 8,601</t>
        </r>
      </text>
    </comment>
    <comment ref="H68" authorId="0">
      <text>
        <r>
          <rPr>
            <sz val="9"/>
            <color rgb="FF000000"/>
            <rFont val="Arial"/>
            <family val="2"/>
          </rPr>
          <t>ge-20260331.htm (1Q26 10-Q) | Note 17 EPS information, 3M 2026 | 1,930</t>
        </r>
      </text>
    </comment>
    <comment ref="I68" authorId="0">
      <text>
        <r>
          <rPr>
            <sz val="9"/>
            <color rgb="FF000000"/>
            <rFont val="Arial"/>
            <family val="2"/>
          </rPr>
          <t>ge-20260630.htm (2Q26 10-Q) | Note 17 EPS information, 3M 2026 | 2,408</t>
        </r>
      </text>
    </comment>
    <comment ref="C83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1Q25 | 204</t>
        </r>
      </text>
    </comment>
    <comment ref="D83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2Q25 | 152</t>
        </r>
      </text>
    </comment>
    <comment ref="E83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3Q25 | 219</t>
        </r>
      </text>
    </comment>
    <comment ref="F83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4Q25 | 241</t>
        </r>
      </text>
    </comment>
    <comment ref="H83" authorId="0">
      <text>
        <r>
          <rPr>
            <sz val="9"/>
            <color rgb="FF000000"/>
            <rFont val="Arial"/>
            <family val="2"/>
          </rPr>
          <t>geaerospace_webcast_presentation_04212026.pdf | Slide: First quarter adjusted reconciliation, 1Q26 | 225</t>
        </r>
      </text>
    </comment>
    <comment ref="I83" authorId="0">
      <text>
        <r>
          <rPr>
            <sz val="9"/>
            <color rgb="FF000000"/>
            <rFont val="Arial"/>
            <family val="2"/>
          </rPr>
          <t>geaerospace_webcast_presentation_07162026_2.pdf | Slide: Second quarter adjusted reconciliation, 2Q26 | 208</t>
        </r>
      </text>
    </comment>
    <comment ref="C87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1Q25 | 341</t>
        </r>
      </text>
    </comment>
    <comment ref="D87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2Q25 | 408</t>
        </r>
      </text>
    </comment>
    <comment ref="E87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3Q25 | 311</t>
        </r>
      </text>
    </comment>
    <comment ref="F87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4Q25 | 364</t>
        </r>
      </text>
    </comment>
    <comment ref="H87" authorId="0">
      <text>
        <r>
          <rPr>
            <sz val="9"/>
            <color rgb="FF000000"/>
            <rFont val="Arial"/>
            <family val="2"/>
          </rPr>
          <t>geaerospace_webcast_presentation_04212026.pdf | Slide: First quarter adjusted reconciliation, 1Q26 | 340</t>
        </r>
      </text>
    </comment>
    <comment ref="I87" authorId="0">
      <text>
        <r>
          <rPr>
            <sz val="9"/>
            <color rgb="FF000000"/>
            <rFont val="Arial"/>
            <family val="2"/>
          </rPr>
          <t>geaerospace_webcast_presentation_07162026_2.pdf | Slide: Second quarter adjusted reconciliation, 2Q26 | 422</t>
        </r>
      </text>
    </comment>
    <comment ref="C91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1Q25 | 0</t>
        </r>
      </text>
    </comment>
    <comment ref="D91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2Q25 | 0</t>
        </r>
      </text>
    </comment>
    <comment ref="E91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3Q25 | 5</t>
        </r>
      </text>
    </comment>
    <comment ref="F91" authorId="0">
      <text>
        <r>
          <rPr>
            <sz val="9"/>
            <color rgb="FF000000"/>
            <rFont val="Arial"/>
            <family val="2"/>
          </rPr>
          <t>geaerospace_webcast_presentation_01222026.pdf | Slide: 2025 operating profit and adjusted EPS details, 4Q25 | 0</t>
        </r>
      </text>
    </comment>
    <comment ref="H91" authorId="0">
      <text>
        <r>
          <rPr>
            <sz val="9"/>
            <color rgb="FF000000"/>
            <rFont val="Arial"/>
            <family val="2"/>
          </rPr>
          <t>geaerospace_webcast_presentation_04212026.pdf | Slide: First quarter adjusted reconciliation, 1Q26 | 0</t>
        </r>
      </text>
    </comment>
    <comment ref="I91" authorId="0">
      <text>
        <r>
          <rPr>
            <sz val="9"/>
            <color rgb="FF000000"/>
            <rFont val="Arial"/>
            <family val="2"/>
          </rPr>
          <t>geaerospace_webcast_presentation_07162026_2.pdf | Slide: Second quarter adjusted reconciliation, 2Q26 | 2</t>
        </r>
      </text>
    </comment>
    <comment ref="C100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1,601</t>
        </r>
      </text>
    </comment>
    <comment ref="D100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1,777</t>
        </r>
      </text>
    </comment>
    <comment ref="E100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1,764</t>
        </r>
      </text>
    </comment>
    <comment ref="F100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1,667</t>
        </r>
      </text>
    </comment>
    <comment ref="G100" authorId="0">
      <text>
        <r>
          <rPr>
            <sz val="9"/>
            <color rgb="FF000000"/>
            <rFont val="Arial"/>
            <family val="2"/>
          </rPr>
          <t>ge4q2025earningsrelease.htm | Adjusted net income (loss) (Non-GAAP) FY2025 | 6,812</t>
        </r>
      </text>
    </comment>
    <comment ref="H100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1,963</t>
        </r>
      </text>
    </comment>
    <comment ref="I100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2,114</t>
        </r>
      </text>
    </comment>
    <comment ref="C111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207</t>
        </r>
      </text>
    </comment>
    <comment ref="D111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149</t>
        </r>
      </text>
    </comment>
    <comment ref="E111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363</t>
        </r>
      </text>
    </comment>
    <comment ref="F111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282</t>
        </r>
      </text>
    </comment>
    <comment ref="H111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133</t>
        </r>
      </text>
    </comment>
    <comment ref="I111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173</t>
        </r>
      </text>
    </comment>
    <comment ref="C114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24</t>
        </r>
      </text>
    </comment>
    <comment ref="D114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(32)</t>
        </r>
      </text>
    </comment>
    <comment ref="E114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(77)</t>
        </r>
      </text>
    </comment>
    <comment ref="F114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(40)</t>
        </r>
      </text>
    </comment>
    <comment ref="H114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(28)</t>
        </r>
      </text>
    </comment>
    <comment ref="I114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(36)</t>
        </r>
      </text>
    </comment>
    <comment ref="C118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(55)</t>
        </r>
      </text>
    </comment>
    <comment ref="D118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(66)</t>
        </r>
      </text>
    </comment>
    <comment ref="E118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(60)</t>
        </r>
      </text>
    </comment>
    <comment ref="F118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(40)</t>
        </r>
      </text>
    </comment>
    <comment ref="H118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(67)</t>
        </r>
      </text>
    </comment>
    <comment ref="I118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(77)</t>
        </r>
      </text>
    </comment>
    <comment ref="C121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63</t>
        </r>
      </text>
    </comment>
    <comment ref="D121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77</t>
        </r>
      </text>
    </comment>
    <comment ref="E121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71</t>
        </r>
      </text>
    </comment>
    <comment ref="F121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47</t>
        </r>
      </text>
    </comment>
    <comment ref="H121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75</t>
        </r>
      </text>
    </comment>
    <comment ref="I121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86</t>
        </r>
      </text>
    </comment>
    <comment ref="C125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201</t>
        </r>
      </text>
    </comment>
    <comment ref="D125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197</t>
        </r>
      </text>
    </comment>
    <comment ref="E125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198</t>
        </r>
      </text>
    </comment>
    <comment ref="F125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192</t>
        </r>
      </text>
    </comment>
    <comment ref="H125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176</t>
        </r>
      </text>
    </comment>
    <comment ref="I125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177</t>
        </r>
      </text>
    </comment>
    <comment ref="C128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(42)</t>
        </r>
      </text>
    </comment>
    <comment ref="D128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(41)</t>
        </r>
      </text>
    </comment>
    <comment ref="E128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(42)</t>
        </r>
      </text>
    </comment>
    <comment ref="F128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(40)</t>
        </r>
      </text>
    </comment>
    <comment ref="H128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(37)</t>
        </r>
      </text>
    </comment>
    <comment ref="I128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(37)</t>
        </r>
      </text>
    </comment>
    <comment ref="C132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0</t>
        </r>
      </text>
    </comment>
    <comment ref="D132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0</t>
        </r>
      </text>
    </comment>
    <comment ref="E132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3</t>
        </r>
      </text>
    </comment>
    <comment ref="F132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2</t>
        </r>
      </text>
    </comment>
    <comment ref="H132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24</t>
        </r>
      </text>
    </comment>
    <comment ref="I132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0</t>
        </r>
      </text>
    </comment>
    <comment ref="C135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3</t>
        </r>
      </text>
    </comment>
    <comment ref="D135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0</t>
        </r>
      </text>
    </comment>
    <comment ref="E135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(1)</t>
        </r>
      </text>
    </comment>
    <comment ref="F135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0</t>
        </r>
      </text>
    </comment>
    <comment ref="H135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0</t>
        </r>
      </text>
    </comment>
    <comment ref="I135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0</t>
        </r>
      </text>
    </comment>
    <comment ref="C139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7</t>
        </r>
      </text>
    </comment>
    <comment ref="D139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3</t>
        </r>
      </text>
    </comment>
    <comment ref="E139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8</t>
        </r>
      </text>
    </comment>
    <comment ref="F139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294</t>
        </r>
      </text>
    </comment>
    <comment ref="H139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(309)</t>
        </r>
      </text>
    </comment>
    <comment ref="I139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65</t>
        </r>
      </text>
    </comment>
    <comment ref="C142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1</t>
        </r>
      </text>
    </comment>
    <comment ref="D142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0</t>
        </r>
      </text>
    </comment>
    <comment ref="E142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(1)</t>
        </r>
      </text>
    </comment>
    <comment ref="F142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(62)</t>
        </r>
      </text>
    </comment>
    <comment ref="H142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62</t>
        </r>
      </text>
    </comment>
    <comment ref="I142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(11)</t>
        </r>
      </text>
    </comment>
    <comment ref="C146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(1)</t>
        </r>
      </text>
    </comment>
    <comment ref="D146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(26)</t>
        </r>
      </text>
    </comment>
    <comment ref="E146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(22)</t>
        </r>
      </text>
    </comment>
    <comment ref="F146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136</t>
        </r>
      </text>
    </comment>
    <comment ref="H146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(24)</t>
        </r>
      </text>
    </comment>
    <comment ref="I146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(27)</t>
        </r>
      </text>
    </comment>
    <comment ref="C149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0</t>
        </r>
      </text>
    </comment>
    <comment ref="D149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5</t>
        </r>
      </text>
    </comment>
    <comment ref="E149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5</t>
        </r>
      </text>
    </comment>
    <comment ref="F149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(29)</t>
        </r>
      </text>
    </comment>
    <comment ref="H149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5</t>
        </r>
      </text>
    </comment>
    <comment ref="I149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6</t>
        </r>
      </text>
    </comment>
    <comment ref="C153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(51)</t>
        </r>
      </text>
    </comment>
    <comment ref="D153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(47)</t>
        </r>
      </text>
    </comment>
    <comment ref="E153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(53)</t>
        </r>
      </text>
    </comment>
    <comment ref="F153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(57)</t>
        </r>
      </text>
    </comment>
    <comment ref="H153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(56)</t>
        </r>
      </text>
    </comment>
    <comment ref="I153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(35)</t>
        </r>
      </text>
    </comment>
    <comment ref="C156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1Q25 comparative | 10</t>
        </r>
      </text>
    </comment>
    <comment ref="D156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2Q25 comparative | 10</t>
        </r>
      </text>
    </comment>
    <comment ref="E156" authorId="0">
      <text>
        <r>
          <rPr>
            <sz val="9"/>
            <color rgb="FF000000"/>
            <rFont val="Arial"/>
            <family val="2"/>
          </rPr>
          <t>ge3q2025earningsrelease.htm | Adjusted net income reconciliation, 3Q25 | 11</t>
        </r>
      </text>
    </comment>
    <comment ref="F156" authorId="0">
      <text>
        <r>
          <rPr>
            <sz val="9"/>
            <color rgb="FF000000"/>
            <rFont val="Arial"/>
            <family val="2"/>
          </rPr>
          <t>ge4q2025earningsrelease.htm | Adjusted net income reconciliation, 4Q25 | 98</t>
        </r>
      </text>
    </comment>
    <comment ref="H156" authorId="0">
      <text>
        <r>
          <rPr>
            <sz val="9"/>
            <color rgb="FF000000"/>
            <rFont val="Arial"/>
            <family val="2"/>
          </rPr>
          <t>ge1q2026earningsrelease.htm | Adjusted net income reconciliation, 1Q26 | 12</t>
        </r>
      </text>
    </comment>
    <comment ref="I156" authorId="0">
      <text>
        <r>
          <rPr>
            <sz val="9"/>
            <color rgb="FF000000"/>
            <rFont val="Arial"/>
            <family val="2"/>
          </rPr>
          <t>ge2q2026earningsrelease.htm | Adjusted net income reconciliation, 2Q26 | 8</t>
        </r>
      </text>
    </comment>
    <comment ref="C177" authorId="0">
      <text>
        <r>
          <rPr>
            <sz val="9"/>
            <color rgb="FF000000"/>
            <rFont val="Arial"/>
            <family val="2"/>
          </rPr>
          <t>ge1q2026earningsrelease.htm | Adjusted other income 1Q25 | 337</t>
        </r>
      </text>
    </comment>
    <comment ref="D177" authorId="0">
      <text>
        <r>
          <rPr>
            <sz val="9"/>
            <color rgb="FF000000"/>
            <rFont val="Arial"/>
            <family val="2"/>
          </rPr>
          <t>ge2q2026earningsrelease.htm | Adjusted other income 2Q25 | 347</t>
        </r>
      </text>
    </comment>
    <comment ref="E177" authorId="0">
      <text>
        <r>
          <rPr>
            <sz val="9"/>
            <color rgb="FF000000"/>
            <rFont val="Arial"/>
            <family val="2"/>
          </rPr>
          <t>ge3q2025earningsrelease.htm | Adjusted other income 3Q25 | 322</t>
        </r>
      </text>
    </comment>
    <comment ref="F177" authorId="0">
      <text>
        <r>
          <rPr>
            <sz val="9"/>
            <color rgb="FF000000"/>
            <rFont val="Arial"/>
            <family val="2"/>
          </rPr>
          <t>ge4q2025earningsrelease.htm | Adjusted other income 4Q25 | 333</t>
        </r>
      </text>
    </comment>
    <comment ref="H177" authorId="0">
      <text>
        <r>
          <rPr>
            <sz val="9"/>
            <color rgb="FF000000"/>
            <rFont val="Arial"/>
            <family val="2"/>
          </rPr>
          <t>ge1q2026earningsrelease.htm | Adjusted other income 1Q26 | 325</t>
        </r>
      </text>
    </comment>
    <comment ref="I177" authorId="0">
      <text>
        <r>
          <rPr>
            <sz val="9"/>
            <color rgb="FF000000"/>
            <rFont val="Arial"/>
            <family val="2"/>
          </rPr>
          <t>ge2q2026earningsrelease.htm | Adjusted other income 2Q26 | 314</t>
        </r>
      </text>
    </comment>
    <comment ref="C180" authorId="0">
      <text>
        <r>
          <rPr>
            <sz val="9"/>
            <color rgb="FF000000"/>
            <rFont val="Arial"/>
            <family val="2"/>
          </rPr>
          <t>ge1q2026earningsrelease.htm | Less: U.S. tax equity 1Q25 | (42)</t>
        </r>
      </text>
    </comment>
    <comment ref="D180" authorId="0">
      <text>
        <r>
          <rPr>
            <sz val="9"/>
            <color rgb="FF000000"/>
            <rFont val="Arial"/>
            <family val="2"/>
          </rPr>
          <t>ge2q2026earningsrelease.htm | Less: U.S. tax equity 2Q25 | (53)</t>
        </r>
      </text>
    </comment>
    <comment ref="E180" authorId="0">
      <text>
        <r>
          <rPr>
            <sz val="9"/>
            <color rgb="FF000000"/>
            <rFont val="Arial"/>
            <family val="2"/>
          </rPr>
          <t>ge3q2025earningsrelease.htm | Less: U.S. tax equity 3Q25 | (48)</t>
        </r>
      </text>
    </comment>
    <comment ref="F180" authorId="0">
      <text>
        <r>
          <rPr>
            <sz val="9"/>
            <color rgb="FF000000"/>
            <rFont val="Arial"/>
            <family val="2"/>
          </rPr>
          <t>ge4q2025earningsrelease.htm | Less: U.S. tax equity 4Q25 | (27)</t>
        </r>
      </text>
    </comment>
    <comment ref="H180" authorId="0">
      <text>
        <r>
          <rPr>
            <sz val="9"/>
            <color rgb="FF000000"/>
            <rFont val="Arial"/>
            <family val="2"/>
          </rPr>
          <t>ge1q2026earningsrelease.htm | Less: U.S. tax equity 1Q26 | (55)</t>
        </r>
      </text>
    </comment>
    <comment ref="I180" authorId="0">
      <text>
        <r>
          <rPr>
            <sz val="9"/>
            <color rgb="FF000000"/>
            <rFont val="Arial"/>
            <family val="2"/>
          </rPr>
          <t>ge2q2026earningsrelease.htm | Less: U.S. tax equity 2Q26 | (66)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12,405</t>
        </r>
      </text>
    </comment>
    <comment ref="D10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10,861</t>
        </r>
      </text>
    </comment>
    <comment ref="E10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12,501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12,392</t>
        </r>
      </text>
    </comment>
    <comment ref="H10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10,981</t>
        </r>
      </text>
    </comment>
    <comment ref="I10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9,345</t>
        </r>
      </text>
    </comment>
    <comment ref="C11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1,000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998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1,008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0</t>
        </r>
      </text>
    </comment>
    <comment ref="H11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0</t>
        </r>
      </text>
    </comment>
    <comment ref="I11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0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9,653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10,512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10,671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11,773</t>
        </r>
      </text>
    </comment>
    <comment ref="H12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12,466</t>
        </r>
      </text>
    </comment>
    <comment ref="I12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12,360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10,504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11,297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11,667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11,868</t>
        </r>
      </text>
    </comment>
    <comment ref="H13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12,367</t>
        </r>
      </text>
    </comment>
    <comment ref="I13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12,440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2,940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3,059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3,111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3,511</t>
        </r>
      </text>
    </comment>
    <comment ref="H14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3,439</t>
        </r>
      </text>
    </comment>
    <comment ref="I14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3,473</t>
        </r>
      </text>
    </comment>
    <comment ref="C15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1,073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1,073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1,116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1,052</t>
        </r>
      </text>
    </comment>
    <comment ref="H15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1,107</t>
        </r>
      </text>
    </comment>
    <comment ref="I15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2,078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38,010</t>
        </r>
      </text>
    </comment>
    <comment ref="D17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37,887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38,158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38,788</t>
        </r>
      </text>
    </comment>
    <comment ref="H17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38,193</t>
        </r>
      </text>
    </comment>
    <comment ref="I17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37,910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7,426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7,523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7,608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7,987</t>
        </r>
      </text>
    </comment>
    <comment ref="H18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7,973</t>
        </r>
      </text>
    </comment>
    <comment ref="I18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8,135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8,696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9,006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9,041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9,060</t>
        </r>
      </text>
    </comment>
    <comment ref="H19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9,003</t>
        </r>
      </text>
    </comment>
    <comment ref="I19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8,954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4,277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4,336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4,283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4,225</t>
        </r>
      </text>
    </comment>
    <comment ref="H20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4,151</t>
        </r>
      </text>
    </comment>
    <comment ref="I20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4,085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4,835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4,803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4,720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4,920</t>
        </r>
      </text>
    </comment>
    <comment ref="H21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4,966</t>
        </r>
      </text>
    </comment>
    <comment ref="I21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4,976</t>
        </r>
      </text>
    </comment>
    <comment ref="C22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14,453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15,002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15,558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15,277</t>
        </r>
      </text>
    </comment>
    <comment ref="H22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15,159</t>
        </r>
      </text>
    </comment>
    <comment ref="I22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15,469</t>
        </r>
      </text>
    </comment>
    <comment ref="C23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6,956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6,890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6,845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7,459</t>
        </r>
      </text>
    </comment>
    <comment ref="H23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6,973</t>
        </r>
      </text>
    </comment>
    <comment ref="I23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6,929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1,895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2,007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1,957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1,855</t>
        </r>
      </text>
    </comment>
    <comment ref="H24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1,666</t>
        </r>
      </text>
    </comment>
    <comment ref="I24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1,517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2,084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1,889</t>
        </r>
      </text>
    </comment>
    <comment ref="E27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2,067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1,686</t>
        </r>
      </text>
    </comment>
    <comment ref="H27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2,103</t>
        </r>
      </text>
    </comment>
    <comment ref="I27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2,000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8,625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9,495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9,485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10,078</t>
        </r>
      </text>
    </comment>
    <comment ref="H28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10,683</t>
        </r>
      </text>
    </comment>
    <comment ref="I28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10,822</t>
        </r>
      </text>
    </comment>
    <comment ref="C29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6,842</t>
        </r>
      </text>
    </comment>
    <comment ref="D29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7,026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6,982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7,662</t>
        </r>
      </text>
    </comment>
    <comment ref="H29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7,721</t>
        </r>
      </text>
    </comment>
    <comment ref="I29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7,937</t>
        </r>
      </text>
    </comment>
    <comment ref="C30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9,624</t>
        </r>
      </text>
    </comment>
    <comment ref="D30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9,738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9,852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10,333</t>
        </r>
      </text>
    </comment>
    <comment ref="H30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10,204</t>
        </r>
      </text>
    </comment>
    <comment ref="I30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10,159</t>
        </r>
      </text>
    </comment>
    <comment ref="C31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3,555</t>
        </r>
      </text>
    </comment>
    <comment ref="D31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3,923</t>
        </r>
      </text>
    </comment>
    <comment ref="E31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4,029</t>
        </r>
      </text>
    </comment>
    <comment ref="F31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4,037</t>
        </r>
      </text>
    </comment>
    <comment ref="H31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5,037</t>
        </r>
      </text>
    </comment>
    <comment ref="I31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4,993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4,211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4,395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4,788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5,185</t>
        </r>
      </text>
    </comment>
    <comment ref="H32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4,280</t>
        </r>
      </text>
    </comment>
    <comment ref="I32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4,518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1,054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1,040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1,081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1,065</t>
        </r>
      </text>
    </comment>
    <comment ref="H34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1,084</t>
        </r>
      </text>
    </comment>
    <comment ref="I34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1,070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17,487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16,998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18,771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18,808</t>
        </r>
      </text>
    </comment>
    <comment ref="H35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18,174</t>
        </r>
      </text>
    </comment>
    <comment ref="I35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17,157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36,424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36,745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37,153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36,894</t>
        </r>
      </text>
    </comment>
    <comment ref="H36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35,699</t>
        </r>
      </text>
    </comment>
    <comment ref="I36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36,195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6,872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6,796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6,725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6,833</t>
        </r>
      </text>
    </comment>
    <comment ref="H37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6,661</t>
        </r>
      </text>
    </comment>
    <comment ref="I37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6,537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6,538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6,504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6,999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7,276</t>
        </r>
      </text>
    </comment>
    <comment ref="H38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7,226</t>
        </r>
      </text>
    </comment>
    <comment ref="I38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7,273</t>
        </r>
      </text>
    </comment>
    <comment ref="C39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1,339</t>
        </r>
      </text>
    </comment>
    <comment ref="D39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1,362</t>
        </r>
      </text>
    </comment>
    <comment ref="E39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1,290</t>
        </r>
      </text>
    </comment>
    <comment ref="F39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1,413</t>
        </r>
      </text>
    </comment>
    <comment ref="H39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1,279</t>
        </r>
      </text>
    </comment>
    <comment ref="I39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1,144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15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15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15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15</t>
        </r>
      </text>
    </comment>
    <comment ref="H42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15</t>
        </r>
      </text>
    </comment>
    <comment ref="I42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15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(3,733)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(4,024)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(4,347)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(4,798)</t>
        </r>
      </text>
    </comment>
    <comment ref="H43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(4,486)</t>
        </r>
      </text>
    </comment>
    <comment ref="I43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(4,948)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23,912</t>
        </r>
      </text>
    </comment>
    <comment ref="D44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23,839</t>
        </r>
      </text>
    </comment>
    <comment ref="E44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23,645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23,599</t>
        </r>
      </text>
    </comment>
    <comment ref="H44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23,146</t>
        </r>
      </text>
    </comment>
    <comment ref="I44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23,074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82,081</t>
        </r>
      </text>
    </comment>
    <comment ref="D45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83,726</t>
        </r>
      </text>
    </comment>
    <comment ref="E45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85,502</t>
        </r>
      </text>
    </comment>
    <comment ref="F45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87,663</t>
        </r>
      </text>
    </comment>
    <comment ref="H45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89,073</t>
        </r>
      </text>
    </comment>
    <comment ref="I45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90,953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(83,024)</t>
        </r>
      </text>
    </comment>
    <comment ref="D46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(84,421)</t>
        </r>
      </text>
    </comment>
    <comment ref="E46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(86,002)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(87,801)</t>
        </r>
      </text>
    </comment>
    <comment ref="H46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(89,690)</t>
        </r>
      </text>
    </comment>
    <comment ref="I46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(91,454)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217</t>
        </r>
      </text>
    </comment>
    <comment ref="D48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210</t>
        </r>
      </text>
    </comment>
    <comment ref="E48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209</t>
        </r>
      </text>
    </comment>
    <comment ref="F48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221</t>
        </r>
      </text>
    </comment>
    <comment ref="H48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240</t>
        </r>
      </text>
    </comment>
    <comment ref="I48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227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124,123</t>
        </r>
      </text>
    </comment>
    <comment ref="D54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125,256</t>
        </r>
      </text>
    </comment>
    <comment ref="E54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128,243</t>
        </r>
      </text>
    </comment>
    <comment ref="F54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130,169</t>
        </r>
      </text>
    </comment>
    <comment ref="H54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128,445</t>
        </r>
      </text>
    </comment>
    <comment ref="I54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127,672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90" authorId="0">
      <text>
        <r>
          <rPr>
            <sz val="9"/>
            <color rgb="FF000000"/>
            <rFont val="Arial"/>
            <family val="2"/>
          </rPr>
          <t>ge-20250331.htm (1Q25 10-Q) | Excluded from cash ... $1.1 billion of cash in our run-off insurance operations | 1,100</t>
        </r>
      </text>
    </comment>
    <comment ref="D90" authorId="0">
      <text>
        <r>
          <rPr>
            <sz val="9"/>
            <color rgb="FF000000"/>
            <rFont val="Arial"/>
            <family val="2"/>
          </rPr>
          <t>ge-20250630.htm (2Q25 10-Q) | $1.2 billion of cash in our run-off insurance operations | 1,200</t>
        </r>
      </text>
    </comment>
    <comment ref="E90" authorId="0">
      <text>
        <r>
          <rPr>
            <sz val="9"/>
            <color rgb="FF000000"/>
            <rFont val="Arial"/>
            <family val="2"/>
          </rPr>
          <t>ge-20250930.htm (3Q25 10-Q) | $1.3 billion of cash in our run-off insurance operations | 1,300</t>
        </r>
      </text>
    </comment>
    <comment ref="F90" authorId="0">
      <text>
        <r>
          <rPr>
            <sz val="9"/>
            <color rgb="FF000000"/>
            <rFont val="Arial"/>
            <family val="2"/>
          </rPr>
          <t>ge-20251231.htm (FY25 10-K) | $1.3 billion of cash in our run-off insurance operations | 1,300</t>
        </r>
      </text>
    </comment>
    <comment ref="H90" authorId="0">
      <text>
        <r>
          <rPr>
            <sz val="9"/>
            <color rgb="FF000000"/>
            <rFont val="Arial"/>
            <family val="2"/>
          </rPr>
          <t>ge-20260331.htm (1Q26 10-Q) | $0.8 billion of cash in our run-off insurance operations | 800</t>
        </r>
      </text>
    </comment>
    <comment ref="I90" authorId="0">
      <text>
        <r>
          <rPr>
            <sz val="9"/>
            <color rgb="FF000000"/>
            <rFont val="Arial"/>
            <family val="2"/>
          </rPr>
          <t>ge-20260630.htm (2Q26 10-Q) | $1.2 billion of cash in our run-off insurance operations | 1,200</t>
        </r>
      </text>
    </comment>
    <comment ref="C99" authorId="0">
      <text>
        <r>
          <rPr>
            <sz val="9"/>
            <color rgb="FF000000"/>
            <rFont val="Arial"/>
            <family val="2"/>
          </rPr>
          <t>ge1q2026earningsrelease.htm | Free cash flow reconciliation, 1Q25 comparative | (76)</t>
        </r>
      </text>
    </comment>
    <comment ref="D99" authorId="0">
      <text>
        <r>
          <rPr>
            <sz val="9"/>
            <color rgb="FF000000"/>
            <rFont val="Arial"/>
            <family val="2"/>
          </rPr>
          <t>ge2q2026earningsrelease.htm | Free cash flow reconciliation, 2Q25 comparative | (70)</t>
        </r>
      </text>
    </comment>
    <comment ref="E99" authorId="0">
      <text>
        <r>
          <rPr>
            <sz val="9"/>
            <color rgb="FF000000"/>
            <rFont val="Arial"/>
            <family val="2"/>
          </rPr>
          <t>ge3q2025earningsrelease.htm | Free cash flow reconciliation, 3Q25 | (56)</t>
        </r>
      </text>
    </comment>
    <comment ref="F99" authorId="0">
      <text>
        <r>
          <rPr>
            <sz val="9"/>
            <color rgb="FF000000"/>
            <rFont val="Arial"/>
            <family val="2"/>
          </rPr>
          <t>ge4q2025earningsrelease.htm | Free cash flow reconciliation, 4Q25 | (43)</t>
        </r>
      </text>
    </comment>
    <comment ref="H99" authorId="0">
      <text>
        <r>
          <rPr>
            <sz val="9"/>
            <color rgb="FF000000"/>
            <rFont val="Arial"/>
            <family val="2"/>
          </rPr>
          <t>ge1q2026earningsrelease.htm | Free cash flow reconciliation, 1Q26 | (83)</t>
        </r>
      </text>
    </comment>
    <comment ref="I99" authorId="0">
      <text>
        <r>
          <rPr>
            <sz val="9"/>
            <color rgb="FF000000"/>
            <rFont val="Arial"/>
            <family val="2"/>
          </rPr>
          <t>ge2q2026earningsrelease.htm | Free cash flow reconciliation, 2Q26 | (33)</t>
        </r>
      </text>
    </comment>
    <comment ref="C102" authorId="0">
      <text>
        <r>
          <rPr>
            <sz val="9"/>
            <color rgb="FF000000"/>
            <rFont val="Arial"/>
            <family val="2"/>
          </rPr>
          <t>ge1q2026earningsrelease.htm | Free cash flow reconciliation, 1Q25 comparative | (31)</t>
        </r>
      </text>
    </comment>
    <comment ref="D102" authorId="0">
      <text>
        <r>
          <rPr>
            <sz val="9"/>
            <color rgb="FF000000"/>
            <rFont val="Arial"/>
            <family val="2"/>
          </rPr>
          <t>ge2q2026earningsrelease.htm | Free cash flow reconciliation, 2Q25 comparative | (14)</t>
        </r>
      </text>
    </comment>
    <comment ref="E102" authorId="0">
      <text>
        <r>
          <rPr>
            <sz val="9"/>
            <color rgb="FF000000"/>
            <rFont val="Arial"/>
            <family val="2"/>
          </rPr>
          <t>ge3q2025earningsrelease.htm | Free cash flow reconciliation, 3Q25 | (6)</t>
        </r>
      </text>
    </comment>
    <comment ref="F102" authorId="0">
      <text>
        <r>
          <rPr>
            <sz val="9"/>
            <color rgb="FF000000"/>
            <rFont val="Arial"/>
            <family val="2"/>
          </rPr>
          <t>ge4q2025earningsrelease.htm | Free cash flow reconciliation, 4Q25 | (5)</t>
        </r>
      </text>
    </comment>
    <comment ref="H102" authorId="0">
      <text>
        <r>
          <rPr>
            <sz val="9"/>
            <color rgb="FF000000"/>
            <rFont val="Arial"/>
            <family val="2"/>
          </rPr>
          <t>ge1q2026earningsrelease.htm | Free cash flow reconciliation, 1Q26 | (26)</t>
        </r>
      </text>
    </comment>
    <comment ref="I102" authorId="0">
      <text>
        <r>
          <rPr>
            <sz val="9"/>
            <color rgb="FF000000"/>
            <rFont val="Arial"/>
            <family val="2"/>
          </rPr>
          <t>ge2q2026earningsrelease.htm | Free cash flow reconciliation, 2Q26 | (26)</t>
        </r>
      </text>
    </comment>
    <comment ref="C108" authorId="0">
      <text>
        <r>
          <rPr>
            <sz val="9"/>
            <color rgb="FF000000"/>
            <rFont val="Arial"/>
            <family val="2"/>
          </rPr>
          <t>ge1q2026earningsrelease.htm | Free cash flow reconciliation, 1Q25 comparative | 1,451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ge2q2026earningsrelease.htm | Free cash flow reconciliation, 2Q25 comparative | 2,120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ge3q2025earningsrelease.htm | Free cash flow reconciliation, 3Q25 | 2,362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ge4q2025earningsrelease.htm | Free cash flow reconciliation, 4Q25 | 1,760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ge4q2025earningsrelease.htm | Free cash flow (FCF) (Non-GAAP) FY2025 | 7,694</t>
        </r>
      </text>
    </comment>
    <comment ref="H108" authorId="0">
      <text>
        <r>
          <rPr>
            <sz val="9"/>
            <color rgb="FF000000"/>
            <rFont val="Arial"/>
            <family val="2"/>
          </rPr>
          <t>ge1q2026earningsrelease.htm | Free cash flow reconciliation, 1Q26 | 1,658</t>
        </r>
      </text>
    </comment>
    <comment ref="I108" authorId="0">
      <text>
        <r>
          <rPr>
            <sz val="9"/>
            <color rgb="FF000000"/>
            <rFont val="Arial"/>
            <family val="2"/>
          </rPr>
          <t>ge2q2026earningsrelease.htm | Free cash flow reconciliation, 2Q26 | 3,027</t>
        </r>
      </text>
    </comment>
    <comment ref="C114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1,972</t>
        </r>
      </text>
    </comment>
    <comment ref="D114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3,993</t>
        </r>
      </text>
    </comment>
    <comment ref="E114" authorId="0">
      <text>
        <r>
          <rPr>
            <sz val="9"/>
            <color rgb="FF000000"/>
            <rFont val="Arial"/>
            <family val="2"/>
          </rPr>
          <t>ge-20250930.htm (3Q25 10-Q) | Statement of Cash Flows, 9M 2025 | 6,147</t>
        </r>
      </text>
    </comment>
    <comment ref="F114" authorId="0">
      <text>
        <r>
          <rPr>
            <sz val="9"/>
            <color rgb="FF000000"/>
            <rFont val="Arial"/>
            <family val="2"/>
          </rPr>
          <t>ge-20251231.htm (FY25 10-K) | Statement of Cash Flows, FY2025 | 8,698</t>
        </r>
      </text>
    </comment>
    <comment ref="H114" authorId="0">
      <text>
        <r>
          <rPr>
            <sz val="9"/>
            <color rgb="FF000000"/>
            <rFont val="Arial"/>
            <family val="2"/>
          </rPr>
          <t>ge-20260331.htm (1Q26 10-Q) | Statement of Cash Flows, 3M 2026 | 1,920</t>
        </r>
      </text>
    </comment>
    <comment ref="I114" authorId="0">
      <text>
        <r>
          <rPr>
            <sz val="9"/>
            <color rgb="FF000000"/>
            <rFont val="Arial"/>
            <family val="2"/>
          </rPr>
          <t>ge-20260630.htm (2Q26 10-Q) | Statement of Cash Flows, 6M 2026 | 4,276</t>
        </r>
      </text>
    </comment>
    <comment ref="C115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(10)</t>
        </r>
      </text>
    </comment>
    <comment ref="D115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(31)</t>
        </r>
      </text>
    </comment>
    <comment ref="E115" authorId="0">
      <text>
        <r>
          <rPr>
            <sz val="9"/>
            <color rgb="FF000000"/>
            <rFont val="Arial"/>
            <family val="2"/>
          </rPr>
          <t>ge-20250930.htm (3Q25 10-Q) | Statement of Cash Flows, 9M 2025 | (14)</t>
        </r>
      </text>
    </comment>
    <comment ref="F115" authorId="0">
      <text>
        <r>
          <rPr>
            <sz val="9"/>
            <color rgb="FF000000"/>
            <rFont val="Arial"/>
            <family val="2"/>
          </rPr>
          <t>ge-20251231.htm (FY25 10-K) | Statement of Cash Flows, FY2025 | (103)</t>
        </r>
      </text>
    </comment>
    <comment ref="H115" authorId="0">
      <text>
        <r>
          <rPr>
            <sz val="9"/>
            <color rgb="FF000000"/>
            <rFont val="Arial"/>
            <family val="2"/>
          </rPr>
          <t>ge-20260331.htm (1Q26 10-Q) | Statement of Cash Flows, 3M 2026 | 26</t>
        </r>
      </text>
    </comment>
    <comment ref="I115" authorId="0">
      <text>
        <r>
          <rPr>
            <sz val="9"/>
            <color rgb="FF000000"/>
            <rFont val="Arial"/>
            <family val="2"/>
          </rPr>
          <t>ge-20260630.htm (2Q26 10-Q) | Statement of Cash Flows, 6M 2026 | 65</t>
        </r>
      </text>
    </comment>
    <comment ref="C116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210</t>
        </r>
      </text>
    </comment>
    <comment ref="D116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428</t>
        </r>
      </text>
    </comment>
    <comment ref="E116" authorId="0">
      <text>
        <r>
          <rPr>
            <sz val="9"/>
            <color rgb="FF000000"/>
            <rFont val="Arial"/>
            <family val="2"/>
          </rPr>
          <t>ge-20250930.htm (3Q25 10-Q) | Statement of Cash Flows, 9M 2025 | 643</t>
        </r>
      </text>
    </comment>
    <comment ref="F116" authorId="0">
      <text>
        <r>
          <rPr>
            <sz val="9"/>
            <color rgb="FF000000"/>
            <rFont val="Arial"/>
            <family val="2"/>
          </rPr>
          <t>ge-20251231.htm (FY25 10-K) | Statement of Cash Flows, FY2025 | 863</t>
        </r>
      </text>
    </comment>
    <comment ref="H116" authorId="0">
      <text>
        <r>
          <rPr>
            <sz val="9"/>
            <color rgb="FF000000"/>
            <rFont val="Arial"/>
            <family val="2"/>
          </rPr>
          <t>ge-20260331.htm (1Q26 10-Q) | Statement of Cash Flows, 3M 2026 | 227</t>
        </r>
      </text>
    </comment>
    <comment ref="I116" authorId="0">
      <text>
        <r>
          <rPr>
            <sz val="9"/>
            <color rgb="FF000000"/>
            <rFont val="Arial"/>
            <family val="2"/>
          </rPr>
          <t>ge-20260630.htm (2Q26 10-Q) | Statement of Cash Flows, 6M 2026 | 452</t>
        </r>
      </text>
    </comment>
    <comment ref="C117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89</t>
        </r>
      </text>
    </comment>
    <comment ref="D117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182</t>
        </r>
      </text>
    </comment>
    <comment ref="E117" authorId="0">
      <text>
        <r>
          <rPr>
            <sz val="9"/>
            <color rgb="FF000000"/>
            <rFont val="Arial"/>
            <family val="2"/>
          </rPr>
          <t>ge-20250930.htm (3Q25 10-Q) | Statement of Cash Flows, 9M 2025 | 270</t>
        </r>
      </text>
    </comment>
    <comment ref="F117" authorId="0">
      <text>
        <r>
          <rPr>
            <sz val="9"/>
            <color rgb="FF000000"/>
            <rFont val="Arial"/>
            <family val="2"/>
          </rPr>
          <t>ge-20251231.htm (FY25 10-K) | Statement of Cash Flows, FY2025 | 357</t>
        </r>
      </text>
    </comment>
    <comment ref="H117" authorId="0">
      <text>
        <r>
          <rPr>
            <sz val="9"/>
            <color rgb="FF000000"/>
            <rFont val="Arial"/>
            <family val="2"/>
          </rPr>
          <t>ge-20260331.htm (1Q26 10-Q) | Statement of Cash Flows, 3M 2026 | 85</t>
        </r>
      </text>
    </comment>
    <comment ref="I117" authorId="0">
      <text>
        <r>
          <rPr>
            <sz val="9"/>
            <color rgb="FF000000"/>
            <rFont val="Arial"/>
            <family val="2"/>
          </rPr>
          <t>ge-20260630.htm (2Q26 10-Q) | Statement of Cash Flows, 6M 2026 | 173</t>
        </r>
      </text>
    </comment>
    <comment ref="C118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(43)</t>
        </r>
      </text>
    </comment>
    <comment ref="D118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(109)</t>
        </r>
      </text>
    </comment>
    <comment ref="E118" authorId="0">
      <text>
        <r>
          <rPr>
            <sz val="9"/>
            <color rgb="FF000000"/>
            <rFont val="Arial"/>
            <family val="2"/>
          </rPr>
          <t>ge-20250930.htm (3Q25 10-Q) | Statement of Cash Flows, 9M 2025 | (177)</t>
        </r>
      </text>
    </comment>
    <comment ref="F118" authorId="0">
      <text>
        <r>
          <rPr>
            <sz val="9"/>
            <color rgb="FF000000"/>
            <rFont val="Arial"/>
            <family val="2"/>
          </rPr>
          <t>ge-20251231.htm (FY25 10-K) | Statement of Cash Flows, FY2025 | (508)</t>
        </r>
      </text>
    </comment>
    <comment ref="H118" authorId="0">
      <text>
        <r>
          <rPr>
            <sz val="9"/>
            <color rgb="FF000000"/>
            <rFont val="Arial"/>
            <family val="2"/>
          </rPr>
          <t>ge-20260331.htm (1Q26 10-Q) | Statement of Cash Flows, 3M 2026 | 271</t>
        </r>
      </text>
    </comment>
    <comment ref="I118" authorId="0">
      <text>
        <r>
          <rPr>
            <sz val="9"/>
            <color rgb="FF000000"/>
            <rFont val="Arial"/>
            <family val="2"/>
          </rPr>
          <t>ge-20260630.htm (2Q26 10-Q) | Statement of Cash Flows, 6M 2026 | 173</t>
        </r>
      </text>
    </comment>
    <comment ref="C119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(161)</t>
        </r>
      </text>
    </comment>
    <comment ref="D119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(324)</t>
        </r>
      </text>
    </comment>
    <comment ref="E119" authorId="0">
      <text>
        <r>
          <rPr>
            <sz val="9"/>
            <color rgb="FF000000"/>
            <rFont val="Arial"/>
            <family val="2"/>
          </rPr>
          <t>ge-20250930.htm (3Q25 10-Q) | Statement of Cash Flows, 9M 2025 | (488)</t>
        </r>
      </text>
    </comment>
    <comment ref="F119" authorId="0">
      <text>
        <r>
          <rPr>
            <sz val="9"/>
            <color rgb="FF000000"/>
            <rFont val="Arial"/>
            <family val="2"/>
          </rPr>
          <t>ge-20251231.htm (FY25 10-K) | Statement of Cash Flows, FY2025 | (655)</t>
        </r>
      </text>
    </comment>
    <comment ref="H119" authorId="0">
      <text>
        <r>
          <rPr>
            <sz val="9"/>
            <color rgb="FF000000"/>
            <rFont val="Arial"/>
            <family val="2"/>
          </rPr>
          <t>ge-20260331.htm (1Q26 10-Q) | Statement of Cash Flows, 3M 2026 | (147)</t>
        </r>
      </text>
    </comment>
    <comment ref="I119" authorId="0">
      <text>
        <r>
          <rPr>
            <sz val="9"/>
            <color rgb="FF000000"/>
            <rFont val="Arial"/>
            <family val="2"/>
          </rPr>
          <t>ge-20260630.htm (2Q26 10-Q) | Statement of Cash Flows, 6M 2026 | (293)</t>
        </r>
      </text>
    </comment>
    <comment ref="C120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(48)</t>
        </r>
      </text>
    </comment>
    <comment ref="D120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(95)</t>
        </r>
      </text>
    </comment>
    <comment ref="E120" authorId="0">
      <text>
        <r>
          <rPr>
            <sz val="9"/>
            <color rgb="FF000000"/>
            <rFont val="Arial"/>
            <family val="2"/>
          </rPr>
          <t>ge-20250930.htm (3Q25 10-Q) | Statement of Cash Flows, 9M 2025 | (144)</t>
        </r>
      </text>
    </comment>
    <comment ref="F120" authorId="0">
      <text>
        <r>
          <rPr>
            <sz val="9"/>
            <color rgb="FF000000"/>
            <rFont val="Arial"/>
            <family val="2"/>
          </rPr>
          <t>ge-20251231.htm (FY25 10-K) | Statement of Cash Flows, FY2025 | (211)</t>
        </r>
      </text>
    </comment>
    <comment ref="H120" authorId="0">
      <text>
        <r>
          <rPr>
            <sz val="9"/>
            <color rgb="FF000000"/>
            <rFont val="Arial"/>
            <family val="2"/>
          </rPr>
          <t>ge-20260331.htm (1Q26 10-Q) | Statement of Cash Flows, 3M 2026 | (49)</t>
        </r>
      </text>
    </comment>
    <comment ref="I120" authorId="0">
      <text>
        <r>
          <rPr>
            <sz val="9"/>
            <color rgb="FF000000"/>
            <rFont val="Arial"/>
            <family val="2"/>
          </rPr>
          <t>ge-20260630.htm (2Q26 10-Q) | Statement of Cash Flows, 6M 2026 | (97)</t>
        </r>
      </text>
    </comment>
    <comment ref="C121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(74)</t>
        </r>
      </text>
    </comment>
    <comment ref="D121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(133)</t>
        </r>
      </text>
    </comment>
    <comment ref="E121" authorId="0">
      <text>
        <r>
          <rPr>
            <sz val="9"/>
            <color rgb="FF000000"/>
            <rFont val="Arial"/>
            <family val="2"/>
          </rPr>
          <t>ge-20250930.htm (3Q25 10-Q) | Statement of Cash Flows, 9M 2025 | (194)</t>
        </r>
      </text>
    </comment>
    <comment ref="F121" authorId="0">
      <text>
        <r>
          <rPr>
            <sz val="9"/>
            <color rgb="FF000000"/>
            <rFont val="Arial"/>
            <family val="2"/>
          </rPr>
          <t>ge-20251231.htm (FY25 10-K) | Statement of Cash Flows, FY2025 | (230)</t>
        </r>
      </text>
    </comment>
    <comment ref="H121" authorId="0">
      <text>
        <r>
          <rPr>
            <sz val="9"/>
            <color rgb="FF000000"/>
            <rFont val="Arial"/>
            <family val="2"/>
          </rPr>
          <t>ge-20260331.htm (1Q26 10-Q) | Statement of Cash Flows, 3M 2026 | (79)</t>
        </r>
      </text>
    </comment>
    <comment ref="I121" authorId="0">
      <text>
        <r>
          <rPr>
            <sz val="9"/>
            <color rgb="FF000000"/>
            <rFont val="Arial"/>
            <family val="2"/>
          </rPr>
          <t>ge-20260630.htm (2Q26 10-Q) | Statement of Cash Flows, 6M 2026 | (136)</t>
        </r>
      </text>
    </comment>
    <comment ref="C122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283</t>
        </r>
      </text>
    </comment>
    <comment ref="D122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671</t>
        </r>
      </text>
    </comment>
    <comment ref="E122" authorId="0">
      <text>
        <r>
          <rPr>
            <sz val="9"/>
            <color rgb="FF000000"/>
            <rFont val="Arial"/>
            <family val="2"/>
          </rPr>
          <t>ge-20250930.htm (3Q25 10-Q) | Statement of Cash Flows, 9M 2025 | 1,015</t>
        </r>
      </text>
    </comment>
    <comment ref="F122" authorId="0">
      <text>
        <r>
          <rPr>
            <sz val="9"/>
            <color rgb="FF000000"/>
            <rFont val="Arial"/>
            <family val="2"/>
          </rPr>
          <t>ge-20251231.htm (FY25 10-K) | Statement of Cash Flows, FY2025 | 1,405</t>
        </r>
      </text>
    </comment>
    <comment ref="H122" authorId="0">
      <text>
        <r>
          <rPr>
            <sz val="9"/>
            <color rgb="FF000000"/>
            <rFont val="Arial"/>
            <family val="2"/>
          </rPr>
          <t>ge-20260331.htm (1Q26 10-Q) | Statement of Cash Flows, 3M 2026 | 252</t>
        </r>
      </text>
    </comment>
    <comment ref="I122" authorId="0">
      <text>
        <r>
          <rPr>
            <sz val="9"/>
            <color rgb="FF000000"/>
            <rFont val="Arial"/>
            <family val="2"/>
          </rPr>
          <t>ge-20260630.htm (2Q26 10-Q) | Statement of Cash Flows, 6M 2026 | 658</t>
        </r>
      </text>
    </comment>
    <comment ref="C123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(112)</t>
        </r>
      </text>
    </comment>
    <comment ref="D123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(253)</t>
        </r>
      </text>
    </comment>
    <comment ref="E123" authorId="0">
      <text>
        <r>
          <rPr>
            <sz val="9"/>
            <color rgb="FF000000"/>
            <rFont val="Arial"/>
            <family val="2"/>
          </rPr>
          <t>ge-20250930.htm (3Q25 10-Q) | Statement of Cash Flows, 9M 2025 | (437)</t>
        </r>
      </text>
    </comment>
    <comment ref="F123" authorId="0">
      <text>
        <r>
          <rPr>
            <sz val="9"/>
            <color rgb="FF000000"/>
            <rFont val="Arial"/>
            <family val="2"/>
          </rPr>
          <t>ge-20251231.htm (FY25 10-K) | Statement of Cash Flows, FY2025 | (739)</t>
        </r>
      </text>
    </comment>
    <comment ref="H123" authorId="0">
      <text>
        <r>
          <rPr>
            <sz val="9"/>
            <color rgb="FF000000"/>
            <rFont val="Arial"/>
            <family val="2"/>
          </rPr>
          <t>ge-20260331.htm (1Q26 10-Q) | Statement of Cash Flows, 3M 2026 | (34)</t>
        </r>
      </text>
    </comment>
    <comment ref="I123" authorId="0">
      <text>
        <r>
          <rPr>
            <sz val="9"/>
            <color rgb="FF000000"/>
            <rFont val="Arial"/>
            <family val="2"/>
          </rPr>
          <t>ge-20260630.htm (2Q26 10-Q) | Statement of Cash Flows, 6M 2026 | (141)</t>
        </r>
      </text>
    </comment>
    <comment ref="C124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(326)</t>
        </r>
      </text>
    </comment>
    <comment ref="D124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(1,157)</t>
        </r>
      </text>
    </comment>
    <comment ref="E124" authorId="0">
      <text>
        <r>
          <rPr>
            <sz val="9"/>
            <color rgb="FF000000"/>
            <rFont val="Arial"/>
            <family val="2"/>
          </rPr>
          <t>ge-20250930.htm (3Q25 10-Q) | Statement of Cash Flows, 9M 2025 | (1,270)</t>
        </r>
      </text>
    </comment>
    <comment ref="F124" authorId="0">
      <text>
        <r>
          <rPr>
            <sz val="9"/>
            <color rgb="FF000000"/>
            <rFont val="Arial"/>
            <family val="2"/>
          </rPr>
          <t>ge-20251231.htm (FY25 10-K) | Statement of Cash Flows, FY2025 | (2,437)</t>
        </r>
      </text>
    </comment>
    <comment ref="H124" authorId="0">
      <text>
        <r>
          <rPr>
            <sz val="9"/>
            <color rgb="FF000000"/>
            <rFont val="Arial"/>
            <family val="2"/>
          </rPr>
          <t>ge-20260331.htm (1Q26 10-Q) | Statement of Cash Flows, 3M 2026 | (709)</t>
        </r>
      </text>
    </comment>
    <comment ref="I124" authorId="0">
      <text>
        <r>
          <rPr>
            <sz val="9"/>
            <color rgb="FF000000"/>
            <rFont val="Arial"/>
            <family val="2"/>
          </rPr>
          <t>ge-20260630.htm (2Q26 10-Q) | Statement of Cash Flows, 6M 2026 | (694)</t>
        </r>
      </text>
    </comment>
    <comment ref="C125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(724)</t>
        </r>
      </text>
    </comment>
    <comment ref="D125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(1,394)</t>
        </r>
      </text>
    </comment>
    <comment ref="E125" authorId="0">
      <text>
        <r>
          <rPr>
            <sz val="9"/>
            <color rgb="FF000000"/>
            <rFont val="Arial"/>
            <family val="2"/>
          </rPr>
          <t>ge-20250930.htm (3Q25 10-Q) | Statement of Cash Flows, 9M 2025 | (1,787)</t>
        </r>
      </text>
    </comment>
    <comment ref="F125" authorId="0">
      <text>
        <r>
          <rPr>
            <sz val="9"/>
            <color rgb="FF000000"/>
            <rFont val="Arial"/>
            <family val="2"/>
          </rPr>
          <t>ge-20251231.htm (FY25 10-K) | Statement of Cash Flows, FY2025 | (1,981)</t>
        </r>
      </text>
    </comment>
    <comment ref="H125" authorId="0">
      <text>
        <r>
          <rPr>
            <sz val="9"/>
            <color rgb="FF000000"/>
            <rFont val="Arial"/>
            <family val="2"/>
          </rPr>
          <t>ge-20260331.htm (1Q26 10-Q) | Statement of Cash Flows, 3M 2026 | (534)</t>
        </r>
      </text>
    </comment>
    <comment ref="I125" authorId="0">
      <text>
        <r>
          <rPr>
            <sz val="9"/>
            <color rgb="FF000000"/>
            <rFont val="Arial"/>
            <family val="2"/>
          </rPr>
          <t>ge-20260630.htm (2Q26 10-Q) | Statement of Cash Flows, 6M 2026 | (643)</t>
        </r>
      </text>
    </comment>
    <comment ref="C126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46</t>
        </r>
      </text>
    </comment>
    <comment ref="D126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(65)</t>
        </r>
      </text>
    </comment>
    <comment ref="E126" authorId="0">
      <text>
        <r>
          <rPr>
            <sz val="9"/>
            <color rgb="FF000000"/>
            <rFont val="Arial"/>
            <family val="2"/>
          </rPr>
          <t>ge-20250930.htm (3Q25 10-Q) | Statement of Cash Flows, 9M 2025 | (116)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ge-20251231.htm (FY25 10-K) | Statement of Cash Flows, FY2025 | (511)</t>
        </r>
      </text>
    </comment>
    <comment ref="H126" authorId="0">
      <text>
        <r>
          <rPr>
            <sz val="9"/>
            <color rgb="FF000000"/>
            <rFont val="Arial"/>
            <family val="2"/>
          </rPr>
          <t>ge-20260331.htm (1Q26 10-Q) | Statement of Cash Flows, 3M 2026 | 68</t>
        </r>
      </text>
    </comment>
    <comment ref="I126" authorId="0">
      <text>
        <r>
          <rPr>
            <sz val="9"/>
            <color rgb="FF000000"/>
            <rFont val="Arial"/>
            <family val="2"/>
          </rPr>
          <t>ge-20260630.htm (2Q26 10-Q) | Statement of Cash Flows, 6M 2026 | 32</t>
        </r>
      </text>
    </comment>
    <comment ref="C127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270</t>
        </r>
      </text>
    </comment>
    <comment ref="D127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384</t>
        </r>
      </text>
    </comment>
    <comment ref="E127" authorId="0">
      <text>
        <r>
          <rPr>
            <sz val="9"/>
            <color rgb="FF000000"/>
            <rFont val="Arial"/>
            <family val="2"/>
          </rPr>
          <t>ge-20250930.htm (3Q25 10-Q) | Statement of Cash Flows, 9M 2025 | 593</t>
        </r>
      </text>
    </comment>
    <comment ref="F127" authorId="0">
      <text>
        <r>
          <rPr>
            <sz val="9"/>
            <color rgb="FF000000"/>
            <rFont val="Arial"/>
            <family val="2"/>
          </rPr>
          <t>ge-20251231.htm (FY25 10-K) | Statement of Cash Flows, FY2025 | 1,066</t>
        </r>
      </text>
    </comment>
    <comment ref="H127" authorId="0">
      <text>
        <r>
          <rPr>
            <sz val="9"/>
            <color rgb="FF000000"/>
            <rFont val="Arial"/>
            <family val="2"/>
          </rPr>
          <t>ge-20260331.htm (1Q26 10-Q) | Statement of Cash Flows, 3M 2026 | (91)</t>
        </r>
      </text>
    </comment>
    <comment ref="I127" authorId="0">
      <text>
        <r>
          <rPr>
            <sz val="9"/>
            <color rgb="FF000000"/>
            <rFont val="Arial"/>
            <family val="2"/>
          </rPr>
          <t>ge-20260630.htm (2Q26 10-Q) | Statement of Cash Flows, 6M 2026 | (135)</t>
        </r>
      </text>
    </comment>
    <comment ref="C128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132</t>
        </r>
      </text>
    </comment>
    <comment ref="D128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269</t>
        </r>
      </text>
    </comment>
    <comment ref="E128" authorId="0">
      <text>
        <r>
          <rPr>
            <sz val="9"/>
            <color rgb="FF000000"/>
            <rFont val="Arial"/>
            <family val="2"/>
          </rPr>
          <t>ge-20250930.htm (3Q25 10-Q) | Statement of Cash Flows, 9M 2025 | 173</t>
        </r>
      </text>
    </comment>
    <comment ref="F128" authorId="0">
      <text>
        <r>
          <rPr>
            <sz val="9"/>
            <color rgb="FF000000"/>
            <rFont val="Arial"/>
            <family val="2"/>
          </rPr>
          <t>ge-20251231.htm (FY25 10-K) | Statement of Cash Flows, FY2025 | 838</t>
        </r>
      </text>
    </comment>
    <comment ref="H128" authorId="0">
      <text>
        <r>
          <rPr>
            <sz val="9"/>
            <color rgb="FF000000"/>
            <rFont val="Arial"/>
            <family val="2"/>
          </rPr>
          <t>ge-20260331.htm (1Q26 10-Q) | Statement of Cash Flows, 3M 2026 | 55</t>
        </r>
      </text>
    </comment>
    <comment ref="I128" authorId="0">
      <text>
        <r>
          <rPr>
            <sz val="9"/>
            <color rgb="FF000000"/>
            <rFont val="Arial"/>
            <family val="2"/>
          </rPr>
          <t>ge-20260630.htm (2Q26 10-Q) | Statement of Cash Flows, 6M 2026 | 281</t>
        </r>
      </text>
    </comment>
    <comment ref="C129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706</t>
        </r>
      </text>
    </comment>
    <comment ref="D129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1,495</t>
        </r>
      </text>
    </comment>
    <comment ref="E129" authorId="0">
      <text>
        <r>
          <rPr>
            <sz val="9"/>
            <color rgb="FF000000"/>
            <rFont val="Arial"/>
            <family val="2"/>
          </rPr>
          <t>ge-20250930.htm (3Q25 10-Q) | Statement of Cash Flows, 9M 2025 | 1,498</t>
        </r>
      </text>
    </comment>
    <comment ref="F129" authorId="0">
      <text>
        <r>
          <rPr>
            <sz val="9"/>
            <color rgb="FF000000"/>
            <rFont val="Arial"/>
            <family val="2"/>
          </rPr>
          <t>ge-20251231.htm (FY25 10-K) | Statement of Cash Flows, FY2025 | 1,993</t>
        </r>
      </text>
    </comment>
    <comment ref="H129" authorId="0">
      <text>
        <r>
          <rPr>
            <sz val="9"/>
            <color rgb="FF000000"/>
            <rFont val="Arial"/>
            <family val="2"/>
          </rPr>
          <t>ge-20260331.htm (1Q26 10-Q) | Statement of Cash Flows, 3M 2026 | 668</t>
        </r>
      </text>
    </comment>
    <comment ref="I129" authorId="0">
      <text>
        <r>
          <rPr>
            <sz val="9"/>
            <color rgb="FF000000"/>
            <rFont val="Arial"/>
            <family val="2"/>
          </rPr>
          <t>ge-20260630.htm (2Q26 10-Q) | Statement of Cash Flows, 6M 2026 | 856</t>
        </r>
      </text>
    </comment>
    <comment ref="C130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80</t>
        </r>
      </text>
    </comment>
    <comment ref="D130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447</t>
        </r>
      </text>
    </comment>
    <comment ref="E130" authorId="0">
      <text>
        <r>
          <rPr>
            <sz val="9"/>
            <color rgb="FF000000"/>
            <rFont val="Arial"/>
            <family val="2"/>
          </rPr>
          <t>ge-20250930.htm (3Q25 10-Q) | Statement of Cash Flows, 9M 2025 | 554</t>
        </r>
      </text>
    </comment>
    <comment ref="F130" authorId="0">
      <text>
        <r>
          <rPr>
            <sz val="9"/>
            <color rgb="FF000000"/>
            <rFont val="Arial"/>
            <family val="2"/>
          </rPr>
          <t>ge-20251231.htm (FY25 10-K) | Statement of Cash Flows, FY2025 | 562</t>
        </r>
      </text>
    </comment>
    <comment ref="H130" authorId="0">
      <text>
        <r>
          <rPr>
            <sz val="9"/>
            <color rgb="FF000000"/>
            <rFont val="Arial"/>
            <family val="2"/>
          </rPr>
          <t>ge-20260331.htm (1Q26 10-Q) | Statement of Cash Flows, 3M 2026 | 1,000</t>
        </r>
      </text>
    </comment>
    <comment ref="I130" authorId="0">
      <text>
        <r>
          <rPr>
            <sz val="9"/>
            <color rgb="FF000000"/>
            <rFont val="Arial"/>
            <family val="2"/>
          </rPr>
          <t>ge-20260630.htm (2Q26 10-Q) | Statement of Cash Flows, 6M 2026 | 956</t>
        </r>
      </text>
    </comment>
    <comment ref="C131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(746)</t>
        </r>
      </text>
    </comment>
    <comment ref="D131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(417)</t>
        </r>
      </text>
    </comment>
    <comment ref="E131" authorId="0">
      <text>
        <r>
          <rPr>
            <sz val="9"/>
            <color rgb="FF000000"/>
            <rFont val="Arial"/>
            <family val="2"/>
          </rPr>
          <t>ge-20250930.htm (3Q25 10-Q) | Statement of Cash Flows, 9M 2025 | 180</t>
        </r>
      </text>
    </comment>
    <comment ref="F131" authorId="0">
      <text>
        <r>
          <rPr>
            <sz val="9"/>
            <color rgb="FF000000"/>
            <rFont val="Arial"/>
            <family val="2"/>
          </rPr>
          <t>ge-20251231.htm (FY25 10-K) | Statement of Cash Flows, FY2025 | 136</t>
        </r>
      </text>
    </comment>
    <comment ref="H131" authorId="0">
      <text>
        <r>
          <rPr>
            <sz val="9"/>
            <color rgb="FF000000"/>
            <rFont val="Arial"/>
            <family val="2"/>
          </rPr>
          <t>ge-20260331.htm (1Q26 10-Q) | Statement of Cash Flows, 3M 2026 | (1,063)</t>
        </r>
      </text>
    </comment>
    <comment ref="I131" authorId="0">
      <text>
        <r>
          <rPr>
            <sz val="9"/>
            <color rgb="FF000000"/>
            <rFont val="Arial"/>
            <family val="2"/>
          </rPr>
          <t>ge-20260630.htm (2Q26 10-Q) | Statement of Cash Flows, 6M 2026 | (658)</t>
        </r>
      </text>
    </comment>
    <comment ref="C133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1,543</t>
        </r>
      </text>
    </comment>
    <comment ref="D133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3,891</t>
        </r>
      </text>
    </comment>
    <comment ref="E133" authorId="0">
      <text>
        <r>
          <rPr>
            <sz val="9"/>
            <color rgb="FF000000"/>
            <rFont val="Arial"/>
            <family val="2"/>
          </rPr>
          <t>ge-20250930.htm (3Q25 10-Q) | Statement of Cash Flows, 9M 2025 | 6,447</t>
        </r>
      </text>
    </comment>
    <comment ref="F133" authorId="0">
      <text>
        <r>
          <rPr>
            <sz val="9"/>
            <color rgb="FF000000"/>
            <rFont val="Arial"/>
            <family val="2"/>
          </rPr>
          <t>ge-20251231.htm (FY25 10-K) | Statement of Cash Flows, FY2025 | 8,543</t>
        </r>
      </text>
    </comment>
    <comment ref="H133" authorId="0">
      <text>
        <r>
          <rPr>
            <sz val="9"/>
            <color rgb="FF000000"/>
            <rFont val="Arial"/>
            <family val="2"/>
          </rPr>
          <t>ge-20260331.htm (1Q26 10-Q) | Statement of Cash Flows, 3M 2026 | 1,868</t>
        </r>
      </text>
    </comment>
    <comment ref="I133" authorId="0">
      <text>
        <r>
          <rPr>
            <sz val="9"/>
            <color rgb="FF000000"/>
            <rFont val="Arial"/>
            <family val="2"/>
          </rPr>
          <t>ge-20260630.htm (2Q26 10-Q) | Statement of Cash Flows, 6M 2026 | 5,126</t>
        </r>
      </text>
    </comment>
    <comment ref="C135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(33)</t>
        </r>
      </text>
    </comment>
    <comment ref="D135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(136)</t>
        </r>
      </text>
    </comment>
    <comment ref="E135" authorId="0">
      <text>
        <r>
          <rPr>
            <sz val="9"/>
            <color rgb="FF000000"/>
            <rFont val="Arial"/>
            <family val="2"/>
          </rPr>
          <t>ge-20250930.htm (3Q25 10-Q) | Statement of Cash Flows, 9M 2025 | (191)</t>
        </r>
      </text>
    </comment>
    <comment ref="F135" authorId="0">
      <text>
        <r>
          <rPr>
            <sz val="9"/>
            <color rgb="FF000000"/>
            <rFont val="Arial"/>
            <family val="2"/>
          </rPr>
          <t>ge-20251231.htm (FY25 10-K) | Statement of Cash Flows, FY2025 | (6)</t>
        </r>
      </text>
    </comment>
    <comment ref="H135" authorId="0">
      <text>
        <r>
          <rPr>
            <sz val="9"/>
            <color rgb="FF000000"/>
            <rFont val="Arial"/>
            <family val="2"/>
          </rPr>
          <t>ge-20260331.htm (1Q26 10-Q) | Statement of Cash Flows, 3M 2026 | (44)</t>
        </r>
      </text>
    </comment>
    <comment ref="I135" authorId="0">
      <text>
        <r>
          <rPr>
            <sz val="9"/>
            <color rgb="FF000000"/>
            <rFont val="Arial"/>
            <family val="2"/>
          </rPr>
          <t>ge-20260630.htm (2Q26 10-Q) | Statement of Cash Flows, 6M 2026 | (108)</t>
        </r>
      </text>
    </comment>
    <comment ref="C136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(208)</t>
        </r>
      </text>
    </comment>
    <comment ref="D136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(535)</t>
        </r>
      </text>
    </comment>
    <comment ref="E136" authorId="0">
      <text>
        <r>
          <rPr>
            <sz val="9"/>
            <color rgb="FF000000"/>
            <rFont val="Arial"/>
            <family val="2"/>
          </rPr>
          <t>ge-20250930.htm (3Q25 10-Q) | Statement of Cash Flows, 9M 2025 | (842)</t>
        </r>
      </text>
    </comment>
    <comment ref="F136" authorId="0">
      <text>
        <r>
          <rPr>
            <sz val="9"/>
            <color rgb="FF000000"/>
            <rFont val="Arial"/>
            <family val="2"/>
          </rPr>
          <t>ge-20251231.htm (FY25 10-K) | Statement of Cash Flows, FY2025 | (1,273)</t>
        </r>
      </text>
    </comment>
    <comment ref="H136" authorId="0">
      <text>
        <r>
          <rPr>
            <sz val="9"/>
            <color rgb="FF000000"/>
            <rFont val="Arial"/>
            <family val="2"/>
          </rPr>
          <t>ge-20260331.htm (1Q26 10-Q) | Statement of Cash Flows, 3M 2026 | (331)</t>
        </r>
      </text>
    </comment>
    <comment ref="I136" authorId="0">
      <text>
        <r>
          <rPr>
            <sz val="9"/>
            <color rgb="FF000000"/>
            <rFont val="Arial"/>
            <family val="2"/>
          </rPr>
          <t>ge-20260630.htm (2Q26 10-Q) | Statement of Cash Flows, 6M 2026 | (666)</t>
        </r>
      </text>
    </comment>
    <comment ref="C137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10</t>
        </r>
      </text>
    </comment>
    <comment ref="D137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25</t>
        </r>
      </text>
    </comment>
    <comment ref="E137" authorId="0">
      <text>
        <r>
          <rPr>
            <sz val="9"/>
            <color rgb="FF000000"/>
            <rFont val="Arial"/>
            <family val="2"/>
          </rPr>
          <t>ge-20250930.htm (3Q25 10-Q) | Statement of Cash Flows, 9M 2025 | 76</t>
        </r>
      </text>
    </comment>
    <comment ref="F137" authorId="0">
      <text>
        <r>
          <rPr>
            <sz val="9"/>
            <color rgb="FF000000"/>
            <rFont val="Arial"/>
            <family val="2"/>
          </rPr>
          <t>ge-20251231.htm (FY25 10-K) | Statement of Cash Flows, FY2025 | 123</t>
        </r>
      </text>
    </comment>
    <comment ref="H137" authorId="0">
      <text>
        <r>
          <rPr>
            <sz val="9"/>
            <color rgb="FF000000"/>
            <rFont val="Arial"/>
            <family val="2"/>
          </rPr>
          <t>ge-20260331.htm (1Q26 10-Q) | Statement of Cash Flows, 3M 2026 | 13</t>
        </r>
      </text>
    </comment>
    <comment ref="I137" authorId="0">
      <text>
        <r>
          <rPr>
            <sz val="9"/>
            <color rgb="FF000000"/>
            <rFont val="Arial"/>
            <family val="2"/>
          </rPr>
          <t>ge-20260630.htm (2Q26 10-Q) | Statement of Cash Flows, 6M 2026 | 58</t>
        </r>
      </text>
    </comment>
    <comment ref="C138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0</t>
        </r>
      </text>
    </comment>
    <comment ref="D138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0</t>
        </r>
      </text>
    </comment>
    <comment ref="E138" authorId="0">
      <text>
        <r>
          <rPr>
            <sz val="9"/>
            <color rgb="FF000000"/>
            <rFont val="Arial"/>
            <family val="2"/>
          </rPr>
          <t>ge-20250930.htm (3Q25 10-Q) | Statement of Cash Flows, 9M 2025 | 0</t>
        </r>
      </text>
    </comment>
    <comment ref="F138" authorId="0">
      <text>
        <r>
          <rPr>
            <sz val="9"/>
            <color rgb="FF000000"/>
            <rFont val="Arial"/>
            <family val="2"/>
          </rPr>
          <t>ge-20251231.htm (FY25 10-K) | Statement of Cash Flows, FY2025 | 0</t>
        </r>
      </text>
    </comment>
    <comment ref="H138" authorId="0">
      <text>
        <r>
          <rPr>
            <sz val="9"/>
            <color rgb="FF000000"/>
            <rFont val="Arial"/>
            <family val="2"/>
          </rPr>
          <t>ge-20260331.htm (1Q26 10-Q) | Statement of Cash Flows, 3M 2026 | 0</t>
        </r>
      </text>
    </comment>
    <comment ref="I138" authorId="0">
      <text>
        <r>
          <rPr>
            <sz val="9"/>
            <color rgb="FF000000"/>
            <rFont val="Arial"/>
            <family val="2"/>
          </rPr>
          <t>ge-20260630.htm (2Q26 10-Q) | Statement of Cash Flows, 6M 2026 | 0</t>
        </r>
      </text>
    </comment>
    <comment ref="C139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(100)</t>
        </r>
      </text>
    </comment>
    <comment ref="D139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(354)</t>
        </r>
      </text>
    </comment>
    <comment ref="E139" authorId="0">
      <text>
        <r>
          <rPr>
            <sz val="9"/>
            <color rgb="FF000000"/>
            <rFont val="Arial"/>
            <family val="2"/>
          </rPr>
          <t>ge-20250930.htm (3Q25 10-Q) | Statement of Cash Flows, 9M 2025 | (360)</t>
        </r>
      </text>
    </comment>
    <comment ref="F139" authorId="0">
      <text>
        <r>
          <rPr>
            <sz val="9"/>
            <color rgb="FF000000"/>
            <rFont val="Arial"/>
            <family val="2"/>
          </rPr>
          <t>ge-20251231.htm (FY25 10-K) | Statement of Cash Flows, FY2025 | (360)</t>
        </r>
      </text>
    </comment>
    <comment ref="H139" authorId="0">
      <text>
        <r>
          <rPr>
            <sz val="9"/>
            <color rgb="FF000000"/>
            <rFont val="Arial"/>
            <family val="2"/>
          </rPr>
          <t>ge-20260331.htm (1Q26 10-Q) | Statement of Cash Flows, 3M 2026 | 0</t>
        </r>
      </text>
    </comment>
    <comment ref="I139" authorId="0">
      <text>
        <r>
          <rPr>
            <sz val="9"/>
            <color rgb="FF000000"/>
            <rFont val="Arial"/>
            <family val="2"/>
          </rPr>
          <t>ge-20260630.htm (2Q26 10-Q) | Statement of Cash Flows, 6M 2026 | (1)</t>
        </r>
      </text>
    </comment>
    <comment ref="C140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0</t>
        </r>
      </text>
    </comment>
    <comment ref="D140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0</t>
        </r>
      </text>
    </comment>
    <comment ref="E140" authorId="0">
      <text>
        <r>
          <rPr>
            <sz val="9"/>
            <color rgb="FF000000"/>
            <rFont val="Arial"/>
            <family val="2"/>
          </rPr>
          <t>ge-20250930.htm (3Q25 10-Q) | Statement of Cash Flows, 9M 2025 | 0</t>
        </r>
      </text>
    </comment>
    <comment ref="F140" authorId="0">
      <text>
        <r>
          <rPr>
            <sz val="9"/>
            <color rgb="FF000000"/>
            <rFont val="Arial"/>
            <family val="2"/>
          </rPr>
          <t>ge-20251231.htm (FY25 10-K) | Statement of Cash Flows, FY2025 | 0</t>
        </r>
      </text>
    </comment>
    <comment ref="H140" authorId="0">
      <text>
        <r>
          <rPr>
            <sz val="9"/>
            <color rgb="FF000000"/>
            <rFont val="Arial"/>
            <family val="2"/>
          </rPr>
          <t>ge-20260331.htm (1Q26 10-Q) | Statement of Cash Flows, 3M 2026 | 0</t>
        </r>
      </text>
    </comment>
    <comment ref="I140" authorId="0">
      <text>
        <r>
          <rPr>
            <sz val="9"/>
            <color rgb="FF000000"/>
            <rFont val="Arial"/>
            <family val="2"/>
          </rPr>
          <t>ge-20260630.htm (2Q26 10-Q) | Statement of Cash Flows, 6M 2026 | 0</t>
        </r>
      </text>
    </comment>
    <comment ref="C141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99</t>
        </r>
      </text>
    </comment>
    <comment ref="D141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361</t>
        </r>
      </text>
    </comment>
    <comment ref="E141" authorId="0">
      <text>
        <r>
          <rPr>
            <sz val="9"/>
            <color rgb="FF000000"/>
            <rFont val="Arial"/>
            <family val="2"/>
          </rPr>
          <t>ge-20250930.htm (3Q25 10-Q) | Statement of Cash Flows, 9M 2025 | 595</t>
        </r>
      </text>
    </comment>
    <comment ref="F141" authorId="0">
      <text>
        <r>
          <rPr>
            <sz val="9"/>
            <color rgb="FF000000"/>
            <rFont val="Arial"/>
            <family val="2"/>
          </rPr>
          <t>ge-20251231.htm (FY25 10-K) | Statement of Cash Flows, FY2025 | 425</t>
        </r>
      </text>
    </comment>
    <comment ref="H141" authorId="0">
      <text>
        <r>
          <rPr>
            <sz val="9"/>
            <color rgb="FF000000"/>
            <rFont val="Arial"/>
            <family val="2"/>
          </rPr>
          <t>ge-20260331.htm (1Q26 10-Q) | Statement of Cash Flows, 3M 2026 | (351)</t>
        </r>
      </text>
    </comment>
    <comment ref="I141" authorId="0">
      <text>
        <r>
          <rPr>
            <sz val="9"/>
            <color rgb="FF000000"/>
            <rFont val="Arial"/>
            <family val="2"/>
          </rPr>
          <t>ge-20260630.htm (2Q26 10-Q) | Statement of Cash Flows, 6M 2026 | (7)</t>
        </r>
      </text>
    </comment>
    <comment ref="C142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(121)</t>
        </r>
      </text>
    </comment>
    <comment ref="D142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(430)</t>
        </r>
      </text>
    </comment>
    <comment ref="E142" authorId="0">
      <text>
        <r>
          <rPr>
            <sz val="9"/>
            <color rgb="FF000000"/>
            <rFont val="Arial"/>
            <family val="2"/>
          </rPr>
          <t>ge-20250930.htm (3Q25 10-Q) | Statement of Cash Flows, 9M 2025 | (795)</t>
        </r>
      </text>
    </comment>
    <comment ref="F142" authorId="0">
      <text>
        <r>
          <rPr>
            <sz val="9"/>
            <color rgb="FF000000"/>
            <rFont val="Arial"/>
            <family val="2"/>
          </rPr>
          <t>ge-20251231.htm (FY25 10-K) | Statement of Cash Flows, FY2025 | 309</t>
        </r>
      </text>
    </comment>
    <comment ref="H142" authorId="0">
      <text>
        <r>
          <rPr>
            <sz val="9"/>
            <color rgb="FF000000"/>
            <rFont val="Arial"/>
            <family val="2"/>
          </rPr>
          <t>ge-20260331.htm (1Q26 10-Q) | Statement of Cash Flows, 3M 2026 | (206)</t>
        </r>
      </text>
    </comment>
    <comment ref="I142" authorId="0">
      <text>
        <r>
          <rPr>
            <sz val="9"/>
            <color rgb="FF000000"/>
            <rFont val="Arial"/>
            <family val="2"/>
          </rPr>
          <t>ge-20260630.htm (2Q26 10-Q) | Statement of Cash Flows, 6M 2026 | (1,247)</t>
        </r>
      </text>
    </comment>
    <comment ref="C143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3</t>
        </r>
      </text>
    </comment>
    <comment ref="D143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82</t>
        </r>
      </text>
    </comment>
    <comment ref="E143" authorId="0">
      <text>
        <r>
          <rPr>
            <sz val="9"/>
            <color rgb="FF000000"/>
            <rFont val="Arial"/>
            <family val="2"/>
          </rPr>
          <t>ge-20250930.htm (3Q25 10-Q) | Statement of Cash Flows, 9M 2025 | (131)</t>
        </r>
      </text>
    </comment>
    <comment ref="F143" authorId="0">
      <text>
        <r>
          <rPr>
            <sz val="9"/>
            <color rgb="FF000000"/>
            <rFont val="Arial"/>
            <family val="2"/>
          </rPr>
          <t>ge-20251231.htm (FY25 10-K) | Statement of Cash Flows, FY2025 | (377)</t>
        </r>
      </text>
    </comment>
    <comment ref="H143" authorId="0">
      <text>
        <r>
          <rPr>
            <sz val="9"/>
            <color rgb="FF000000"/>
            <rFont val="Arial"/>
            <family val="2"/>
          </rPr>
          <t>ge-20260331.htm (1Q26 10-Q) | Statement of Cash Flows, 3M 2026 | (44)</t>
        </r>
      </text>
    </comment>
    <comment ref="I143" authorId="0">
      <text>
        <r>
          <rPr>
            <sz val="9"/>
            <color rgb="FF000000"/>
            <rFont val="Arial"/>
            <family val="2"/>
          </rPr>
          <t>ge-20260630.htm (2Q26 10-Q) | Statement of Cash Flows, 6M 2026 | (110)</t>
        </r>
      </text>
    </comment>
    <comment ref="C144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0</t>
        </r>
      </text>
    </comment>
    <comment ref="D144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25</t>
        </r>
      </text>
    </comment>
    <comment ref="E144" authorId="0">
      <text>
        <r>
          <rPr>
            <sz val="9"/>
            <color rgb="FF000000"/>
            <rFont val="Arial"/>
            <family val="2"/>
          </rPr>
          <t>ge-20250930.htm (3Q25 10-Q) | Statement of Cash Flows, 9M 2025 | 17</t>
        </r>
      </text>
    </comment>
    <comment ref="F144" authorId="0">
      <text>
        <r>
          <rPr>
            <sz val="9"/>
            <color rgb="FF000000"/>
            <rFont val="Arial"/>
            <family val="2"/>
          </rPr>
          <t>ge-20251231.htm (FY25 10-K) | Statement of Cash Flows, FY2025 | 25</t>
        </r>
      </text>
    </comment>
    <comment ref="H144" authorId="0">
      <text>
        <r>
          <rPr>
            <sz val="9"/>
            <color rgb="FF000000"/>
            <rFont val="Arial"/>
            <family val="2"/>
          </rPr>
          <t>ge-20260331.htm (1Q26 10-Q) | Statement of Cash Flows, 3M 2026 | 0</t>
        </r>
      </text>
    </comment>
    <comment ref="I144" authorId="0">
      <text>
        <r>
          <rPr>
            <sz val="9"/>
            <color rgb="FF000000"/>
            <rFont val="Arial"/>
            <family val="2"/>
          </rPr>
          <t>ge-20260630.htm (2Q26 10-Q) | Statement of Cash Flows, 6M 2026 | (20)</t>
        </r>
      </text>
    </comment>
    <comment ref="C145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0</t>
        </r>
      </text>
    </comment>
    <comment ref="D145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0</t>
        </r>
      </text>
    </comment>
    <comment ref="E145" authorId="0">
      <text>
        <r>
          <rPr>
            <sz val="9"/>
            <color rgb="FF000000"/>
            <rFont val="Arial"/>
            <family val="2"/>
          </rPr>
          <t>ge-20250930.htm (3Q25 10-Q) | Statement of Cash Flows, 9M 2025 | 1,985</t>
        </r>
      </text>
    </comment>
    <comment ref="F145" authorId="0">
      <text>
        <r>
          <rPr>
            <sz val="9"/>
            <color rgb="FF000000"/>
            <rFont val="Arial"/>
            <family val="2"/>
          </rPr>
          <t>ge-20251231.htm (FY25 10-K) | Statement of Cash Flows, FY2025 | 1,985</t>
        </r>
      </text>
    </comment>
    <comment ref="H145" authorId="0">
      <text>
        <r>
          <rPr>
            <sz val="9"/>
            <color rgb="FF000000"/>
            <rFont val="Arial"/>
            <family val="2"/>
          </rPr>
          <t>ge-20260331.htm (1Q26 10-Q) | Statement of Cash Flows, 3M 2026 | 0</t>
        </r>
      </text>
    </comment>
    <comment ref="I145" authorId="0">
      <text>
        <r>
          <rPr>
            <sz val="9"/>
            <color rgb="FF000000"/>
            <rFont val="Arial"/>
            <family val="2"/>
          </rPr>
          <t>ge-20260630.htm (2Q26 10-Q) | Statement of Cash Flows, 6M 2026 | 0</t>
        </r>
      </text>
    </comment>
    <comment ref="C146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(56)</t>
        </r>
      </text>
    </comment>
    <comment ref="D146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(1,253)</t>
        </r>
      </text>
    </comment>
    <comment ref="E146" authorId="0">
      <text>
        <r>
          <rPr>
            <sz val="9"/>
            <color rgb="FF000000"/>
            <rFont val="Arial"/>
            <family val="2"/>
          </rPr>
          <t>ge-20250930.htm (3Q25 10-Q) | Statement of Cash Flows, 9M 2025 | (1,304)</t>
        </r>
      </text>
    </comment>
    <comment ref="F146" authorId="0">
      <text>
        <r>
          <rPr>
            <sz val="9"/>
            <color rgb="FF000000"/>
            <rFont val="Arial"/>
            <family val="2"/>
          </rPr>
          <t>ge-20251231.htm (FY25 10-K) | Statement of Cash Flows, FY2025 | (1,811)</t>
        </r>
      </text>
    </comment>
    <comment ref="H146" authorId="0">
      <text>
        <r>
          <rPr>
            <sz val="9"/>
            <color rgb="FF000000"/>
            <rFont val="Arial"/>
            <family val="2"/>
          </rPr>
          <t>ge-20260331.htm (1Q26 10-Q) | Statement of Cash Flows, 3M 2026 | (60)</t>
        </r>
      </text>
    </comment>
    <comment ref="I146" authorId="0">
      <text>
        <r>
          <rPr>
            <sz val="9"/>
            <color rgb="FF000000"/>
            <rFont val="Arial"/>
            <family val="2"/>
          </rPr>
          <t>ge-20260630.htm (2Q26 10-Q) | Statement of Cash Flows, 6M 2026 | (1,026)</t>
        </r>
      </text>
    </comment>
    <comment ref="C147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(302)</t>
        </r>
      </text>
    </comment>
    <comment ref="D147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(688)</t>
        </r>
      </text>
    </comment>
    <comment ref="E147" authorId="0">
      <text>
        <r>
          <rPr>
            <sz val="9"/>
            <color rgb="FF000000"/>
            <rFont val="Arial"/>
            <family val="2"/>
          </rPr>
          <t>ge-20250930.htm (3Q25 10-Q) | Statement of Cash Flows, 9M 2025 | (1,071)</t>
        </r>
      </text>
    </comment>
    <comment ref="F147" authorId="0">
      <text>
        <r>
          <rPr>
            <sz val="9"/>
            <color rgb="FF000000"/>
            <rFont val="Arial"/>
            <family val="2"/>
          </rPr>
          <t>ge-20251231.htm (FY25 10-K) | Statement of Cash Flows, FY2025 | (1,452)</t>
        </r>
      </text>
    </comment>
    <comment ref="H147" authorId="0">
      <text>
        <r>
          <rPr>
            <sz val="9"/>
            <color rgb="FF000000"/>
            <rFont val="Arial"/>
            <family val="2"/>
          </rPr>
          <t>ge-20260331.htm (1Q26 10-Q) | Statement of Cash Flows, 3M 2026 | (381)</t>
        </r>
      </text>
    </comment>
    <comment ref="I147" authorId="0">
      <text>
        <r>
          <rPr>
            <sz val="9"/>
            <color rgb="FF000000"/>
            <rFont val="Arial"/>
            <family val="2"/>
          </rPr>
          <t>ge-20260630.htm (2Q26 10-Q) | Statement of Cash Flows, 6M 2026 | (873)</t>
        </r>
      </text>
    </comment>
    <comment ref="C148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(1,965)</t>
        </r>
      </text>
    </comment>
    <comment ref="D148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(3,710)</t>
        </r>
      </text>
    </comment>
    <comment ref="E148" authorId="0">
      <text>
        <r>
          <rPr>
            <sz val="9"/>
            <color rgb="FF000000"/>
            <rFont val="Arial"/>
            <family val="2"/>
          </rPr>
          <t>ge-20250930.htm (3Q25 10-Q) | Statement of Cash Flows, 9M 2025 | (5,554)</t>
        </r>
      </text>
    </comment>
    <comment ref="F148" authorId="0">
      <text>
        <r>
          <rPr>
            <sz val="9"/>
            <color rgb="FF000000"/>
            <rFont val="Arial"/>
            <family val="2"/>
          </rPr>
          <t>ge-20251231.htm (FY25 10-K) | Statement of Cash Flows, FY2025 | (7,551)</t>
        </r>
      </text>
    </comment>
    <comment ref="H148" authorId="0">
      <text>
        <r>
          <rPr>
            <sz val="9"/>
            <color rgb="FF000000"/>
            <rFont val="Arial"/>
            <family val="2"/>
          </rPr>
          <t>ge-20260331.htm (1Q26 10-Q) | Statement of Cash Flows, 3M 2026 | (2,399)</t>
        </r>
      </text>
    </comment>
    <comment ref="I148" authorId="0">
      <text>
        <r>
          <rPr>
            <sz val="9"/>
            <color rgb="FF000000"/>
            <rFont val="Arial"/>
            <family val="2"/>
          </rPr>
          <t>ge-20260630.htm (2Q26 10-Q) | Statement of Cash Flows, 6M 2026 | (4,527)</t>
        </r>
      </text>
    </comment>
    <comment ref="C149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39</t>
        </r>
      </text>
    </comment>
    <comment ref="D149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136</t>
        </r>
      </text>
    </comment>
    <comment ref="E149" authorId="0">
      <text>
        <r>
          <rPr>
            <sz val="9"/>
            <color rgb="FF000000"/>
            <rFont val="Arial"/>
            <family val="2"/>
          </rPr>
          <t>ge-20250930.htm (3Q25 10-Q) | Statement of Cash Flows, 9M 2025 | 71</t>
        </r>
      </text>
    </comment>
    <comment ref="F149" authorId="0">
      <text>
        <r>
          <rPr>
            <sz val="9"/>
            <color rgb="FF000000"/>
            <rFont val="Arial"/>
            <family val="2"/>
          </rPr>
          <t>ge-20251231.htm (FY25 10-K) | Statement of Cash Flows, FY2025 | 120</t>
        </r>
      </text>
    </comment>
    <comment ref="H149" authorId="0">
      <text>
        <r>
          <rPr>
            <sz val="9"/>
            <color rgb="FF000000"/>
            <rFont val="Arial"/>
            <family val="2"/>
          </rPr>
          <t>ge-20260331.htm (1Q26 10-Q) | Statement of Cash Flows, 3M 2026 | 9</t>
        </r>
      </text>
    </comment>
    <comment ref="I149" authorId="0">
      <text>
        <r>
          <rPr>
            <sz val="9"/>
            <color rgb="FF000000"/>
            <rFont val="Arial"/>
            <family val="2"/>
          </rPr>
          <t>ge-20260630.htm (2Q26 10-Q) | Statement of Cash Flows, 6M 2026 | 54</t>
        </r>
      </text>
    </comment>
    <comment ref="C150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0</t>
        </r>
      </text>
    </comment>
    <comment ref="D150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0</t>
        </r>
      </text>
    </comment>
    <comment ref="E150" authorId="0">
      <text>
        <r>
          <rPr>
            <sz val="9"/>
            <color rgb="FF000000"/>
            <rFont val="Arial"/>
            <family val="2"/>
          </rPr>
          <t>ge-20250930.htm (3Q25 10-Q) | Statement of Cash Flows, 9M 2025 | 0</t>
        </r>
      </text>
    </comment>
    <comment ref="F150" authorId="0">
      <text>
        <r>
          <rPr>
            <sz val="9"/>
            <color rgb="FF000000"/>
            <rFont val="Arial"/>
            <family val="2"/>
          </rPr>
          <t>ge-20251231.htm (FY25 10-K) | Statement of Cash Flows, FY2025 | 0</t>
        </r>
      </text>
    </comment>
    <comment ref="H150" authorId="0">
      <text>
        <r>
          <rPr>
            <sz val="9"/>
            <color rgb="FF000000"/>
            <rFont val="Arial"/>
            <family val="2"/>
          </rPr>
          <t>ge-20260331.htm (1Q26 10-Q) | Statement of Cash Flows, 3M 2026 | 0</t>
        </r>
      </text>
    </comment>
    <comment ref="I150" authorId="0">
      <text>
        <r>
          <rPr>
            <sz val="9"/>
            <color rgb="FF000000"/>
            <rFont val="Arial"/>
            <family val="2"/>
          </rPr>
          <t>ge-20260630.htm (2Q26 10-Q) | Statement of Cash Flows, 6M 2026 | 0</t>
        </r>
      </text>
    </comment>
    <comment ref="C151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84</t>
        </r>
      </text>
    </comment>
    <comment ref="D151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188</t>
        </r>
      </text>
    </comment>
    <comment ref="E151" authorId="0">
      <text>
        <r>
          <rPr>
            <sz val="9"/>
            <color rgb="FF000000"/>
            <rFont val="Arial"/>
            <family val="2"/>
          </rPr>
          <t>ge-20250930.htm (3Q25 10-Q) | Statement of Cash Flows, 9M 2025 | 189</t>
        </r>
      </text>
    </comment>
    <comment ref="F151" authorId="0">
      <text>
        <r>
          <rPr>
            <sz val="9"/>
            <color rgb="FF000000"/>
            <rFont val="Arial"/>
            <family val="2"/>
          </rPr>
          <t>ge-20251231.htm (FY25 10-K) | Statement of Cash Flows, FY2025 | 201</t>
        </r>
      </text>
    </comment>
    <comment ref="H151" authorId="0">
      <text>
        <r>
          <rPr>
            <sz val="9"/>
            <color rgb="FF000000"/>
            <rFont val="Arial"/>
            <family val="2"/>
          </rPr>
          <t>ge-20260331.htm (1Q26 10-Q) | Statement of Cash Flows, 3M 2026 | (57)</t>
        </r>
      </text>
    </comment>
    <comment ref="I151" authorId="0">
      <text>
        <r>
          <rPr>
            <sz val="9"/>
            <color rgb="FF000000"/>
            <rFont val="Arial"/>
            <family val="2"/>
          </rPr>
          <t>ge-20260630.htm (2Q26 10-Q) | Statement of Cash Flows, 6M 2026 | (68)</t>
        </r>
      </text>
    </comment>
    <comment ref="C152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15,880</t>
        </r>
      </text>
    </comment>
    <comment ref="D152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15,880</t>
        </r>
      </text>
    </comment>
    <comment ref="E152" authorId="0">
      <text>
        <r>
          <rPr>
            <sz val="9"/>
            <color rgb="FF000000"/>
            <rFont val="Arial"/>
            <family val="2"/>
          </rPr>
          <t>ge-20250930.htm (3Q25 10-Q) | Statement of Cash Flows, 9M 2025 | 15,880</t>
        </r>
      </text>
    </comment>
    <comment ref="F152" authorId="0">
      <text>
        <r>
          <rPr>
            <sz val="9"/>
            <color rgb="FF000000"/>
            <rFont val="Arial"/>
            <family val="2"/>
          </rPr>
          <t>ge-20251231.htm (FY25 10-K) | Statement of Cash Flows, FY2025 | 15,880</t>
        </r>
      </text>
    </comment>
    <comment ref="H152" authorId="0">
      <text>
        <r>
          <rPr>
            <sz val="9"/>
            <color rgb="FF000000"/>
            <rFont val="Arial"/>
            <family val="2"/>
          </rPr>
          <t>ge-20260331.htm (1Q26 10-Q) | Statement of Cash Flows, 3M 2026 | 14,782</t>
        </r>
      </text>
    </comment>
    <comment ref="I152" authorId="0">
      <text>
        <r>
          <rPr>
            <sz val="9"/>
            <color rgb="FF000000"/>
            <rFont val="Arial"/>
            <family val="2"/>
          </rPr>
          <t>ge-20260630.htm (2Q26 10-Q) | Statement of Cash Flows, 6M 2026 | 14,782</t>
        </r>
      </text>
    </comment>
    <comment ref="C153" authorId="0">
      <text>
        <r>
          <rPr>
            <sz val="9"/>
            <color rgb="FF000000"/>
            <rFont val="Arial"/>
            <family val="2"/>
          </rPr>
          <t>ge-20251231.htm (FY25 10-K) | Less cash of discontinued operations at December 31 2024 | (1,327)</t>
        </r>
      </text>
    </comment>
    <comment ref="C154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(1,372)</t>
        </r>
      </text>
    </comment>
    <comment ref="D154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(1,429)</t>
        </r>
      </text>
    </comment>
    <comment ref="E154" authorId="0">
      <text>
        <r>
          <rPr>
            <sz val="9"/>
            <color rgb="FF000000"/>
            <rFont val="Arial"/>
            <family val="2"/>
          </rPr>
          <t>ge-20250930.htm (3Q25 10-Q) | Statement of Cash Flows, 9M 2025 | (1,171)</t>
        </r>
      </text>
    </comment>
    <comment ref="F154" authorId="0">
      <text>
        <r>
          <rPr>
            <sz val="9"/>
            <color rgb="FF000000"/>
            <rFont val="Arial"/>
            <family val="2"/>
          </rPr>
          <t>ge-20251231.htm (FY25 10-K) | Statement of Cash Flows, FY2025 | (1,126)</t>
        </r>
      </text>
    </comment>
    <comment ref="H154" authorId="0">
      <text>
        <r>
          <rPr>
            <sz val="9"/>
            <color rgb="FF000000"/>
            <rFont val="Arial"/>
            <family val="2"/>
          </rPr>
          <t>ge-20260331.htm (1Q26 10-Q) | Statement of Cash Flows, 3M 2026 | (1,000)</t>
        </r>
      </text>
    </comment>
    <comment ref="I154" authorId="0">
      <text>
        <r>
          <rPr>
            <sz val="9"/>
            <color rgb="FF000000"/>
            <rFont val="Arial"/>
            <family val="2"/>
          </rPr>
          <t>ge-20260630.htm (2Q26 10-Q) | Statement of Cash Flows, 6M 2026 | (854)</t>
        </r>
      </text>
    </comment>
    <comment ref="C155" authorId="0">
      <text>
        <r>
          <rPr>
            <sz val="9"/>
            <color rgb="FF000000"/>
            <rFont val="Arial"/>
            <family val="2"/>
          </rPr>
          <t>ge-20260331.htm (1Q26 10-Q) | Statement of Cash Flows, 3M 2025 comparative | 13,500</t>
        </r>
      </text>
    </comment>
    <comment ref="D155" authorId="0">
      <text>
        <r>
          <rPr>
            <sz val="9"/>
            <color rgb="FF000000"/>
            <rFont val="Arial"/>
            <family val="2"/>
          </rPr>
          <t>ge-20260630.htm (2Q26 10-Q) | Statement of Cash Flows, 6M 2025 comparative | 12,052</t>
        </r>
      </text>
    </comment>
    <comment ref="E155" authorId="0">
      <text>
        <r>
          <rPr>
            <sz val="9"/>
            <color rgb="FF000000"/>
            <rFont val="Arial"/>
            <family val="2"/>
          </rPr>
          <t>ge-20250930.htm (3Q25 10-Q) | Statement of Cash Flows, 9M 2025 | 13,841</t>
        </r>
      </text>
    </comment>
    <comment ref="F155" authorId="0">
      <text>
        <r>
          <rPr>
            <sz val="9"/>
            <color rgb="FF000000"/>
            <rFont val="Arial"/>
            <family val="2"/>
          </rPr>
          <t>ge-20251231.htm (FY25 10-K) | Statement of Cash Flows, FY2025 | 13,657</t>
        </r>
      </text>
    </comment>
    <comment ref="H155" authorId="0">
      <text>
        <r>
          <rPr>
            <sz val="9"/>
            <color rgb="FF000000"/>
            <rFont val="Arial"/>
            <family val="2"/>
          </rPr>
          <t>ge-20260331.htm (1Q26 10-Q) | Statement of Cash Flows, 3M 2026 | 11,799</t>
        </r>
      </text>
    </comment>
    <comment ref="I155" authorId="0">
      <text>
        <r>
          <rPr>
            <sz val="9"/>
            <color rgb="FF000000"/>
            <rFont val="Arial"/>
            <family val="2"/>
          </rPr>
          <t>ge-20260630.htm (2Q26 10-Q) | Statement of Cash Flows, 6M 2026 | 10,513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G10" authorId="0">
      <text>
        <r>
          <rPr>
            <sz val="9"/>
            <color rgb="FF000000"/>
            <rFont val="Arial"/>
            <family val="2"/>
          </rPr>
          <t>ge-20251231.htm (FY25 10-K) | R150 revenue by geographical area 2025 United States | 18,194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ge-20251231.htm (FY25 10-K) | R150 revenue by geographical area 2025 Europe | 8,603</t>
        </r>
      </text>
    </comment>
    <comment ref="G22" authorId="0">
      <text>
        <r>
          <rPr>
            <sz val="9"/>
            <color rgb="FF000000"/>
            <rFont val="Arial"/>
            <family val="2"/>
          </rPr>
          <t>ge-20251231.htm (FY25 10-K) | R150 revenue by geographical area 2025 Asia | 10,819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ge-20251231.htm (FY25 10-K) | R150 revenue by geographical area 2025 Americas (ex-U.S.) | 3,664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ge-20251231.htm (FY25 10-K) | R150 revenue by geographical area 2025 Middle East and Africa | 4,575</t>
        </r>
      </text>
    </comment>
    <comment ref="G54" authorId="0">
      <text>
        <r>
          <rPr>
            <sz val="9"/>
            <color rgb="FF000000"/>
            <rFont val="Arial"/>
            <family val="2"/>
          </rPr>
          <t>ge-20251231.htm (FY25 10-K) | R150 revenue by geographical area 2024 United States | 17,340</t>
        </r>
      </text>
    </comment>
    <comment ref="G55" authorId="0">
      <text>
        <r>
          <rPr>
            <sz val="9"/>
            <color rgb="FF000000"/>
            <rFont val="Arial"/>
            <family val="2"/>
          </rPr>
          <t>ge-20251231.htm (FY25 10-K) | R150 revenue by geographical area 2024 Europe | 7,800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ge-20251231.htm (FY25 10-K) | R150 revenue by geographical area 2024 Asia | 7,237</t>
        </r>
      </text>
    </comment>
    <comment ref="G57" authorId="0">
      <text>
        <r>
          <rPr>
            <sz val="9"/>
            <color rgb="FF000000"/>
            <rFont val="Arial"/>
            <family val="2"/>
          </rPr>
          <t>ge-20251231.htm (FY25 10-K) | R150 revenue by geographical area 2024 Americas (ex-U.S.) | 2,593</t>
        </r>
      </text>
    </comment>
    <comment ref="G58" authorId="0">
      <text>
        <r>
          <rPr>
            <sz val="9"/>
            <color rgb="FF000000"/>
            <rFont val="Arial"/>
            <family val="2"/>
          </rPr>
          <t>ge-20251231.htm (FY25 10-K) | R150 revenue by geographical area 2024 Middle East and Africa | 3,734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ge-20251231.htm (FY25 10-K) | shares outstanding at December 31, 2024 | 1,073.692</t>
        </r>
      </text>
    </comment>
    <comment ref="C11" authorId="0">
      <text>
        <r>
          <rPr>
            <sz val="9"/>
            <color rgb="FF000000"/>
            <rFont val="Arial"/>
            <family val="2"/>
          </rPr>
          <t>ge-20250331.htm (1Q25 10-Q) | Purchases of equity securities, 3M 2025 | 9.470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ge-20250630.htm (2Q25 10-Q) | Purchases of equity securities, 3M 2025 | 7.143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ge-20250930.htm (3Q25 10-Q) | Purchases of equity securities, 3M 2025 | 6.616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ge-20251231.htm (FY25 10-K) | Purchases of equity securities, 3M Dec 31 2025 | 6.404</t>
        </r>
      </text>
    </comment>
    <comment ref="H11" authorId="0">
      <text>
        <r>
          <rPr>
            <sz val="9"/>
            <color rgb="FF000000"/>
            <rFont val="Arial"/>
            <family val="2"/>
          </rPr>
          <t>ge-20260331.htm (1Q26 10-Q) | Purchases of equity securities, 3M 2026 | 7.167</t>
        </r>
      </text>
    </comment>
    <comment ref="I11" authorId="0">
      <text>
        <r>
          <rPr>
            <sz val="9"/>
            <color rgb="FF000000"/>
            <rFont val="Arial"/>
            <family val="2"/>
          </rPr>
          <t>ge-20260630.htm (2Q26 10-Q) | Purchases of equity securities, 3M 2026 | 6.888</t>
        </r>
      </text>
    </comment>
    <comment ref="C15" authorId="0">
      <text>
        <r>
          <rPr>
            <sz val="9"/>
            <color rgb="FF000000"/>
            <rFont val="Arial"/>
            <family val="2"/>
          </rPr>
          <t>ge-20250331.htm (1Q25 10-Q) | Statement of Financial Position, Mar 31 2025 | 1,066.387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ge-20250630.htm (2Q25 10-Q) | Statement of Financial Position, Jun 30 2025 | 1,060.439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ge-20250930.htm (3Q25 10-Q) | Statement of Financial Position, Sep 30 2025 | 1,054.814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ge-20251231.htm (FY25 10-K) | Statement of Financial Position, Dec 31 2025 | 1,048.767</t>
        </r>
      </text>
    </comment>
    <comment ref="H15" authorId="0">
      <text>
        <r>
          <rPr>
            <sz val="9"/>
            <color rgb="FF000000"/>
            <rFont val="Arial"/>
            <family val="2"/>
          </rPr>
          <t>ge-20260331.htm (1Q26 10-Q) | Statement of Financial Position, Mar 31 2026 | 1,043.337</t>
        </r>
      </text>
    </comment>
    <comment ref="I15" authorId="0">
      <text>
        <r>
          <rPr>
            <sz val="9"/>
            <color rgb="FF000000"/>
            <rFont val="Arial"/>
            <family val="2"/>
          </rPr>
          <t>ge-20260630.htm (2Q26 10-Q) | Statement of Financial Position, Jun 30 2026 | 1,037.563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ge-20250331.htm (1Q25 10-Q) | Purchases of equity securities, 3M 2025 | 1,913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ge-20250630.htm (2Q25 10-Q) | Purchases of equity securities, 3M 2025 | 1,617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ge-20250930.htm (3Q25 10-Q) | Purchases of equity securities, 3M 2025 | 1,840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ge-20251231.htm (FY25 10-K) | Purchases of equity securities, 3M Dec 31 2025 | 2,006</t>
        </r>
      </text>
    </comment>
    <comment ref="H18" authorId="0">
      <text>
        <r>
          <rPr>
            <sz val="9"/>
            <color rgb="FF000000"/>
            <rFont val="Arial"/>
            <family val="2"/>
          </rPr>
          <t>ge-20260331.htm (1Q26 10-Q) | Purchases of equity securities, 3M 2026 | 2,211</t>
        </r>
      </text>
    </comment>
    <comment ref="I18" authorId="0">
      <text>
        <r>
          <rPr>
            <sz val="9"/>
            <color rgb="FF000000"/>
            <rFont val="Arial"/>
            <family val="2"/>
          </rPr>
          <t>ge-20260630.htm (2Q26 10-Q) | Purchases of equity securities, 3M 2026 | 2,012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ge-20260331.htm (1Q26 10-Q) | Note 17 EPS information, 3M 2025 | 1,070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ge-20260630.htm (2Q26 10-Q) | Note 17 EPS information, 3M 2025 | 1,063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ge-20250930.htm (3Q25 10-Q) | Note 17 EPS information, 3M 2025 | 1,058</t>
        </r>
      </text>
    </comment>
    <comment ref="G26" authorId="0">
      <text>
        <r>
          <rPr>
            <sz val="9"/>
            <color rgb="FF000000"/>
            <rFont val="Arial"/>
            <family val="2"/>
          </rPr>
          <t>ge-20251231.htm (FY25 10-K) | EPS details: basic shares 2025 | 1,061</t>
        </r>
      </text>
    </comment>
    <comment ref="H26" authorId="0">
      <text>
        <r>
          <rPr>
            <sz val="9"/>
            <color rgb="FF000000"/>
            <rFont val="Arial"/>
            <family val="2"/>
          </rPr>
          <t>ge-20260331.htm (1Q26 10-Q) | Note 17 EPS information, 3M 2026 | 1,046</t>
        </r>
      </text>
    </comment>
    <comment ref="I26" authorId="0">
      <text>
        <r>
          <rPr>
            <sz val="9"/>
            <color rgb="FF000000"/>
            <rFont val="Arial"/>
            <family val="2"/>
          </rPr>
          <t>ge-20260630.htm (2Q26 10-Q) | Note 17 EPS information, 3M 2026 | 1,040</t>
        </r>
      </text>
    </comment>
    <comment ref="C30" authorId="0">
      <text>
        <r>
          <rPr>
            <sz val="9"/>
            <color rgb="FF000000"/>
            <rFont val="Arial"/>
            <family val="2"/>
          </rPr>
          <t>ge-20260331.htm (1Q26 10-Q) | Note 17 EPS information, 3M 2025 | 1,078</t>
        </r>
      </text>
    </comment>
    <comment ref="D30" authorId="0">
      <text>
        <r>
          <rPr>
            <sz val="9"/>
            <color rgb="FF000000"/>
            <rFont val="Arial"/>
            <family val="2"/>
          </rPr>
          <t>ge-20260630.htm (2Q26 10-Q) | Note 17 EPS information, 3M 2025 | 1,071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ge-20250930.htm (3Q25 10-Q) | Note 17 EPS information, 3M 2025 | 1,065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geaerospace_webcast_presentation_01222026.pdf | Slide: share count 4Q25 | 1,060</t>
        </r>
      </text>
    </comment>
    <comment ref="G30" authorId="0">
      <text>
        <r>
          <rPr>
            <sz val="9"/>
            <color rgb="FF000000"/>
            <rFont val="Arial"/>
            <family val="2"/>
          </rPr>
          <t>ge-20251231.htm (FY25 10-K) | EPS details: diluted shares 2025 | 1,068</t>
        </r>
      </text>
    </comment>
    <comment ref="H30" authorId="0">
      <text>
        <r>
          <rPr>
            <sz val="9"/>
            <color rgb="FF000000"/>
            <rFont val="Arial"/>
            <family val="2"/>
          </rPr>
          <t>ge-20260331.htm (1Q26 10-Q) | Note 17 EPS information, 3M 2026 | 1,054</t>
        </r>
      </text>
    </comment>
    <comment ref="I30" authorId="0">
      <text>
        <r>
          <rPr>
            <sz val="9"/>
            <color rgb="FF000000"/>
            <rFont val="Arial"/>
            <family val="2"/>
          </rPr>
          <t>ge-20260630.htm (2Q26 10-Q) | Note 17 EPS information, 3M 2026 | 1,047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E10" authorId="0">
      <text>
        <r>
          <rPr>
            <sz val="9"/>
            <color rgb="FF000000"/>
            <rFont val="Arial"/>
            <family val="2"/>
          </rPr>
          <t>ge3q2025earningsrelease.htm | 2025 Guide Prior Adjusted EPS $5.60 - $5.80 | 5.600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ge3q2025earningsrelease.htm | 2025 Guide Prior Adjusted EPS $5.60 - $5.80 | 5.800</t>
        </r>
      </text>
    </comment>
    <comment ref="H10" authorId="0">
      <text>
        <r>
          <rPr>
            <sz val="9"/>
            <color rgb="FF000000"/>
            <rFont val="Arial"/>
            <family val="2"/>
          </rPr>
          <t>ge4q2025earningsrelease.htm | FY2025 reported (adjusted EPS $6.37 / pre-recast segment operating profit) | 6.370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ge3q2025earningsrelease.htm | 2025 Guide Prior Operating Profit $8.2 - $8.5B | 8,200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ge3q2025earningsrelease.htm | 2025 Guide Prior Operating Profit $8.2 - $8.5B | 8,500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ge3q2025earningsrelease.htm | 2025 Guide Prior FCF $6.5 - $6.9B | 6,500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ge3q2025earningsrelease.htm | 2025 Guide Prior FCF $6.5 - $6.9B | 6,900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ge3q2025earningsrelease.htm | 2025 Guide Current Adjusted EPS $6.00 - $6.20 | 6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ge3q2025earningsrelease.htm | 2025 Guide Current Adjusted EPS $6.00 - $6.20 | 6.200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ge3q2025earningsrelease.htm | 2025 Guide Current Operating Profit $8.65 - $8.85B | 8,650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ge3q2025earningsrelease.htm | 2025 Guide Current Operating Profit $8.65 - $8.85B | 8,850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ge3q2025earningsrelease.htm | 2025 Guide Current FCF $7.1 - $7.3B | 7,100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ge3q2025earningsrelease.htm | 2025 Guide Current FCF $7.1 - $7.3B | 7,300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ge3q2025earningsrelease.htm | CES operating profit $8.45 billion to $8.65 billion | 8,450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ge3q2025earningsrelease.htm | CES operating profit $8.45 billion to $8.65 billion | 8,650</t>
        </r>
      </text>
    </comment>
    <comment ref="H16" authorId="0">
      <text>
        <r>
          <rPr>
            <sz val="9"/>
            <color rgb="FF000000"/>
            <rFont val="Arial"/>
            <family val="2"/>
          </rPr>
          <t>ge4q2025earningsrelease.htm | FY2025 reported (adjusted EPS $6.37 / pre-recast segment operating profit) | 8,861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ge3q2025earningsrelease.htm | DPT operating profit $1.2 billion to $1.3 billion | 1,200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ge3q2025earningsrelease.htm | DPT operating profit $1.2 billion to $1.3 billion | 1,300</t>
        </r>
      </text>
    </comment>
    <comment ref="H17" authorId="0">
      <text>
        <r>
          <rPr>
            <sz val="9"/>
            <color rgb="FF000000"/>
            <rFont val="Arial"/>
            <family val="2"/>
          </rPr>
          <t>ge4q2025earningsrelease.htm | FY2025 reported (adjusted EPS $6.37 / pre-recast segment operating profit) | 1,296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ge4q2025earningsrelease.htm | 2026 Guide Adjusted EPS $7.10 - $7.40 | 7.100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ge4q2025earningsrelease.htm | 2026 Guide Adjusted EPS $7.10 - $7.40 | 7.400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ge4q2025earningsrelease.htm | 2026 Guide Operating Profit $9.85B - $10.25B | 9,850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ge4q2025earningsrelease.htm | 2026 Guide Operating Profit $9.85B - $10.25B | 10,250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ge4q2025earningsrelease.htm | 2026 Guide FCF $8.0B - $8.4B | 8,000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ge4q2025earningsrelease.htm | 2026 Guide FCF $8.0B - $8.4B | 8,400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ge4q2025earningsrelease.htm | CES Operating Profit $9.6 - $9.9B | 9,600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ge4q2025earningsrelease.htm | CES Operating Profit $9.6 - $9.9B | 9,900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ge4q2025earningsrelease.htm | DPT Operating Profit $1.55 - $1.65B | 1,550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ge4q2025earningsrelease.htm | DPT Operating Profit $1.55 - $1.65B | 1,650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ge4q2025earningsrelease.htm | Corporate Cost &amp; Eliminations $(1.2) - $(1.3)B | (1,300)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ge4q2025earningsrelease.htm | Corporate Cost &amp; Eliminations $(1.2) - $(1.3)B | (1,200)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ge1q2026earningsrelease.htm | 2026 Guide Adjusted EPS $7.10 - $7.40 | 7.100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ge1q2026earningsrelease.htm | 2026 Guide Adjusted EPS $7.10 - $7.40 | 7.400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ge1q2026earningsrelease.htm | 2026 Guide Operating Profit $9.85B - $10.25B | 9,850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ge1q2026earningsrelease.htm | 2026 Guide Operating Profit $9.85B - $10.25B | 10,250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ge1q2026earningsrelease.htm | 2026 Guide FCF $8.0B - $8.4B | 8,000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ge1q2026earningsrelease.htm | 2026 Guide FCF $8.0B - $8.4B | 8,400</t>
        </r>
      </text>
    </comment>
    <comment ref="E27" authorId="0">
      <text>
        <r>
          <rPr>
            <sz val="9"/>
            <color rgb="FF000000"/>
            <rFont val="Arial"/>
            <family val="2"/>
          </rPr>
          <t>ge2q2026earningsrelease.htm | 2026 Guide Current Adjusted EPS $7.65 - $7.85 | 7.650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ge2q2026earningsrelease.htm | 2026 Guide Current Adjusted EPS $7.65 - $7.85 | 7.850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ge2q2026earningsrelease.htm | 2026 Guide Current Operating Profit $10.55 - $10.75B | 10,550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ge2q2026earningsrelease.htm | 2026 Guide Current Operating Profit $10.55 - $10.75B | 10,750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ge2q2026earningsrelease.htm | 2026 Guide Current FCF $8.9 - $9.2B | 8,900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ge2q2026earningsrelease.htm | 2026 Guide Current FCF $8.9 - $9.2B | 9,200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ge2q2026earningsrelease.htm | CES operating profit $10.25-$10.35 billion | 10,250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ge2q2026earningsrelease.htm | CES operating profit $10.25-$10.35 billion | 10,350</t>
        </r>
      </text>
    </comment>
    <comment ref="E31" authorId="0">
      <text>
        <r>
          <rPr>
            <sz val="9"/>
            <color rgb="FF000000"/>
            <rFont val="Arial"/>
            <family val="2"/>
          </rPr>
          <t>ge2q2026earningsrelease.htm | DPT operating profit of $1.6-$1.7 billion | 1,600</t>
        </r>
      </text>
    </comment>
    <comment ref="F31" authorId="0">
      <text>
        <r>
          <rPr>
            <sz val="9"/>
            <color rgb="FF000000"/>
            <rFont val="Arial"/>
            <family val="2"/>
          </rPr>
          <t>ge2q2026earningsrelease.htm | DPT operating profit of $1.6-$1.7 billion | 1,700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geaerospace_webcast_presentation_07162026_2.pdf | Corporate Cost &amp; Eliminations $(1.2)-(1.3) | (1,300)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geaerospace_webcast_presentation_07162026_2.pdf | Corporate Cost &amp; Eliminations $(1.2)-(1.3) | (1,200)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ge2q2026earningsrelease.htm | Adjusted Revenue Growth High-teens | 17%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ge2q2026earningsrelease.htm | Adjusted Revenue Growth High-teens | 19%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geaerospace_webcast_presentation_07162026_2.pdf | Interest expense ~$(900)M in FY26 | 900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geaerospace_webcast_presentation_07162026_2.pdf | Interest expense ~$(900)M in FY26 | 900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geaerospace_webcast_presentation_07162026_2.pdf | Adjusted ETR &lt;16.5% in FY26 | 16%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geaerospace_webcast_presentation_07162026_2.pdf | ~1,050M shares in FY26 | 1,050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geaerospace_webcast_presentation_07162026_2.pdf | ~1,050M shares in FY26 | 1,050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6" authorId="0">
      <text>
        <r>
          <rPr>
            <sz val="9"/>
            <color rgb="FF000000"/>
            <rFont val="Arial"/>
            <family val="2"/>
          </rPr>
          <t>GE_consensus.json | top-level analyst_count | 18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GE_consensus.json | top-level consensus_eps | 2.010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GE_consensus.json | top-level consensus_revenue_m | 12,877.840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GE_consensus.json | summary_row.eps_normalized_estimates | 18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GE_consensus.json | summary_row.eps_normalized_contributors | 18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GE_consensus.json | summary_row.eps_normalized_mean | 2.010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GE_consensus.json | summary_row.eps_normalized_median | 2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GE_consensus.json | summary_row.eps_normalized_high | 2.090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GE_consensus.json | summary_row.eps_normalized_low | 1.960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GE_consensus.json | summary_row.eps_normalized_std_dev | 0.030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GE_consensus.json | summary_row.eps_normalized_n_est | 18</t>
        </r>
      </text>
    </comment>
    <comment ref="C52" authorId="0">
      <text>
        <r>
          <rPr>
            <sz val="9"/>
            <color rgb="FF000000"/>
            <rFont val="Arial"/>
            <family val="2"/>
          </rPr>
          <t>GE_consensus.json | summary_row.eps_gaap_mean | 2.200</t>
        </r>
      </text>
    </comment>
    <comment ref="C53" authorId="0">
      <text>
        <r>
          <rPr>
            <sz val="9"/>
            <color rgb="FF000000"/>
            <rFont val="Arial"/>
            <family val="2"/>
          </rPr>
          <t>GE_consensus.json | summary_row.eps_gaap_median | 2.210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GE_consensus.json | summary_row.eps_gaap_high | 2.320</t>
        </r>
      </text>
    </comment>
    <comment ref="C55" authorId="0">
      <text>
        <r>
          <rPr>
            <sz val="9"/>
            <color rgb="FF000000"/>
            <rFont val="Arial"/>
            <family val="2"/>
          </rPr>
          <t>GE_consensus.json | summary_row.eps_gaap_low | 2.010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GE_consensus.json | summary_row.eps_gaap_std_dev | 0.110</t>
        </r>
      </text>
    </comment>
    <comment ref="C57" authorId="0">
      <text>
        <r>
          <rPr>
            <sz val="9"/>
            <color rgb="FF000000"/>
            <rFont val="Arial"/>
            <family val="2"/>
          </rPr>
          <t>GE_consensus.json | summary_row.eps_gaap_n_est | 8</t>
        </r>
      </text>
    </comment>
    <comment ref="C61" authorId="0">
      <text>
        <r>
          <rPr>
            <sz val="9"/>
            <color rgb="FF000000"/>
            <rFont val="Arial"/>
            <family val="2"/>
          </rPr>
          <t>GE_consensus.json | summary_row.revenue_mean | 12,877.840</t>
        </r>
      </text>
    </comment>
    <comment ref="C62" authorId="0">
      <text>
        <r>
          <rPr>
            <sz val="9"/>
            <color rgb="FF000000"/>
            <rFont val="Arial"/>
            <family val="2"/>
          </rPr>
          <t>GE_consensus.json | summary_row.revenue_median | 12,863.550</t>
        </r>
      </text>
    </comment>
    <comment ref="C63" authorId="0">
      <text>
        <r>
          <rPr>
            <sz val="9"/>
            <color rgb="FF000000"/>
            <rFont val="Arial"/>
            <family val="2"/>
          </rPr>
          <t>GE_consensus.json | summary_row.revenue_high | 13,133</t>
        </r>
      </text>
    </comment>
    <comment ref="C64" authorId="0">
      <text>
        <r>
          <rPr>
            <sz val="9"/>
            <color rgb="FF000000"/>
            <rFont val="Arial"/>
            <family val="2"/>
          </rPr>
          <t>GE_consensus.json | summary_row.revenue_low | 12,554</t>
        </r>
      </text>
    </comment>
    <comment ref="C65" authorId="0">
      <text>
        <r>
          <rPr>
            <sz val="9"/>
            <color rgb="FF000000"/>
            <rFont val="Arial"/>
            <family val="2"/>
          </rPr>
          <t>GE_consensus.json | summary_row.revenue_std_dev | 165.090</t>
        </r>
      </text>
    </comment>
    <comment ref="C66" authorId="0">
      <text>
        <r>
          <rPr>
            <sz val="9"/>
            <color rgb="FF000000"/>
            <rFont val="Arial"/>
            <family val="2"/>
          </rPr>
          <t>GE_consensus.json | summary_row.revenue_n_est | 13</t>
        </r>
      </text>
    </comment>
    <comment ref="C70" authorId="0">
      <text>
        <r>
          <rPr>
            <sz val="9"/>
            <color rgb="FF000000"/>
            <rFont val="Arial"/>
            <family val="2"/>
          </rPr>
          <t>GE_consensus.json | summary_row.ebitda | 3,088.560</t>
        </r>
      </text>
    </comment>
    <comment ref="C71" authorId="0">
      <text>
        <r>
          <rPr>
            <sz val="9"/>
            <color rgb="FF000000"/>
            <rFont val="Arial"/>
            <family val="2"/>
          </rPr>
          <t>GE_consensus.json | summary_row.ebit | 2,810.360</t>
        </r>
      </text>
    </comment>
    <comment ref="C72" authorId="0">
      <text>
        <r>
          <rPr>
            <sz val="9"/>
            <color rgb="FF000000"/>
            <rFont val="Arial"/>
            <family val="2"/>
          </rPr>
          <t>GE_consensus.json | summary_row.ebt_excl_excep | 2,499.700</t>
        </r>
      </text>
    </comment>
    <comment ref="C73" authorId="0">
      <text>
        <r>
          <rPr>
            <sz val="9"/>
            <color rgb="FF000000"/>
            <rFont val="Arial"/>
            <family val="2"/>
          </rPr>
          <t>GE_consensus.json | summary_row.ebt_gaap | 2,772.810</t>
        </r>
      </text>
    </comment>
    <comment ref="C74" authorId="0">
      <text>
        <r>
          <rPr>
            <sz val="9"/>
            <color rgb="FF000000"/>
            <rFont val="Arial"/>
            <family val="2"/>
          </rPr>
          <t>GE_consensus.json | summary_row.net_income_excl_excep | 2,099.250</t>
        </r>
      </text>
    </comment>
    <comment ref="C75" authorId="0">
      <text>
        <r>
          <rPr>
            <sz val="9"/>
            <color rgb="FF000000"/>
            <rFont val="Arial"/>
            <family val="2"/>
          </rPr>
          <t>GE_consensus.json | summary_row.net_income_gaap | 2,332.450</t>
        </r>
      </text>
    </comment>
    <comment ref="C78" authorId="0">
      <text>
        <r>
          <rPr>
            <sz val="9"/>
            <color rgb="FF000000"/>
            <rFont val="Arial"/>
            <family val="2"/>
          </rPr>
          <t>GE_consensus.json | summary_row.d_and_a | 321</t>
        </r>
      </text>
    </comment>
    <comment ref="C82" authorId="0">
      <text>
        <r>
          <rPr>
            <sz val="9"/>
            <color rgb="FF000000"/>
            <rFont val="Arial"/>
            <family val="2"/>
          </rPr>
          <t>GE_consensus.json | summary_row.interest_expense | (221.500)</t>
        </r>
      </text>
    </comment>
    <comment ref="C83" authorId="0">
      <text>
        <r>
          <rPr>
            <sz val="9"/>
            <color rgb="FF000000"/>
            <rFont val="Arial"/>
            <family val="2"/>
          </rPr>
          <t>GE_consensus.json | summary_row.net_debt | 10,184.420</t>
        </r>
      </text>
    </comment>
    <comment ref="C86" authorId="0">
      <text>
        <r>
          <rPr>
            <sz val="9"/>
            <color rgb="FF000000"/>
            <rFont val="Arial"/>
            <family val="2"/>
          </rPr>
          <t>GE_consensus.json | summary_row.target_price_mean | 391.190</t>
        </r>
      </text>
    </comment>
    <comment ref="C87" authorId="0">
      <text>
        <r>
          <rPr>
            <sz val="9"/>
            <color rgb="FF000000"/>
            <rFont val="Arial"/>
            <family val="2"/>
          </rPr>
          <t>GE_consensus.json | summary_row.target_price_median | 400</t>
        </r>
      </text>
    </comment>
    <comment ref="C88" authorId="0">
      <text>
        <r>
          <rPr>
            <sz val="9"/>
            <color rgb="FF000000"/>
            <rFont val="Arial"/>
            <family val="2"/>
          </rPr>
          <t>GE_consensus.json | summary_row.target_price_high | 435</t>
        </r>
      </text>
    </comment>
    <comment ref="C89" authorId="0">
      <text>
        <r>
          <rPr>
            <sz val="9"/>
            <color rgb="FF000000"/>
            <rFont val="Arial"/>
            <family val="2"/>
          </rPr>
          <t>GE_consensus.json | summary_row.target_price_low | 305</t>
        </r>
      </text>
    </comment>
    <comment ref="C90" authorId="0">
      <text>
        <r>
          <rPr>
            <sz val="9"/>
            <color rgb="FF000000"/>
            <rFont val="Arial"/>
            <family val="2"/>
          </rPr>
          <t>GE_consensus.json | summary_row.target_price_std_dev | 30.160</t>
        </r>
      </text>
    </comment>
    <comment ref="C91" authorId="0">
      <text>
        <r>
          <rPr>
            <sz val="9"/>
            <color rgb="FF000000"/>
            <rFont val="Arial"/>
            <family val="2"/>
          </rPr>
          <t>GE_consensus.json | summary_row.target_price_n_est | 21</t>
        </r>
      </text>
    </comment>
    <comment ref="C93" authorId="0">
      <text>
        <r>
          <rPr>
            <sz val="9"/>
            <color rgb="FF000000"/>
            <rFont val="Arial"/>
            <family val="2"/>
          </rPr>
          <t>GE_consensus.json | summary_row.recommendation_score | 1.520</t>
        </r>
      </text>
    </comment>
    <comment ref="C94" authorId="0">
      <text>
        <r>
          <rPr>
            <sz val="9"/>
            <color rgb="FF000000"/>
            <rFont val="Arial"/>
            <family val="2"/>
          </rPr>
          <t>GE_consensus.json | summary_row.last_close_price | 313.830</t>
        </r>
      </text>
    </comment>
    <comment ref="C101" authorId="0">
      <text>
        <r>
          <rPr>
            <sz val="9"/>
            <color rgb="FF000000"/>
            <rFont val="Arial"/>
            <family val="2"/>
          </rPr>
          <t>GE_history.csv | eps_normalized_consensus, row 2025-03-31 | 1.270</t>
        </r>
      </text>
    </comment>
    <comment ref="D101" authorId="0">
      <text>
        <r>
          <rPr>
            <sz val="9"/>
            <color rgb="FF000000"/>
            <rFont val="Arial"/>
            <family val="2"/>
          </rPr>
          <t>GE_history.csv | eps_normalized_consensus, row 2025-06-30 | 1.430</t>
        </r>
      </text>
    </comment>
    <comment ref="E101" authorId="0">
      <text>
        <r>
          <rPr>
            <sz val="9"/>
            <color rgb="FF000000"/>
            <rFont val="Arial"/>
            <family val="2"/>
          </rPr>
          <t>GE_history.csv | eps_normalized_consensus, row 2025-09-30 | 1.470</t>
        </r>
      </text>
    </comment>
    <comment ref="F101" authorId="0">
      <text>
        <r>
          <rPr>
            <sz val="9"/>
            <color rgb="FF000000"/>
            <rFont val="Arial"/>
            <family val="2"/>
          </rPr>
          <t>GE_history.csv | eps_normalized_consensus, row 2025-12-31 | 1.430</t>
        </r>
      </text>
    </comment>
    <comment ref="H101" authorId="0">
      <text>
        <r>
          <rPr>
            <sz val="9"/>
            <color rgb="FF000000"/>
            <rFont val="Arial"/>
            <family val="2"/>
          </rPr>
          <t>GE_history.csv | eps_normalized_consensus, row 2026-03-31 | 1.600</t>
        </r>
      </text>
    </comment>
    <comment ref="I101" authorId="0">
      <text>
        <r>
          <rPr>
            <sz val="9"/>
            <color rgb="FF000000"/>
            <rFont val="Arial"/>
            <family val="2"/>
          </rPr>
          <t>GE_history.csv | eps_normalized_consensus, row 2026-06-30 | 1.860</t>
        </r>
      </text>
    </comment>
    <comment ref="C102" authorId="0">
      <text>
        <r>
          <rPr>
            <sz val="9"/>
            <color rgb="FF000000"/>
            <rFont val="Arial"/>
            <family val="2"/>
          </rPr>
          <t>GE_history.csv | eps_normalized_actual, row 2025-03-31 | 1.490</t>
        </r>
      </text>
    </comment>
    <comment ref="D102" authorId="0">
      <text>
        <r>
          <rPr>
            <sz val="9"/>
            <color rgb="FF000000"/>
            <rFont val="Arial"/>
            <family val="2"/>
          </rPr>
          <t>GE_history.csv | eps_normalized_actual, row 2025-06-30 | 1.660</t>
        </r>
      </text>
    </comment>
    <comment ref="E102" authorId="0">
      <text>
        <r>
          <rPr>
            <sz val="9"/>
            <color rgb="FF000000"/>
            <rFont val="Arial"/>
            <family val="2"/>
          </rPr>
          <t>GE_history.csv | eps_normalized_actual, row 2025-09-30 | 1.660</t>
        </r>
      </text>
    </comment>
    <comment ref="F102" authorId="0">
      <text>
        <r>
          <rPr>
            <sz val="9"/>
            <color rgb="FF000000"/>
            <rFont val="Arial"/>
            <family val="2"/>
          </rPr>
          <t>GE_history.csv | eps_normalized_actual, row 2025-12-31 | 1.570</t>
        </r>
      </text>
    </comment>
    <comment ref="H102" authorId="0">
      <text>
        <r>
          <rPr>
            <sz val="9"/>
            <color rgb="FF000000"/>
            <rFont val="Arial"/>
            <family val="2"/>
          </rPr>
          <t>GE_history.csv | eps_normalized_actual, row 2026-03-31 | 1.860</t>
        </r>
      </text>
    </comment>
    <comment ref="I102" authorId="0">
      <text>
        <r>
          <rPr>
            <sz val="9"/>
            <color rgb="FF000000"/>
            <rFont val="Arial"/>
            <family val="2"/>
          </rPr>
          <t>GE_history.csv | eps_normalized_actual, row 2026-06-30 | 2.020</t>
        </r>
      </text>
    </comment>
    <comment ref="C103" authorId="0">
      <text>
        <r>
          <rPr>
            <sz val="9"/>
            <color rgb="FF000000"/>
            <rFont val="Arial"/>
            <family val="2"/>
          </rPr>
          <t>GE_history.csv | eps_gaap_consensus, row 2025-03-31 | 1.420</t>
        </r>
      </text>
    </comment>
    <comment ref="D103" authorId="0">
      <text>
        <r>
          <rPr>
            <sz val="9"/>
            <color rgb="FF000000"/>
            <rFont val="Arial"/>
            <family val="2"/>
          </rPr>
          <t>GE_history.csv | eps_gaap_consensus, row 2025-06-30 | 1.530</t>
        </r>
      </text>
    </comment>
    <comment ref="E103" authorId="0">
      <text>
        <r>
          <rPr>
            <sz val="9"/>
            <color rgb="FF000000"/>
            <rFont val="Arial"/>
            <family val="2"/>
          </rPr>
          <t>GE_history.csv | eps_gaap_consensus, row 2025-09-30 | 1.610</t>
        </r>
      </text>
    </comment>
    <comment ref="F103" authorId="0">
      <text>
        <r>
          <rPr>
            <sz val="9"/>
            <color rgb="FF000000"/>
            <rFont val="Arial"/>
            <family val="2"/>
          </rPr>
          <t>GE_history.csv | eps_gaap_consensus, row 2025-12-31 | 1.580</t>
        </r>
      </text>
    </comment>
    <comment ref="H103" authorId="0">
      <text>
        <r>
          <rPr>
            <sz val="9"/>
            <color rgb="FF000000"/>
            <rFont val="Arial"/>
            <family val="2"/>
          </rPr>
          <t>GE_history.csv | eps_gaap_consensus, row 2026-03-31 | 1.720</t>
        </r>
      </text>
    </comment>
    <comment ref="I103" authorId="0">
      <text>
        <r>
          <rPr>
            <sz val="9"/>
            <color rgb="FF000000"/>
            <rFont val="Arial"/>
            <family val="2"/>
          </rPr>
          <t>GE_history.csv | eps_gaap_consensus, row 2026-06-30 | 2.070</t>
        </r>
      </text>
    </comment>
    <comment ref="C104" authorId="0">
      <text>
        <r>
          <rPr>
            <sz val="9"/>
            <color rgb="FF000000"/>
            <rFont val="Arial"/>
            <family val="2"/>
          </rPr>
          <t>GE_history.csv | eps_gaap_actual, row 2025-03-31 | 1.830</t>
        </r>
      </text>
    </comment>
    <comment ref="D104" authorId="0">
      <text>
        <r>
          <rPr>
            <sz val="9"/>
            <color rgb="FF000000"/>
            <rFont val="Arial"/>
            <family val="2"/>
          </rPr>
          <t>GE_history.csv | eps_gaap_actual, row 2025-06-30 | 1.870</t>
        </r>
      </text>
    </comment>
    <comment ref="E104" authorId="0">
      <text>
        <r>
          <rPr>
            <sz val="9"/>
            <color rgb="FF000000"/>
            <rFont val="Arial"/>
            <family val="2"/>
          </rPr>
          <t>GE_history.csv | eps_gaap_actual, row 2025-09-30 | 2.040</t>
        </r>
      </text>
    </comment>
    <comment ref="F104" authorId="0">
      <text>
        <r>
          <rPr>
            <sz val="9"/>
            <color rgb="FF000000"/>
            <rFont val="Arial"/>
            <family val="2"/>
          </rPr>
          <t>GE_history.csv | eps_gaap_actual, row 2025-12-31 | 2.310</t>
        </r>
      </text>
    </comment>
    <comment ref="H104" authorId="0">
      <text>
        <r>
          <rPr>
            <sz val="9"/>
            <color rgb="FF000000"/>
            <rFont val="Arial"/>
            <family val="2"/>
          </rPr>
          <t>GE_history.csv | eps_gaap_actual, row 2026-03-31 | 1.830</t>
        </r>
      </text>
    </comment>
    <comment ref="I104" authorId="0">
      <text>
        <r>
          <rPr>
            <sz val="9"/>
            <color rgb="FF000000"/>
            <rFont val="Arial"/>
            <family val="2"/>
          </rPr>
          <t>GE_history.csv | eps_gaap_actual, row 2026-06-30 | 2.300</t>
        </r>
      </text>
    </comment>
    <comment ref="C105" authorId="0">
      <text>
        <r>
          <rPr>
            <sz val="9"/>
            <color rgb="FF000000"/>
            <rFont val="Arial"/>
            <family val="2"/>
          </rPr>
          <t>GE_history.csv | revenue_m_consensus, row 2025-03-31 | 9,047.750</t>
        </r>
      </text>
    </comment>
    <comment ref="D105" authorId="0">
      <text>
        <r>
          <rPr>
            <sz val="9"/>
            <color rgb="FF000000"/>
            <rFont val="Arial"/>
            <family val="2"/>
          </rPr>
          <t>GE_history.csv | revenue_m_consensus, row 2025-06-30 | 9,583.670</t>
        </r>
      </text>
    </comment>
    <comment ref="E105" authorId="0">
      <text>
        <r>
          <rPr>
            <sz val="9"/>
            <color rgb="FF000000"/>
            <rFont val="Arial"/>
            <family val="2"/>
          </rPr>
          <t>GE_history.csv | revenue_m_consensus, row 2025-09-30 | 10,414.250</t>
        </r>
      </text>
    </comment>
    <comment ref="F105" authorId="0">
      <text>
        <r>
          <rPr>
            <sz val="9"/>
            <color rgb="FF000000"/>
            <rFont val="Arial"/>
            <family val="2"/>
          </rPr>
          <t>GE_history.csv | revenue_m_consensus, row 2025-12-31 | 11,196.110</t>
        </r>
      </text>
    </comment>
    <comment ref="H105" authorId="0">
      <text>
        <r>
          <rPr>
            <sz val="9"/>
            <color rgb="FF000000"/>
            <rFont val="Arial"/>
            <family val="2"/>
          </rPr>
          <t>GE_history.csv | revenue_m_consensus, row 2026-03-31 | 10,714.570</t>
        </r>
      </text>
    </comment>
    <comment ref="I105" authorId="0">
      <text>
        <r>
          <rPr>
            <sz val="9"/>
            <color rgb="FF000000"/>
            <rFont val="Arial"/>
            <family val="2"/>
          </rPr>
          <t>GE_history.csv | revenue_m_consensus, row 2026-06-30 | 11,888.440</t>
        </r>
      </text>
    </comment>
    <comment ref="C106" authorId="0">
      <text>
        <r>
          <rPr>
            <sz val="9"/>
            <color rgb="FF000000"/>
            <rFont val="Arial"/>
            <family val="2"/>
          </rPr>
          <t>GE_history.csv | revenue_m_actual, row 2025-03-31 | 9,001</t>
        </r>
      </text>
    </comment>
    <comment ref="D106" authorId="0">
      <text>
        <r>
          <rPr>
            <sz val="9"/>
            <color rgb="FF000000"/>
            <rFont val="Arial"/>
            <family val="2"/>
          </rPr>
          <t>GE_history.csv | revenue_m_actual, row 2025-06-30 | 10,151</t>
        </r>
      </text>
    </comment>
    <comment ref="E106" authorId="0">
      <text>
        <r>
          <rPr>
            <sz val="9"/>
            <color rgb="FF000000"/>
            <rFont val="Arial"/>
            <family val="2"/>
          </rPr>
          <t>GE_history.csv | revenue_m_actual, row 2025-09-30 | 11,305</t>
        </r>
      </text>
    </comment>
    <comment ref="F106" authorId="0">
      <text>
        <r>
          <rPr>
            <sz val="9"/>
            <color rgb="FF000000"/>
            <rFont val="Arial"/>
            <family val="2"/>
          </rPr>
          <t>GE_history.csv | revenue_m_actual, row 2025-12-31 | 11,865</t>
        </r>
      </text>
    </comment>
    <comment ref="H106" authorId="0">
      <text>
        <r>
          <rPr>
            <sz val="9"/>
            <color rgb="FF000000"/>
            <rFont val="Arial"/>
            <family val="2"/>
          </rPr>
          <t>GE_history.csv | revenue_m_actual, row 2026-03-31 | 11,614</t>
        </r>
      </text>
    </comment>
    <comment ref="I106" authorId="0">
      <text>
        <r>
          <rPr>
            <sz val="9"/>
            <color rgb="FF000000"/>
            <rFont val="Arial"/>
            <family val="2"/>
          </rPr>
          <t>GE_history.csv | revenue_m_actual, row 2026-06-30 | 12,634</t>
        </r>
      </text>
    </comment>
    <comment ref="C110" authorId="0">
      <text>
        <r>
          <rPr>
            <sz val="9"/>
            <color rgb="FF000000"/>
            <rFont val="Arial"/>
            <family val="2"/>
          </rPr>
          <t>stockanalysis.com GE market cap | Market cap as of Oct 16, 2026 | 325,620</t>
        </r>
      </text>
    </comment>
    <comment ref="C111" authorId="0">
      <text>
        <r>
          <rPr>
            <sz val="9"/>
            <color rgb="FF000000"/>
            <rFont val="Arial"/>
            <family val="2"/>
          </rPr>
          <t>whichindex.com S&amp;P 500 list | S&amp;P 500 constituents as of 2026-10-15, rank 33 | 1</t>
        </r>
      </text>
    </comment>
    <comment ref="C125" authorId="0">
      <text>
        <r>
          <rPr>
            <sz val="9"/>
            <color rgb="FF000000"/>
            <rFont val="Arial"/>
            <family val="2"/>
          </rPr>
          <t>S27 | Zacks Consensus Estimate $2.02 | 2.020</t>
        </r>
      </text>
    </comment>
    <comment ref="C126" authorId="0">
      <text>
        <r>
          <rPr>
            <sz val="9"/>
            <color rgb="FF000000"/>
            <rFont val="Arial"/>
            <family val="2"/>
          </rPr>
          <t>S27 | revenues of $12.7 billion | 12,700</t>
        </r>
      </text>
    </comment>
    <comment ref="C127" authorId="0">
      <text>
        <r>
          <rPr>
            <sz val="9"/>
            <color rgb="FF000000"/>
            <rFont val="Arial"/>
            <family val="2"/>
          </rPr>
          <t>S31 | $1.99 EPS | 1.990</t>
        </r>
      </text>
    </comment>
    <comment ref="C128" authorId="0">
      <text>
        <r>
          <rPr>
            <sz val="9"/>
            <color rgb="FF000000"/>
            <rFont val="Arial"/>
            <family val="2"/>
          </rPr>
          <t>S31 | $12.84B revenue | 12,840</t>
        </r>
      </text>
    </comment>
    <comment ref="C129" authorId="0">
      <text>
        <r>
          <rPr>
            <sz val="9"/>
            <color rgb="FF000000"/>
            <rFont val="Arial"/>
            <family val="2"/>
          </rPr>
          <t>S28 | adjusted earnings-per-share estimate of USD 7.91 | 7.910</t>
        </r>
      </text>
    </comment>
  </commentList>
</comments>
</file>

<file path=xl/sharedStrings.xml><?xml version="1.0" encoding="utf-8"?>
<sst xmlns="http://schemas.openxmlformats.org/spreadsheetml/2006/main" count="1000" uniqueCount="1000">
  <si>
    <t>General Electric Company (operating as GE Aerospace) | NYSE:GE</t>
  </si>
  <si>
    <t>Company Model — built by Shortcut</t>
  </si>
  <si>
    <t>$ millions, except per share</t>
  </si>
  <si>
    <t>Notes / sources</t>
  </si>
  <si>
    <t>Company</t>
  </si>
  <si>
    <t>General Electric Company, operating as GE Aerospace (CapIQ name: General Electric Company)</t>
  </si>
  <si>
    <t>Ticker / exchange</t>
  </si>
  <si>
    <t>GE / New York Stock Exchange (NYSE:GE)</t>
  </si>
  <si>
    <t>Fiscal year end</t>
  </si>
  <si>
    <t>December 31 (calendar quarters)</t>
  </si>
  <si>
    <t>Reporting currency</t>
  </si>
  <si>
    <t>USD; amounts in $ millions</t>
  </si>
  <si>
    <t>Forecast period</t>
  </si>
  <si>
    <t>3Q26E = FQ3 2026, quarter ended 2026-09-30 (supplied label "Sep 2026" = issuer quarter end)</t>
  </si>
  <si>
    <t>EPS basis</t>
  </si>
  <si>
    <t>Adjusted (CapIQ normalized) diluted EPS, continuing ops, USD per ordinary share</t>
  </si>
  <si>
    <t>Information cutoff</t>
  </si>
  <si>
    <t>2026-10-18T21:34:46Z</t>
  </si>
  <si>
    <t>Expected report date</t>
  </si>
  <si>
    <t>2026-10-20 before market open (GE IR webcast; CapIQ calendar 2026-10-20)</t>
  </si>
  <si>
    <t>Author</t>
  </si>
  <si>
    <t>Shortcut (Company Model — built by Shortcut)</t>
  </si>
  <si>
    <t>Headline table (3Q26E)</t>
  </si>
  <si>
    <t>Shortcut est.</t>
  </si>
  <si>
    <t>Consensus</t>
  </si>
  <si>
    <t>Variance</t>
  </si>
  <si>
    <t>Guide-implied</t>
  </si>
  <si>
    <t>vs guide</t>
  </si>
  <si>
    <t>Consensus = frozen CapIQ snapshot 2026-10-18 (Inputs); guidance-implied = derived from FY26 guide (Guidance tab; GE issues no quarterly guide) | Full label: Headline: 3Q26E vs consensus vs guidance</t>
  </si>
  <si>
    <t>Adjusted revenue ($M)</t>
  </si>
  <si>
    <t>CapIQ revenue consensus = adjusted revenue basis (13 estimates)</t>
  </si>
  <si>
    <t xml:space="preserve">   Variance %</t>
  </si>
  <si>
    <t>Adjusted net income ($M)</t>
  </si>
  <si>
    <t>CapIQ net income excl. exceptional items. Guide-implied adjusted NI (F22 = Guidance!G48) is an approximation (see Guidance!K48)</t>
  </si>
  <si>
    <t>Adjusted EPS, normalized diluted ($)</t>
  </si>
  <si>
    <t>Scored target; consensus 2.01 from 18 estimates (eps_normalized_n_est). Guide-implied EPS (F24) is an approximation (see Guidance!K40)</t>
  </si>
  <si>
    <t>GAAP diluted EPS ($)</t>
  </si>
  <si>
    <t>n.a.</t>
  </si>
  <si>
    <t>C26 includes two GAAP-only items excluded from adjusted EPS: assumed +$200M pre-tax BETA mark-to-market gain (Income Statement!J139; source-limited) and $200M pre-tax run-off Insurance NI (Income Statement!J111). CapIQ GAAP mean rests on 8 contributors | Full label: GAAP diluted EPS, continuing ops ($)</t>
  </si>
  <si>
    <t>GAAP diluted EPS numerator ($M)</t>
  </si>
  <si>
    <t>Links Income Statement!J67 = NI from cont. ops attributable to common less $2M dilution adjustment (diluted EPS numerator); NI attributable before dilution = Income Statement!J59 (2,601.0). CapIQ net_income_gaap comparator (D28) is not verified on the same diluted-numerator basis | Full label: GAAP NI from continuing ops attributable to common — diluted EPS numerator ($M)</t>
  </si>
  <si>
    <t>Operating profit, non-GAAP ($M)</t>
  </si>
  <si>
    <t>CapIQ EBIT used as nearest comparable to GE operating profit (definition may differ)</t>
  </si>
  <si>
    <t>Cover ties to statements</t>
  </si>
  <si>
    <t>Overall model check result</t>
  </si>
  <si>
    <t>PASS</t>
  </si>
  <si>
    <t>PASS combines historical tie-outs (actual columns) with 3Q26E identity checks that pass by construction (Revenue summary!J65, Income Statement!J108 and J162, Balance Sheet!J53, Cash Flow Statement!J91 and J93); the 3Q26E component is rollforward arithmetic, not independent validation</t>
  </si>
  <si>
    <t>P(beat consensus EPS)</t>
  </si>
  <si>
    <t>Start (8x0.78 + 6)/(8+6) = 87.4% from six beats in six quarters; lowered for quarter-specific risks (Inputs D)</t>
  </si>
  <si>
    <t>Confidence</t>
  </si>
  <si>
    <t>medium</t>
  </si>
  <si>
    <t>Revenue summary — adjusted revenue and operating profit by segment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</si>
  <si>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</si>
  <si>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</si>
  <si>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</si>
  <si>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</si>
  <si>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</si>
  <si>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</si>
  <si>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</si>
  <si>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</si>
  <si>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</si>
  <si>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</si>
  <si>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</si>
  <si>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Adjusted revenue by reported segment (non-GAAP; excludes run-off Insurance)</t>
  </si>
  <si>
    <t>Commercial Engines &amp; Svcs (CES)</t>
  </si>
  <si>
    <t>Full label: Commercial Engines &amp; Services (CES)</t>
  </si>
  <si>
    <t xml:space="preserve">   % Y/Y (total reported)</t>
  </si>
  <si>
    <t xml:space="preserve">   % Q/Q</t>
  </si>
  <si>
    <t xml:space="preserve">   % of total adjusted revenue</t>
  </si>
  <si>
    <t xml:space="preserve">      Y/Y change (bps)</t>
  </si>
  <si>
    <t xml:space="preserve">      Q/Q change (bps)</t>
  </si>
  <si>
    <t xml:space="preserve">   M&amp;A / scope impact</t>
  </si>
  <si>
    <t>n.d.</t>
  </si>
  <si>
    <t>Not disclosed by issuer (2025-26 releases/10-Qs give adjusted revenue growth only): unavailable, not zero</t>
  </si>
  <si>
    <t xml:space="preserve">   FX impact</t>
  </si>
  <si>
    <t xml:space="preserve">   Organic growth</t>
  </si>
  <si>
    <t>Shows n.a. because M&amp;A and FX are not disclosed | Full label: Organic growth = (1+Y/Y)/((1+M&amp;A)(1+FX))-1</t>
  </si>
  <si>
    <t>Defense &amp; Propulsion Tech. (DPT)</t>
  </si>
  <si>
    <t>Full label: Defense &amp; Propulsion Technologies (DPT)</t>
  </si>
  <si>
    <t>Eliminations &amp; other</t>
  </si>
  <si>
    <t>3Q26E (555): 1Q26 (519), 2Q26 (540); rising with intercompany volume</t>
  </si>
  <si>
    <t xml:space="preserve">   Memo: equipment eliminations</t>
  </si>
  <si>
    <t>Split disclosed in 2026 slides only | Full label: Memo: of which equipment eliminations</t>
  </si>
  <si>
    <t>Adjusted revenue (non-GAAP)</t>
  </si>
  <si>
    <t>Full label: Adjusted revenue (non-GAAP) — consensus revenue basis</t>
  </si>
  <si>
    <t>Memo: adj. revenue, CapIQ actual</t>
  </si>
  <si>
    <t>Full label: Memo: adjusted revenue — CapIQ actual (Inputs)</t>
  </si>
  <si>
    <t>Check: segments sum to total</t>
  </si>
  <si>
    <t>Full label: Check: segments + eliminations = adjusted revenue actual (|diff| &lt;= 2)</t>
  </si>
  <si>
    <t>Revenue by type and GAAP reconciliation</t>
  </si>
  <si>
    <t>Services revenue (GAAP sales)</t>
  </si>
  <si>
    <t>Full label: Services revenue (GAAP sales of services)</t>
  </si>
  <si>
    <t xml:space="preserve">   % of adjusted revenue</t>
  </si>
  <si>
    <t>Equipment revenue (GAAP sales)</t>
  </si>
  <si>
    <t>Full label: Equipment revenue (GAAP sales of equipment)</t>
  </si>
  <si>
    <t>Check: services + equipment = total</t>
  </si>
  <si>
    <t>3Q26E (col J): identity check that passes by construction (rollforward arithmetic), not independent validation of the forecast (J47/J56 link to IS J11/J10, and IS J11 = J38 - J10) | Full label: Check: services + equipment = adjusted revenue (|diff| &lt;= 2; FY &lt;= 4)</t>
  </si>
  <si>
    <t>Insurance revenue (run-off)</t>
  </si>
  <si>
    <t>Full label: Insurance revenue (run-off; excluded from adjusted)</t>
  </si>
  <si>
    <t>Total revenue (GAAP)</t>
  </si>
  <si>
    <t>Geography</t>
  </si>
  <si>
    <t>Revenue by region disclosed annually only (FY25 10-K Note 25: 60% non-U.S.); see Geo tab</t>
  </si>
  <si>
    <t>Operating profit by segment (non-GAAP)</t>
  </si>
  <si>
    <t>CES operating profit</t>
  </si>
  <si>
    <t xml:space="preserve">   % Y/Y</t>
  </si>
  <si>
    <t xml:space="preserve">   CES margin</t>
  </si>
  <si>
    <t xml:space="preserve">   Y/Y change (bps)</t>
  </si>
  <si>
    <t xml:space="preserve">   Q/Q change (bps)</t>
  </si>
  <si>
    <t>DPT operating profit</t>
  </si>
  <si>
    <t xml:space="preserve">   DPT margin</t>
  </si>
  <si>
    <t>Corporate &amp; Other costs (adj.)</t>
  </si>
  <si>
    <t>3Q26E (360): FY26 guide (1.2)-(1.3)B less 1H (592) leaves (608)-(708) for 2H (S14) | Full label: Adjusted Corporate &amp; Other operating costs (incl. eliminations)</t>
  </si>
  <si>
    <t xml:space="preserve">   Y/Y change</t>
  </si>
  <si>
    <t xml:space="preserve">   Q/Q change</t>
  </si>
  <si>
    <t>Operating profit (non-GAAP)</t>
  </si>
  <si>
    <t xml:space="preserve">   Operating margin (non-GAAP)</t>
  </si>
  <si>
    <t>Full label: Operating profit margin (non-GAAP)</t>
  </si>
  <si>
    <t>Memo: operating profit as reported</t>
  </si>
  <si>
    <t>Check: operating profit = reported</t>
  </si>
  <si>
    <t>Full label: Check: built = reported operating profit (|diff| &lt;= 2)</t>
  </si>
  <si>
    <t>Segment — Commercial Engines &amp; Services (CES), recast segment basis</t>
  </si>
  <si>
    <t>Engine deliveries (sales units)</t>
  </si>
  <si>
    <t>Commercial engine deliveries (units)</t>
  </si>
  <si>
    <t>3Q26E assumption: LEAP ~540 + non-LEAP ~150 (GEnx momentum per S18)</t>
  </si>
  <si>
    <t>LEAP engine deliveries (units)</t>
  </si>
  <si>
    <t>4Q25 derived = FY25 reported (S09) less 1Q-3Q25. 3Q26E: FY26 guide LEAP up high-teens (S17/S18) =&gt; 2H ~1,100</t>
  </si>
  <si>
    <t>Non-LEAP engines (units)</t>
  </si>
  <si>
    <t>Full label: Non-LEAP commercial engines (units, derived)</t>
  </si>
  <si>
    <t>LEAP share of commercial units</t>
  </si>
  <si>
    <t>Equipment revenue build (units x revenue per unit)</t>
  </si>
  <si>
    <t>Equipment revenue per unit ($M)</t>
  </si>
  <si>
    <t>3Q26E assumption $3.26M: between 1Q26 $3.28M and 3Q25 $2.95M; 2Q26 $3.49M had high widebody mix | Full label: Equipment revenue per commercial unit ($M)</t>
  </si>
  <si>
    <t>CES equipment revenue</t>
  </si>
  <si>
    <t>Services revenue build</t>
  </si>
  <si>
    <t>Internal shop visit revenue % Y/Y</t>
  </si>
  <si>
    <t>3Q26E 15% driver: 2Q26 25%, 1H26 30%; removed-not-inducted engines +60% y/y and shops 40% oversubscribed (S17/S18) vs tougher comp (3Q25 33%). 3Q25/4Q25 on pre-recast basis (ISV is commercial; recast moved Aeroderivative only) | Full label: Internal shop visit revenue growth, % Y/Y (reported)</t>
  </si>
  <si>
    <t>Services less ISV growth</t>
  </si>
  <si>
    <t>Spare parts (&gt;25% growth in 1Q26/2Q26) ran ahead of ISV: spread +3.7pp 1Q26 (H38 = 38.7% services growth less 35% ISV; issuer rounds to 39% / 35%, S11), +1.4pp 2Q26; 3Q26E +1.0pp (assumption) | Full label: Services growth less ISV growth (spread)</t>
  </si>
  <si>
    <t>CES services revenue</t>
  </si>
  <si>
    <t xml:space="preserve">   % Y/Y (3Q26E = ISV + spread)</t>
  </si>
  <si>
    <t>3Q26E = ISV growth driver + spread (=16%); guide implies 2H services low-double-digit (S17); 95% of 3Q spares in backlog; GE has beaten guide each quarter | Full label: % Y/Y (total; 3Q26E = ISV + spread)</t>
  </si>
  <si>
    <t>Not disclosed by issuer (adjusted revenue growth only): unavailable, not zero</t>
  </si>
  <si>
    <t>Full label: Organic growth = (1+Y/Y)/((1+M&amp;A)(1+FX))-1</t>
  </si>
  <si>
    <t>Services share of CES revenue</t>
  </si>
  <si>
    <t>Total CES revenue build</t>
  </si>
  <si>
    <t>CES revenue</t>
  </si>
  <si>
    <t>Full label: CES revenue (services + equipment)</t>
  </si>
  <si>
    <t>Memo: CES revenue, reported</t>
  </si>
  <si>
    <t>Full label: Memo: CES revenue as reported (recast)</t>
  </si>
  <si>
    <t>Check: revenue = reported</t>
  </si>
  <si>
    <t>Full label: Check: built = reported within $2M rounding</t>
  </si>
  <si>
    <t>Orders and backlog</t>
  </si>
  <si>
    <t>CES services orders</t>
  </si>
  <si>
    <t>2025 recast split not disclosed (S10 gives totals only); 3Q26E split not forecast</t>
  </si>
  <si>
    <t>CES equipment orders</t>
  </si>
  <si>
    <t>CES total orders</t>
  </si>
  <si>
    <t>3Q26E 15,000 (book-to-bill ~1.5x): Farnborough ~1,800 engine orders incl. IndiGo 1,000+ LEAP (S18); timing of firm orders uncertain; affects backlog only, not EPS</t>
  </si>
  <si>
    <t>Book-to-bill (orders / revenue)</t>
  </si>
  <si>
    <t>CES RPO — equipment (period end)</t>
  </si>
  <si>
    <t>CES RPO — services (period end)</t>
  </si>
  <si>
    <t>CES total RPO (period end)</t>
  </si>
  <si>
    <t>Backlog ladder: opening RPO</t>
  </si>
  <si>
    <t>1Q25 opening (Dec-24 recast RPO) not disclosed: unavailable</t>
  </si>
  <si>
    <t xml:space="preserve">   Add: orders booked</t>
  </si>
  <si>
    <t xml:space="preserve">   Less: revenue recognised</t>
  </si>
  <si>
    <t>Implied closing RPO</t>
  </si>
  <si>
    <t>Full label: Implied closing (open + orders - revenue)</t>
  </si>
  <si>
    <t xml:space="preserve">   Other RPO changes (derived)</t>
  </si>
  <si>
    <t>Derived for actuals; 3Q26E explicit assumption 0 (not forecast) | Full label: Other RPO changes (LTSA revisions, FX; derived)</t>
  </si>
  <si>
    <t>Closing RPO</t>
  </si>
  <si>
    <t>Full label: Closing RPO (= reported for actuals)</t>
  </si>
  <si>
    <t>Average RPO (opening, closing)</t>
  </si>
  <si>
    <t>RPO / quarterly revenue</t>
  </si>
  <si>
    <t>Full label: Backlog coverage (closing RPO / quarterly revenue)</t>
  </si>
  <si>
    <t>Segment profit</t>
  </si>
  <si>
    <t>Full label: CES operating profit (segment profit)</t>
  </si>
  <si>
    <t>CES operating profit margin</t>
  </si>
  <si>
    <t>3Q26E 27.4%: 2Q26 27.3%; 3Q25 28.0% had favourable services mix; GE9X install growth and investment weigh (S15)</t>
  </si>
  <si>
    <t>Segment cost structure (10-Q Note 23; recast 3Q25/4Q25 detail not disclosed)</t>
  </si>
  <si>
    <t>Cost of revenue</t>
  </si>
  <si>
    <t xml:space="preserve">   % of CES revenue</t>
  </si>
  <si>
    <t>Selling, general &amp; administrative</t>
  </si>
  <si>
    <t>Research &amp; development</t>
  </si>
  <si>
    <t>Other segment expenses (income)</t>
  </si>
  <si>
    <t>Total CES segment expenses</t>
  </si>
  <si>
    <t>Check: revenue - expenses = profit</t>
  </si>
  <si>
    <t>Full label: Check: reported revenue - expenses = segment profit</t>
  </si>
  <si>
    <t>Segment — Defense &amp; Propulsion Technologies (DPT), recast segment basis</t>
  </si>
  <si>
    <t>D&amp;S engine deliveries (units)</t>
  </si>
  <si>
    <t>3Q26E 205 (+5% y/y): 1H26 deliveries +15% (S16); defense book-to-bill 1.7x 1H | Full label: Defense &amp; Systems engine deliveries (units; incl. Aeroderivative)</t>
  </si>
  <si>
    <t>Revenue by operating segment</t>
  </si>
  <si>
    <t>D&amp;S revenue per engine ($M)</t>
  </si>
  <si>
    <t>3Q26E $11.0M per engine (1Q26 $11.30M, 2Q26 $11.12M): D&amp;S revenue includes services, so this is a revenue-intensity driver, not an engine ASP | Full label: D&amp;S revenue per D&amp;S engine delivered ($M; includes services)</t>
  </si>
  <si>
    <t>Defense &amp; Systems (D&amp;S) revenue</t>
  </si>
  <si>
    <t>3Q26E = D&amp;S engine deliveries x revenue per engine. 3Q25/4Q25 recast split not disclosed (S10 gives DPT total only): blank = unavailable</t>
  </si>
  <si>
    <t>P&amp;AT revenue</t>
  </si>
  <si>
    <t>Full label: Propulsion &amp; Additive Technologies (P&amp;AT) revenue</t>
  </si>
  <si>
    <t xml:space="preserve">   % Q/Q (3Q26E = driver assumption)</t>
  </si>
  <si>
    <t>3Q26E +2.5% q/q driver: P&amp;AT discloses no unit data; Avio Aero-led growth (2Q26 P&amp;AT +23% y/y, +9.4% q/q)</t>
  </si>
  <si>
    <t xml:space="preserve">      Q/Q change in growth rate (bps)</t>
  </si>
  <si>
    <t>DPT revenue (D&amp;S + P&amp;AT)</t>
  </si>
  <si>
    <t>3Q25/4Q25: D&amp;S/P&amp;AT split unavailable, so the reported recast DPT total (memo row below) is used</t>
  </si>
  <si>
    <t>Memo: DPT revenue, reported</t>
  </si>
  <si>
    <t>Full label: Memo: DPT revenue as reported (recast)</t>
  </si>
  <si>
    <t>D&amp;S share of DPT revenue</t>
  </si>
  <si>
    <t>Revenue by type</t>
  </si>
  <si>
    <t>DPT equipment revenue</t>
  </si>
  <si>
    <t>DPT services revenue</t>
  </si>
  <si>
    <t>Equipment share of DPT revenue</t>
  </si>
  <si>
    <t>3Q26E 50.5% (2Q26 50.7%, 1Q26 50.0%)</t>
  </si>
  <si>
    <t>DPT services orders</t>
  </si>
  <si>
    <t>2025 recast split not disclosed; 3Q26E split not forecast</t>
  </si>
  <si>
    <t>DPT equipment orders</t>
  </si>
  <si>
    <t>DPT total orders</t>
  </si>
  <si>
    <t>3Q26E 3,800 (book-to-bill ~1.1x; 1H26 defense book-to-bill 1.7x); affects backlog only, not EPS</t>
  </si>
  <si>
    <t>DPT RPO — equipment (period end)</t>
  </si>
  <si>
    <t>DPT RPO — services (period end)</t>
  </si>
  <si>
    <t>DPT total RPO (period end)</t>
  </si>
  <si>
    <t>Full label: DPT operating profit (segment profit)</t>
  </si>
  <si>
    <t>DPT operating profit margin</t>
  </si>
  <si>
    <t>3Q26E 13.6%: 3Q25 13.5%, 2Q26 13.8%; FY26 guide DPT op $1.6-1.7B with margin expansion (S18)</t>
  </si>
  <si>
    <t xml:space="preserve">   % of DPT revenue</t>
  </si>
  <si>
    <t>Total DPT segment expenses</t>
  </si>
  <si>
    <t>Income Statement — GAAP as reported, GAAP-to-adjusted bridge, EPS</t>
  </si>
  <si>
    <t>GAAP statement of operations (as reported, three months)</t>
  </si>
  <si>
    <t>Sales of equipment</t>
  </si>
  <si>
    <t>3Q26E = CES equipment + DPT equipment + equipment share of eliminations (driver-linked)</t>
  </si>
  <si>
    <t>Sales of services</t>
  </si>
  <si>
    <t>Insurance revenue</t>
  </si>
  <si>
    <t>3Q26E 730: run-off book declining (1Q26 778, 2Q26 715)</t>
  </si>
  <si>
    <t>Memo: total revenue as reported</t>
  </si>
  <si>
    <t>Check: total revenue = reported</t>
  </si>
  <si>
    <t>Full label: Check: built = reported total revenue (|diff| &lt;= 2)</t>
  </si>
  <si>
    <t>Cost of equipment sold</t>
  </si>
  <si>
    <t>Cost of services sold</t>
  </si>
  <si>
    <t>RESIDUAL, not an independent forecast: 3Q26E is the balancing line so GAAP pretax ties to the segment-built operating profit plus bridge items; it absorbs any gap between independent insurance pre-tax (J111) and insurance revenue/loss drivers (J12, J40). GAAP-only; no effect on adjusted EPS</t>
  </si>
  <si>
    <t>Gross profit (derived)</t>
  </si>
  <si>
    <t>Not forecast for 3Q26E: cost of services is a residual, so a forecast gross profit would be manufactured | Full label: Gross profit on equipment &amp; services (derived; not an issuer metric)</t>
  </si>
  <si>
    <t xml:space="preserve">   Gross margin</t>
  </si>
  <si>
    <t>Full label: Gross margin (on equipment &amp; services sales)</t>
  </si>
  <si>
    <t>SG&amp;A expenses</t>
  </si>
  <si>
    <t>3Q26E 1,130 (1Q26 1,084; 2Q26 1,131) | Full label: Selling, general and administrative expenses</t>
  </si>
  <si>
    <t xml:space="preserve">   % of total revenue</t>
  </si>
  <si>
    <t>Separation costs</t>
  </si>
  <si>
    <t>Research and development</t>
  </si>
  <si>
    <t>3Q26E 470 (2Q26 460; ~$3B total engineering incl. partner-funded per S17)</t>
  </si>
  <si>
    <t>Interest and other financial charges</t>
  </si>
  <si>
    <t>Insurance losses &amp; annuity benefits</t>
  </si>
  <si>
    <t>Full label: Insurance losses, annuity benefits and other costs</t>
  </si>
  <si>
    <t>Non-operating benefit cost (income)</t>
  </si>
  <si>
    <t>Total costs and expenses</t>
  </si>
  <si>
    <t>Other income (loss)</t>
  </si>
  <si>
    <t>Pre-tax income, continuing ops</t>
  </si>
  <si>
    <t>3Q26E = (operating profit - adjusted interest + NCI) + pre-tax bridge items, mirroring the issuer reconciliation | Full label: Income from continuing operations before income taxes</t>
  </si>
  <si>
    <t xml:space="preserve">   Pre-tax margin</t>
  </si>
  <si>
    <t xml:space="preserve">   Pre-tax income % Y/Y</t>
  </si>
  <si>
    <t>Memo: pre-tax income as reported</t>
  </si>
  <si>
    <t>Check: pre-tax = reported</t>
  </si>
  <si>
    <t>Full label: Check: built = reported pre-tax (|diff| &lt;= 2)</t>
  </si>
  <si>
    <t>Benefit (provision) for income taxes</t>
  </si>
  <si>
    <t xml:space="preserve">   Effective tax rate (GAAP)</t>
  </si>
  <si>
    <t>NI from continuing ops</t>
  </si>
  <si>
    <t>Full label: Net income from continuing operations</t>
  </si>
  <si>
    <t>Discontinued operations, net of tax</t>
  </si>
  <si>
    <t>3Q26E 0: not forecast (Bank BPH run-off; excluded from EPS basis) | Full label: Income (loss) from discontinued operations, net of taxes</t>
  </si>
  <si>
    <t>Net income</t>
  </si>
  <si>
    <t>Less: noncontrolling interests</t>
  </si>
  <si>
    <t>3Q26E 0: 1Q26 +16, 2Q26 (13) average ~nil | Full label: Less: net income attributable to noncontrolling interests</t>
  </si>
  <si>
    <t>NI attributable to common</t>
  </si>
  <si>
    <t>Full label: Net income attributable to GE Aerospace common shareholders</t>
  </si>
  <si>
    <t xml:space="preserve">   Net margin (on total revenue)</t>
  </si>
  <si>
    <t>Memo: net income, reported</t>
  </si>
  <si>
    <t>Full label: Memo: net income attributable as reported</t>
  </si>
  <si>
    <t>Check: net income = reported</t>
  </si>
  <si>
    <t>Full label: Check: built = reported net income attributable (|diff| &lt;= 2)</t>
  </si>
  <si>
    <t>GAAP EPS (continuing operations)</t>
  </si>
  <si>
    <t>NI cont. ops — diluted numerator</t>
  </si>
  <si>
    <t>FY = sum of quarters (10-K reports 8,598; $2M rounding) | Full label: NI from cont. ops attributable to common — diluted numerator</t>
  </si>
  <si>
    <t>NI cont. ops — basic numerator</t>
  </si>
  <si>
    <t>4Q25 derived = FY25 (10-K) less 1Q-3Q25. Convention note: basic FY (G68) = 10-K reported 8,601, whereas diluted FY (G67) = sum of quarters 8,596 vs 10-K 8,598 ($2M rounding); raw quarterly observations preserved | Full label: NI from cont. ops attributable to common — basic numerator</t>
  </si>
  <si>
    <t>Basic shares (wtd avg, M)</t>
  </si>
  <si>
    <t>Full label: Weighted-average basic shares (millions)</t>
  </si>
  <si>
    <t>Diluted shares (wtd avg, M)</t>
  </si>
  <si>
    <t>Full label: Weighted-average diluted shares (millions)</t>
  </si>
  <si>
    <t>Basic EPS, cont. ops ($)</t>
  </si>
  <si>
    <t>Full label: Basic EPS — continuing operations ($)</t>
  </si>
  <si>
    <t>GAAP diluted EPS, cont. ops ($)</t>
  </si>
  <si>
    <t>Full label: Diluted EPS — continuing operations, GAAP ($)</t>
  </si>
  <si>
    <t>Memo: GAAP EPS, CapIQ actual</t>
  </si>
  <si>
    <t>Full label: Memo: GAAP diluted EPS — CapIQ actual (Inputs)</t>
  </si>
  <si>
    <t>Check: GAAP EPS = CapIQ actual</t>
  </si>
  <si>
    <t>Full label: Check: GAAP EPS = CapIQ actual (|diff| &lt;= $0.011 share rounding)</t>
  </si>
  <si>
    <t>Non-GAAP: operating profit to adjusted EPS (consensus EPS basis)</t>
  </si>
  <si>
    <t xml:space="preserve">   Operating profit margin</t>
  </si>
  <si>
    <t>Less: adjusted interest</t>
  </si>
  <si>
    <t>3Q26E 234: FY26 guide ~(900) (S15) less 1H 432 = 468 for 2H | Full label: Less: adjusted interest &amp; other financial charges (excl. Insurance, tax equity)</t>
  </si>
  <si>
    <t>Adj. pre-tax (op. profit - int.)</t>
  </si>
  <si>
    <t>Full label: Adjusted pre-tax income (operating profit less adjusted interest)</t>
  </si>
  <si>
    <t>Less: adjusted tax provision</t>
  </si>
  <si>
    <t>Full label: Less: adjusted provision for income taxes</t>
  </si>
  <si>
    <t xml:space="preserve">   Adjusted tax rate</t>
  </si>
  <si>
    <t>3Q26E 16.8%: FY26 adjusted ETR guide &lt;16.5% (S15) with 1H 15.7% implies 2H up to ~17%; 3Q25 was 15.0% | Full label: Adjusted tax rate (on operating profit less interest)</t>
  </si>
  <si>
    <t>Less: dilution adjustment</t>
  </si>
  <si>
    <t>FY25 reported 3 vs quarterly sum 5 (issuer rounding)</t>
  </si>
  <si>
    <t>Adjusted net income (non-GAAP)</t>
  </si>
  <si>
    <t xml:space="preserve">   Adjusted net margin</t>
  </si>
  <si>
    <t>Full label: Adjusted net margin (on adjusted revenue)</t>
  </si>
  <si>
    <t>Memo: adjusted NI, reported</t>
  </si>
  <si>
    <t>Full label: Memo: adjusted net income as reported</t>
  </si>
  <si>
    <t>Check: adjusted NI = reported</t>
  </si>
  <si>
    <t>Full label: Check: built = reported adjusted NI (|diff| &lt;= 3)</t>
  </si>
  <si>
    <t>Diluted shares for adj. EPS (M)</t>
  </si>
  <si>
    <t>Full label: Diluted share count for adjusted EPS (millions)</t>
  </si>
  <si>
    <t>Adjusted EPS, diluted ($)</t>
  </si>
  <si>
    <t>Full label: Adjusted EPS (non-GAAP, diluted) — consensus basis ($)</t>
  </si>
  <si>
    <t>Memo: normalized EPS, CapIQ</t>
  </si>
  <si>
    <t>Full label: Memo: normalized EPS — CapIQ actual (Inputs)</t>
  </si>
  <si>
    <t>Check: adj. EPS = CapIQ normalized</t>
  </si>
  <si>
    <t>Full label: Check: adjusted EPS = CapIQ normalized actual (|diff| &lt;= $0.006)</t>
  </si>
  <si>
    <t>Check: 3Q26E EPS x shares = NI</t>
  </si>
  <si>
    <t>3Q26E (col J): identity check that passes by construction (rollforward arithmetic), not independent validation of the forecast (J103 = J94/J102, J72 = J67/J70) | Full label: Check: 3Q26E EPS x shares = net income (adjusted and GAAP)</t>
  </si>
  <si>
    <t>GAAP to non-GAAP bridge (one row per adjustment; issuer reconciliation)</t>
  </si>
  <si>
    <t>GAAP NI, cont. ops (diluted)</t>
  </si>
  <si>
    <t>Full label: GAAP NI from cont. ops attributable to common (diluted)</t>
  </si>
  <si>
    <t xml:space="preserve">   Insurance NI — pre-tax</t>
  </si>
  <si>
    <t>S10/S14: 1Q26 133, 2Q26 173; 3Q25 363 incl. annual review — 3Q26E 200 is an INDEPENDENT assumption, not derived from J12 less J40; cost of services (J21) absorbs the difference. Excluded from adjusted EPS | Full label: Insurance net income (run-off) — pre-tax</t>
  </si>
  <si>
    <t xml:space="preserve">      Tax effect</t>
  </si>
  <si>
    <t>Less: Insurance NI (net of tax)</t>
  </si>
  <si>
    <t>Full label: Less: Insurance net income (run-off) (net of tax)</t>
  </si>
  <si>
    <t xml:space="preserve">   U.S. tax equity NI — pre-tax</t>
  </si>
  <si>
    <t>3Q26E pre-tax (75) with tax credit 84 (2Q26: (77)/86) | Full label: U.S. tax equity net income (loss) — pre-tax</t>
  </si>
  <si>
    <t>Less: U.S. tax equity NI (net)</t>
  </si>
  <si>
    <t>Full label: Less: U.S. tax equity net income (loss) (net of tax)</t>
  </si>
  <si>
    <t xml:space="preserve">   Non-op. benefit income — pre-tax</t>
  </si>
  <si>
    <t>3Q26E 175 (1Q26 176, 2Q26 177) | Full label: Non-operating benefit income (pension) — pre-tax</t>
  </si>
  <si>
    <t>Less: non-op. benefit income (net)</t>
  </si>
  <si>
    <t>Full label: Less: Non-operating benefit income (pension) (net of tax)</t>
  </si>
  <si>
    <t xml:space="preserve">   Business-interest gains — pre-tax</t>
  </si>
  <si>
    <t>3Q26E nil: no disclosed 3Q26 transaction (CPP closes 2H27, S19) | Full label: Gains (losses) on purchases &amp; sales of business interests — pre-tax</t>
  </si>
  <si>
    <t>Less: business-interest gains (net)</t>
  </si>
  <si>
    <t>Full label: Less: Gains (losses) on purchases &amp; sales of business interests (net of tax)</t>
  </si>
  <si>
    <t xml:space="preserve">   Equity-securities gains — pre-tax</t>
  </si>
  <si>
    <t>3Q26E +200: BETA Technologies +27% Jul 1-Sep 30 (S30); GAAP-only, excluded from adjusted EPS. SOURCE-LIMITED: stake size not in cached evidence, so 200 cannot be reproduced; retained as original judgement. Basis: row = issuer bridge aggregate (1Q26 (309), 2Q26 65; S11/S14); BETA-only per 10-Q other-income note: 1Q26 (309), 2Q26 +47 (S13/S16); Cash Flow Statement!I19 (98) is the broader cash-flow line | Full label: Gains (losses) on retained ownership &amp; other equity securities — pre-tax</t>
  </si>
  <si>
    <t>Less: equity-securities gains (net)</t>
  </si>
  <si>
    <t>Full label: Less: Gains (losses) on retained ownership &amp; other equity securities (net of tax)</t>
  </si>
  <si>
    <t xml:space="preserve">   Restructuring &amp; other — pre-tax</t>
  </si>
  <si>
    <t>3Q26E (25) (1Q26 (24), 2Q26 (27))</t>
  </si>
  <si>
    <t>Less: restructuring (net of tax)</t>
  </si>
  <si>
    <t>Full label: Less: Restructuring &amp; other (net of tax)</t>
  </si>
  <si>
    <t xml:space="preserve">   Separation costs — pre-tax</t>
  </si>
  <si>
    <t>3Q26E (15): mgmt expects insignificant separation costs in 2H26 (S16)</t>
  </si>
  <si>
    <t>Less: Separation costs (net of tax)</t>
  </si>
  <si>
    <t>Adjusted net income (per bridge)</t>
  </si>
  <si>
    <t>Rounding: build less bridge</t>
  </si>
  <si>
    <t>Full label: Rounding: operating build less bridge (issuer rounding)</t>
  </si>
  <si>
    <t>Check: bridge ties to adjusted NI</t>
  </si>
  <si>
    <t>3Q26E (col J): identity check that passes by construction (rollforward arithmetic), not independent validation of the forecast (J44 is built from the same bridge items deducted in J160, so J161 = 0 algebraically) | Full label: Check: bridge ties to adjusted NI (|diff| &lt;= 4; 3Q26E exact)</t>
  </si>
  <si>
    <t>Adjusted EPS per bridge ($)</t>
  </si>
  <si>
    <t>Forecast assumptions (3Q26E inputs; history shows the same ratio where computable)</t>
  </si>
  <si>
    <t>Equipment share of eliminations</t>
  </si>
  <si>
    <t>3Q26E 81% (1Q26 85%, 2Q26 81%)</t>
  </si>
  <si>
    <t>Equipment cost / equipment sales</t>
  </si>
  <si>
    <t>3Q26E 105% (3Q25 106%, 1Q26 100%, 2Q26 106%): OE sold below cost (GE9X/LEAP install) | Full label: Cost of equipment sold / sales of equipment</t>
  </si>
  <si>
    <t>Insurance losses / ins. revenue</t>
  </si>
  <si>
    <t>Full label: Insurance losses / insurance revenue</t>
  </si>
  <si>
    <t>GAAP less adjusted interest</t>
  </si>
  <si>
    <t>Full label: GAAP interest less adjusted interest (Insurance &amp; tax-equity interest)</t>
  </si>
  <si>
    <t>Adjusted other income (non-GAAP)</t>
  </si>
  <si>
    <t>U.S. tax equity other income (loss)</t>
  </si>
  <si>
    <t>Tax rate on bridge adjustments</t>
  </si>
  <si>
    <t>3Q26E 21%: issuer tax effect on pension income ~21% (history row = pension tax effect / pre-tax) | Full label: Tax rate applied to forecast bridge adjustments</t>
  </si>
  <si>
    <t>Balance Sheet — statement of financial position (period end)</t>
  </si>
  <si>
    <t>Assets</t>
  </si>
  <si>
    <t>Cash &amp; restricted cash</t>
  </si>
  <si>
    <t>3Q26E = 2Q26 + forecast change in continuing-ops cash (insurance &amp; Bank BPH cash held flat) | Full label: Cash, cash equivalents and restricted cash</t>
  </si>
  <si>
    <t>Investment securities (current)</t>
  </si>
  <si>
    <t>Current receivables</t>
  </si>
  <si>
    <t>Inventories</t>
  </si>
  <si>
    <t>Full label: Inventories, incl. deferred inventory costs</t>
  </si>
  <si>
    <t>Current contract assets</t>
  </si>
  <si>
    <t>All other current assets</t>
  </si>
  <si>
    <t>Current assets</t>
  </si>
  <si>
    <t>Investment securities (non-current)</t>
  </si>
  <si>
    <t>Property, plant and equipment — net</t>
  </si>
  <si>
    <t>3Q26E = 2Q26 + capex - dispositions - depreciation</t>
  </si>
  <si>
    <t>Goodwill</t>
  </si>
  <si>
    <t>Other intangible assets — net</t>
  </si>
  <si>
    <t>3Q26E = 2Q26 - amortization</t>
  </si>
  <si>
    <t>Contract and other deferred assets</t>
  </si>
  <si>
    <t>All other assets</t>
  </si>
  <si>
    <t>3Q26E adds forecast equity-security gain (BETA mark-to-market)</t>
  </si>
  <si>
    <t>Deferred income taxes</t>
  </si>
  <si>
    <t>Assets of discontinued operations</t>
  </si>
  <si>
    <t>Total assets</t>
  </si>
  <si>
    <t>Liabilities</t>
  </si>
  <si>
    <t>Short-term borrowings</t>
  </si>
  <si>
    <t>Accounts payable</t>
  </si>
  <si>
    <t>Progress collections</t>
  </si>
  <si>
    <t>Contract liabilities &amp; def. income</t>
  </si>
  <si>
    <t>Full label: Contract liabilities and deferred income</t>
  </si>
  <si>
    <t>Sales discounts and allowances</t>
  </si>
  <si>
    <t>All other current liabilities</t>
  </si>
  <si>
    <t>3Q26E absorbs aggregate working-capital &amp; other operating item plus tax provision less cash taxes</t>
  </si>
  <si>
    <t>Current liabilities</t>
  </si>
  <si>
    <t>Deferred income</t>
  </si>
  <si>
    <t>Long-term borrowings</t>
  </si>
  <si>
    <t>Insurance liabilities &amp; annuities</t>
  </si>
  <si>
    <t>Full label: Insurance liabilities and annuity benefits</t>
  </si>
  <si>
    <t>Non-current comp. &amp; benefits</t>
  </si>
  <si>
    <t>3Q26E moves with pension/OPEB cost and contributions | Full label: Non-current compensation and benefits</t>
  </si>
  <si>
    <t>All other liabilities</t>
  </si>
  <si>
    <t>Liabilities of disc. operations</t>
  </si>
  <si>
    <t>Full label: Liabilities of discontinued operations</t>
  </si>
  <si>
    <t>Total liabilities</t>
  </si>
  <si>
    <t>Equity</t>
  </si>
  <si>
    <t>Common stock</t>
  </si>
  <si>
    <t>Accumulated OCI (loss)</t>
  </si>
  <si>
    <t>Full label: Accumulated other comprehensive income (loss)</t>
  </si>
  <si>
    <t>Other capital</t>
  </si>
  <si>
    <t>Retained earnings</t>
  </si>
  <si>
    <t>3Q26E = 2Q26 + net income attributable - dividends</t>
  </si>
  <si>
    <t>Less: common stock held in treasury</t>
  </si>
  <si>
    <t>3Q26E = 2Q26 - buybacks</t>
  </si>
  <si>
    <t>Total shareholders' equity</t>
  </si>
  <si>
    <t>Noncontrolling interests</t>
  </si>
  <si>
    <t>Total equity</t>
  </si>
  <si>
    <t>Total liabilities and equity</t>
  </si>
  <si>
    <t>Checks</t>
  </si>
  <si>
    <t>Assets - liabilities - equity</t>
  </si>
  <si>
    <t>Actuals: issuer rounds each line to $M (e.g. 1Q26 reported liabilities 110,148 vs 110,151 sum of lines), so differences of a few $M remain; 3Q26E adds no new imbalance (difference carried from 2Q26) | Full label: Check: total assets - total liabilities - total equity</t>
  </si>
  <si>
    <t>Check: balance sheet balances</t>
  </si>
  <si>
    <t>3Q26E (col J): identity check that passes by construction (rollforward arithmetic), not independent validation of the forecast (J53 tests only that the imbalance is unchanged vs 2Q26) | Full label: Balance sheet balances (|diff| &lt;= 5 actuals; forecast adds no imbalance vs 2Q26)</t>
  </si>
  <si>
    <t>Memo: total assets as reported</t>
  </si>
  <si>
    <t>Total assets: built less reported</t>
  </si>
  <si>
    <t>Full label: Total assets: components less reported (rounding)</t>
  </si>
  <si>
    <t>Derived metrics</t>
  </si>
  <si>
    <t>Total borrowings</t>
  </si>
  <si>
    <t>Net debt (borrowings - cash)</t>
  </si>
  <si>
    <t>Operating working capital</t>
  </si>
  <si>
    <t>Full label: Operating working capital (recv + inv + contract assets - AP - progress - contract liab.)</t>
  </si>
  <si>
    <t>Cash Flow Statement — discrete quarters (derived from fiscal YTD filings) and as-reported YTD</t>
  </si>
  <si>
    <t>A. Discrete quarter cash flows (C-F, H-I derived from YTD block B; G = sum of quarters; J = forecast)</t>
  </si>
  <si>
    <t>Operating activities</t>
  </si>
  <si>
    <t>Net income (loss)</t>
  </si>
  <si>
    <t>Disc. ops (income) loss add-back</t>
  </si>
  <si>
    <t>Full label: Net (income) loss from discontinued operations</t>
  </si>
  <si>
    <t>Depreciation &amp; amortization of PP&amp;E</t>
  </si>
  <si>
    <t>3Q26E 240 (1Q26 227, 2Q26 225)</t>
  </si>
  <si>
    <t>Amortization of intangible assets</t>
  </si>
  <si>
    <t>3Q26E 88 (1Q26 85, 2Q26 88)</t>
  </si>
  <si>
    <t>(Gains) losses on equity securities</t>
  </si>
  <si>
    <t>Pension plans (benefit) cost</t>
  </si>
  <si>
    <t>3Q26E (147): run-rate (1Q26 (147), 2Q26 (146)) | Full label: Principal pension plans (benefit) cost</t>
  </si>
  <si>
    <t>Pension employer contributions</t>
  </si>
  <si>
    <t>3Q26E (49): run-rate (1Q26 (49), 2Q26 (48)) | Full label: Principal pension plans employer contributions</t>
  </si>
  <si>
    <t>Other postretirement plans</t>
  </si>
  <si>
    <t>3Q26E (70): run-rate (1Q26 (79), 2Q26 (57)) | Full label: Other postretirement benefit plans (net)</t>
  </si>
  <si>
    <t>Provision (benefit) for income taxes</t>
  </si>
  <si>
    <t>3Q26E = GAAP tax provision (Income Statement)</t>
  </si>
  <si>
    <t>Cash taxes recovered (paid)</t>
  </si>
  <si>
    <t>3Q26E (200): 3Q25 (184), 2Q26 (107) | Full label: Cash recovered (paid) for income taxes</t>
  </si>
  <si>
    <t>Decr. (incr.) in receivables</t>
  </si>
  <si>
    <t>3Q26E 0: not forecast line-by-line (captured in aggregate All other operating) | Full label: Decrease (increase) in current receivables</t>
  </si>
  <si>
    <t>Decrease (increase) in inventories</t>
  </si>
  <si>
    <t>3Q26E 0: not forecast line-by-line (captured in aggregate All other operating)</t>
  </si>
  <si>
    <t>Decr. (incr.) in contract assets</t>
  </si>
  <si>
    <t>3Q26E 0: not forecast line-by-line (captured in aggregate All other operating) | Full label: Decrease (increase) in current contract assets</t>
  </si>
  <si>
    <t>Incr. (decr.) in contract liabilities</t>
  </si>
  <si>
    <t>3Q26E 0: not forecast line-by-line (captured in aggregate All other operating) | Full label: Increase (decrease) in contract liabilities &amp; current deferred income</t>
  </si>
  <si>
    <t>Incr. (decr.) in progress collections</t>
  </si>
  <si>
    <t>3Q26E 0: not forecast line-by-line (captured in aggregate All other operating) | Full label: Increase (decrease) in progress collections</t>
  </si>
  <si>
    <t>Incr. (decr.) in accounts payable</t>
  </si>
  <si>
    <t>3Q26E 0: not forecast line-by-line (captured in aggregate All other operating) | Full label: Increase (decrease) in accounts payable</t>
  </si>
  <si>
    <t>Incr. (decr.) in sales discounts</t>
  </si>
  <si>
    <t>3Q26E 0: not forecast line-by-line (captured in aggregate All other operating) | Full label: Increase (decrease) in sales discounts and allowances</t>
  </si>
  <si>
    <t>All other operating activities</t>
  </si>
  <si>
    <t>3Q26E +100: aggregate of working capital, pension, tax timing &amp; other (3Q25 discrete: WC &amp; other inflow; FY26 FCF guide $8.9-9.2B, S14)</t>
  </si>
  <si>
    <t>CFOA — continuing operations</t>
  </si>
  <si>
    <t>Full label: Cash from operating activities — continuing (CFOA)</t>
  </si>
  <si>
    <t>CFOA — discontinued operations</t>
  </si>
  <si>
    <t>3Q26E 0: assumed nil (no disclosed transaction)</t>
  </si>
  <si>
    <t>CFOA — total</t>
  </si>
  <si>
    <t>Full label: Cash from operating activities — total</t>
  </si>
  <si>
    <t>Investing activities</t>
  </si>
  <si>
    <t>Capex (PP&amp;E &amp; software additions)</t>
  </si>
  <si>
    <t>3Q26E (340): 1H26 (666); FY CapEx &gt; $1B (S17) | Full label: Additions to PP&amp;E and internal-use software</t>
  </si>
  <si>
    <t>Dispositions of PP&amp;E</t>
  </si>
  <si>
    <t>3Q26E 15</t>
  </si>
  <si>
    <t>Business disposition proceeds</t>
  </si>
  <si>
    <t>3Q26E 0: assumed nil (no disclosed transaction) | Full label: Proceeds from principal business dispositions</t>
  </si>
  <si>
    <t>Businesses purchased, net</t>
  </si>
  <si>
    <t>3Q26E 0: assumed nil (no disclosed transaction) | Full label: Net cash from (payments for) principal businesses purchased</t>
  </si>
  <si>
    <t>Sales of retained ownership interests</t>
  </si>
  <si>
    <t>Insurance investment securities, net</t>
  </si>
  <si>
    <t>3Q26E 0: assumed nil (no disclosed transaction) | Full label: Net (purchases) dispositions of insurance investment securities</t>
  </si>
  <si>
    <t>All other investing activities</t>
  </si>
  <si>
    <t>CFI — continuing</t>
  </si>
  <si>
    <t>Full label: Cash from investing activities — continuing</t>
  </si>
  <si>
    <t>Investing — discontinued operations</t>
  </si>
  <si>
    <t>CFI — total</t>
  </si>
  <si>
    <t>Full label: Cash from investing activities — total</t>
  </si>
  <si>
    <t>Financing activities</t>
  </si>
  <si>
    <t>Short-term borrowings, net</t>
  </si>
  <si>
    <t>3Q26E 0: assumed nil (no disclosed transaction) | Full label: Net increase (decrease) in borrowings (&lt;= 90 days)</t>
  </si>
  <si>
    <t>Newly issued debt (&gt; 90 days)</t>
  </si>
  <si>
    <t>Debt repayments (&gt; 90 days)</t>
  </si>
  <si>
    <t>3Q26E 0: "no planned debt repayment" (S15) | Full label: Repayments and other debt reductions (&gt; 90 days)</t>
  </si>
  <si>
    <t>Dividends paid to shareholders</t>
  </si>
  <si>
    <t>3Q26E = DPS x weighted basic shares (Share Count)</t>
  </si>
  <si>
    <t>Share repurchases (treasury)</t>
  </si>
  <si>
    <t>3Q26E = Share Count buyback assumption ($2.0B; CPP "no change to capital allocation", S19) | Full label: Purchases of common stock for treasury</t>
  </si>
  <si>
    <t>All other financing activities</t>
  </si>
  <si>
    <t>CFF — continuing</t>
  </si>
  <si>
    <t>Full label: Cash from financing activities — continuing</t>
  </si>
  <si>
    <t>Financing — discontinued operations</t>
  </si>
  <si>
    <t>CFF — total</t>
  </si>
  <si>
    <t>Full label: Cash from financing activities — total</t>
  </si>
  <si>
    <t>FX effect on cash</t>
  </si>
  <si>
    <t>3Q26E 0 (not forecast) | Full label: Effect of currency exchange rate changes</t>
  </si>
  <si>
    <t>Change in cash &amp; restricted cash</t>
  </si>
  <si>
    <t>Full label: Increase (decrease) in cash, cash equivalents &amp; restricted cash</t>
  </si>
  <si>
    <t>Cash, beginning of period</t>
  </si>
  <si>
    <t>Full label: Cash at beginning of period (incl. discontinued)</t>
  </si>
  <si>
    <t>Cash, end of period (total)</t>
  </si>
  <si>
    <t>Full label: Cash at end of period (incl. discontinued)</t>
  </si>
  <si>
    <t>Less: disc. ops cash (Bank BPH)</t>
  </si>
  <si>
    <t>3Q26E held flat | Full label: Less: cash of discontinued operations (Bank BPH)</t>
  </si>
  <si>
    <t>Cash, end — continuing</t>
  </si>
  <si>
    <t>Full label: Cash at end of period — continuing operations</t>
  </si>
  <si>
    <t>Change in continuing cash</t>
  </si>
  <si>
    <t>Full label: Change in continuing-operations cash</t>
  </si>
  <si>
    <t>Cash ties to Balance Sheet</t>
  </si>
  <si>
    <t>Balance Sheet cash</t>
  </si>
  <si>
    <t>Full label: Balance Sheet: cash, cash equivalents &amp; restricted cash</t>
  </si>
  <si>
    <t>Implied Insurance cash (CF - BS)</t>
  </si>
  <si>
    <t>Full label: Implied run-off Insurance cash in All other assets (CF continuing - BS)</t>
  </si>
  <si>
    <t>Disclosed Insurance cash</t>
  </si>
  <si>
    <t>3Q26E held flat | Full label: Disclosed Insurance cash classified in All other assets ($0.1B precision)</t>
  </si>
  <si>
    <t>Check: cash ties to Balance Sheet</t>
  </si>
  <si>
    <t>3Q26E (col J): identity check that passes by construction (rollforward arithmetic), not independent validation of the forecast (J88 = BS I10 + J86, so J89 = I89; J90 = I90) | Full label: Check: cash ties to Balance Sheet (|implied - disclosed| &lt;= 60)</t>
  </si>
  <si>
    <t>Cash change: BS + Insurance - CF</t>
  </si>
  <si>
    <t>Full label: Change in BS cash + change in Insurance cash - change in CF continuing cash</t>
  </si>
  <si>
    <t>Check: change in cash ties</t>
  </si>
  <si>
    <t>3Q26E (col J): identity check that passes by construction (rollforward arithmetic), not independent validation of the forecast (J92 = 0 by the same rollforward) | Full label: Check: change in cash ties (|diff| &lt;= 110 given $0.1B disclosure precision; forecast exact)</t>
  </si>
  <si>
    <t>Check: quarters sum to FY (CFOA)</t>
  </si>
  <si>
    <t>Full label: Check: discrete quarters sum to FY YTD (CFOA continuing)</t>
  </si>
  <si>
    <t>Free cash flow (issuer definition, non-GAAP)</t>
  </si>
  <si>
    <t>Add: capex (gross PP&amp;E additions)</t>
  </si>
  <si>
    <t>Full label: Add: gross additions to PP&amp;E and internal-use software (capex)</t>
  </si>
  <si>
    <t>Add: dispositions of PP&amp;E</t>
  </si>
  <si>
    <t>Add back: separation cash expenditures</t>
  </si>
  <si>
    <t>3Q26E (20): separation substantially complete (S16)</t>
  </si>
  <si>
    <t>Add back: restructuring cash</t>
  </si>
  <si>
    <t>Full label: Add back: Corporate &amp; Other restructuring cash expenditures (stored negative; FCF row 105 subtracts it, i.e. adds back)</t>
  </si>
  <si>
    <t>Free cash flow (FCF)</t>
  </si>
  <si>
    <t>Memo: FCF as reported</t>
  </si>
  <si>
    <t>Check: FCF = reported</t>
  </si>
  <si>
    <t>Full label: Check: built = reported FCF (|diff| &lt;= 3)</t>
  </si>
  <si>
    <t>FCF conversion (FCF / adj. NI)</t>
  </si>
  <si>
    <t>Full label: FCF conversion (FCF / adjusted net income)</t>
  </si>
  <si>
    <t>Capex / adjusted revenue</t>
  </si>
  <si>
    <t>Full label: Capex intensity (capex / adjusted revenue)</t>
  </si>
  <si>
    <t>B. As reported — fiscal year-to-date (3M, 6M, 9M, 12M); G = FY; J = 9M26E (= 6M26 + 3Q26E)</t>
  </si>
  <si>
    <t>Full label: Principal pension plans (benefit) cost</t>
  </si>
  <si>
    <t>Full label: Principal pension plans employer contributions</t>
  </si>
  <si>
    <t>Full label: Other postretirement benefit plans (net)</t>
  </si>
  <si>
    <t>Full label: Cash recovered (paid) for income taxes</t>
  </si>
  <si>
    <t>Full label: Decrease (increase) in current receivables</t>
  </si>
  <si>
    <t>Full label: Decrease (increase) in current contract assets</t>
  </si>
  <si>
    <t>Full label: Increase (decrease) in contract liabilities &amp; current deferred income</t>
  </si>
  <si>
    <t>Full label: Increase (decrease) in progress collections</t>
  </si>
  <si>
    <t>Full label: Increase (decrease) in accounts payable</t>
  </si>
  <si>
    <t>Full label: Increase (decrease) in sales discounts and allowances</t>
  </si>
  <si>
    <t>CFOA — continuing (YTD)</t>
  </si>
  <si>
    <t>Memo: CFOA, reported (YTD)</t>
  </si>
  <si>
    <t>Full label: Memo: CFOA continuing as reported (YTD)</t>
  </si>
  <si>
    <t>Check: YTD CFOA = reported</t>
  </si>
  <si>
    <t>Full label: Check: YTD CFOA lines sum to reported (|diff| &lt;= 3)</t>
  </si>
  <si>
    <t>CFOA — discontinued (YTD)</t>
  </si>
  <si>
    <t>Full label: Additions to PP&amp;E and internal-use software</t>
  </si>
  <si>
    <t>Full label: Proceeds from principal business dispositions</t>
  </si>
  <si>
    <t>Full label: Net cash from (payments for) principal businesses purchased</t>
  </si>
  <si>
    <t>Full label: Net (purchases) dispositions of insurance investment securities</t>
  </si>
  <si>
    <t>Investing — discontinued (YTD)</t>
  </si>
  <si>
    <t>Full label: Net increase (decrease) in borrowings (&lt;= 90 days)</t>
  </si>
  <si>
    <t>Full label: Repayments and other debt reductions (&gt; 90 days)</t>
  </si>
  <si>
    <t>Full label: Purchases of common stock for treasury</t>
  </si>
  <si>
    <t>Financing — discontinued (YTD)</t>
  </si>
  <si>
    <t>FX effect on cash (YTD)</t>
  </si>
  <si>
    <t>Full label: Effect of currency exchange rate changes (YTD)</t>
  </si>
  <si>
    <t>Cash, beginning of fiscal year</t>
  </si>
  <si>
    <t>Full label: Cash at beginning of fiscal year (incl. discontinued)</t>
  </si>
  <si>
    <t>Disc. ops cash, beginning of FY</t>
  </si>
  <si>
    <t>Full label: Cash of discontinued operations at beginning of fiscal year</t>
  </si>
  <si>
    <t>Less: disc. ops cash, period end</t>
  </si>
  <si>
    <t>Full label: Less: cash of discontinued operations at period end</t>
  </si>
  <si>
    <t>Memo: ending cont. cash, reported</t>
  </si>
  <si>
    <t>Full label: Memo: cash of continuing operations at period end as reported</t>
  </si>
  <si>
    <t>Check: ending cash = reported</t>
  </si>
  <si>
    <t>Full label: Check: derived ending continuing cash = reported (|diff| &lt;= 3)</t>
  </si>
  <si>
    <t>Geo — revenue by geography (GAAP total revenue; FY only)</t>
  </si>
  <si>
    <t>Revenue by region, FY (10-K Note 25). Quarterly geography is not disclosed in 10-Qs: quarter and 3Q26E columns unavailable (blank, not zero)</t>
  </si>
  <si>
    <t>United States</t>
  </si>
  <si>
    <t xml:space="preserve">   % Y/Y (vs FY24 memo)</t>
  </si>
  <si>
    <t>Full label: % Y/Y (total reported, vs FY24 memo)</t>
  </si>
  <si>
    <t>Europe</t>
  </si>
  <si>
    <t>Asia</t>
  </si>
  <si>
    <t>Americas (ex-U.S.)</t>
  </si>
  <si>
    <t>Middle East and Africa</t>
  </si>
  <si>
    <t>Non-U.S. revenue</t>
  </si>
  <si>
    <t>Full label: Non-U.S. revenue (Europe + Asia + Americas + MEA)</t>
  </si>
  <si>
    <t>Total geographic revenue (GAAP)</t>
  </si>
  <si>
    <t>Income Statement total revenue</t>
  </si>
  <si>
    <t>Full label: Income Statement FY25 total revenue (GAAP)</t>
  </si>
  <si>
    <t>Check: Geo sums to total revenue</t>
  </si>
  <si>
    <t>Full label: Check: Geo sums to total revenue (|diff| &lt;= 2 rounding)</t>
  </si>
  <si>
    <t>Memo: FY24A comparatives (10-K Note 25)</t>
  </si>
  <si>
    <t>FY24A</t>
  </si>
  <si>
    <t>Column G in rows 54-60 holds FY24A prior-year values; the FY25A header in G5 does not apply to this memo block</t>
  </si>
  <si>
    <t>United States — FY24A</t>
  </si>
  <si>
    <t>Europe — FY24A</t>
  </si>
  <si>
    <t>Asia — FY24A</t>
  </si>
  <si>
    <t>Americas (ex-U.S.) — FY24A</t>
  </si>
  <si>
    <t>Middle East and Africa — FY24A</t>
  </si>
  <si>
    <t>Non-U.S. — FY24A</t>
  </si>
  <si>
    <t>Total — FY24A</t>
  </si>
  <si>
    <t>Share Count — shares outstanding, buybacks, weighted basic &amp; diluted shares</t>
  </si>
  <si>
    <t>Shares outstanding and repurchases (millions)</t>
  </si>
  <si>
    <t>Shares outstanding, beginning</t>
  </si>
  <si>
    <t>Full label: Shares outstanding, beginning of period</t>
  </si>
  <si>
    <t>Less: shares repurchased</t>
  </si>
  <si>
    <t>Part II share-purchase tables (ASR shares when delivered)</t>
  </si>
  <si>
    <t>Add: net issuance / other</t>
  </si>
  <si>
    <t>Employee plan issuance; 3Q26E 0.5M (2Q26 1.1M, 1Q26 1.7M) | Full label: Add: net issuance / other (derived; 3Q26E assumption)</t>
  </si>
  <si>
    <t>Shares outstanding, end of period</t>
  </si>
  <si>
    <t>Repurchase value ($M)</t>
  </si>
  <si>
    <t>3Q26E $2.0B: run-rate (1Q26 $2.2B, 2Q26 $2.0B); CPP deal states no change to capital allocation (S19)</t>
  </si>
  <si>
    <t>Average price paid ($/share)</t>
  </si>
  <si>
    <t>3Q26E $330: GE traded ~$360 (Jul) to ~$314 (mid-Oct)</t>
  </si>
  <si>
    <t>Memo: buybacks per cash flow ($M)</t>
  </si>
  <si>
    <t>Full label: Memo: treasury purchases per cash flow ($M; timing differs for ASRs)</t>
  </si>
  <si>
    <t>Weighted-average shares for EPS (millions)</t>
  </si>
  <si>
    <t>Weighted-average basic shares</t>
  </si>
  <si>
    <t>4Q25 not disclosed: derived from FY25 average x 4 less 1Q-3Q (approximation). 3Q26E = average of opening and closing shares</t>
  </si>
  <si>
    <t>Dilutive employee shares</t>
  </si>
  <si>
    <t>3Q26E 6.5M (2Q26 7, 1Q26 8) | Full label: Dilutive employee compensation shares</t>
  </si>
  <si>
    <t>Diluted shares (wtd avg, GAAP)</t>
  </si>
  <si>
    <t>Full label: Weighted-average diluted shares (GAAP)</t>
  </si>
  <si>
    <t>Shares behind adjusted EPS (M)</t>
  </si>
  <si>
    <t>Issuer slide share counts (S08/S12/S15) equal the 10-Q diluted weighted shares in every quarter, so this row links the diluted row | Full label: Share count behind adjusted EPS (issuer slides) — forecast EPS denominator</t>
  </si>
  <si>
    <t>Dividends</t>
  </si>
  <si>
    <t>Dividends paid per share ($)</t>
  </si>
  <si>
    <t>3Q26E $0.47/quarter: 2Q26 dividends paid $492M / 1,040M shares = $0.47 | Full label: Dividends paid per weighted basic share ($)</t>
  </si>
  <si>
    <t>Guidance — issuer guidance history (no quarterly guidance issued) and 3Q26 implied</t>
  </si>
  <si>
    <t>Metric (issued by GE Aerospace)</t>
  </si>
  <si>
    <t>Issued</t>
  </si>
  <si>
    <t>Low</t>
  </si>
  <si>
    <t>High</t>
  </si>
  <si>
    <t>Midpoint</t>
  </si>
  <si>
    <t>Actual</t>
  </si>
  <si>
    <t>vs midpoint</t>
  </si>
  <si>
    <t>Units</t>
  </si>
  <si>
    <t>Adjusted EPS</t>
  </si>
  <si>
    <t>2025-07-17</t>
  </si>
  <si>
    <t>FY25</t>
  </si>
  <si>
    <t>Beat</t>
  </si>
  <si>
    <t>$/share</t>
  </si>
  <si>
    <t>Guide range: S05. Actual $6.37 = issuer-reported FY25 adjusted EPS (S07 4Q25 release: adjusted NI $6,812M, $6.37; S08 slides: 6,812 / 1,068 shares). Model Income Statement!G103 = $6.376 (sum-of-quarters adjusted NI 6,810 / 1,068); issuer value kept at reported precision</t>
  </si>
  <si>
    <t>Operating profit</t>
  </si>
  <si>
    <t>$M</t>
  </si>
  <si>
    <t>Guide range: S05; actual = Revenue summary!G98 (FY25 9,055, matches S07)</t>
  </si>
  <si>
    <t>Free cash flow</t>
  </si>
  <si>
    <t>Guide range: S05; actual = Cash Flow Statement!G105 (FY25 7,694, matches S07)</t>
  </si>
  <si>
    <t>Adjusted EPS (raised)</t>
  </si>
  <si>
    <t>2025-10-21</t>
  </si>
  <si>
    <t>Guide range: S05. Actual = H10 (S07/S08)</t>
  </si>
  <si>
    <t>Operating profit (raised)</t>
  </si>
  <si>
    <t>Free cash flow (raised)</t>
  </si>
  <si>
    <t>CES op. profit (pre-recast)</t>
  </si>
  <si>
    <t>Guide range: S05; FY25 actual 8,861 from S07 (4Q25 release, pre-recast basis) | Full label: CES operating profit (pre-recast basis)</t>
  </si>
  <si>
    <t>DPT op. profit (pre-recast)</t>
  </si>
  <si>
    <t>Guide range: S05; FY25 actual 1,296 from S07 (4Q25 release, pre-recast basis) | Full label: DPT operating profit (pre-recast basis)</t>
  </si>
  <si>
    <t>Adjusted EPS (initial)</t>
  </si>
  <si>
    <t>2026-01-22</t>
  </si>
  <si>
    <t>FY26</t>
  </si>
  <si>
    <t>Pending</t>
  </si>
  <si>
    <t>S07</t>
  </si>
  <si>
    <t>Operating profit (initial)</t>
  </si>
  <si>
    <t>Free cash flow (initial)</t>
  </si>
  <si>
    <t>CES operating profit (initial)</t>
  </si>
  <si>
    <t>DPT operating profit (initial)</t>
  </si>
  <si>
    <t>Corporate &amp; Other costs (initial)</t>
  </si>
  <si>
    <t>S07 | Full label: Adjusted Corporate &amp; Other costs (initial)</t>
  </si>
  <si>
    <t>Adjusted EPS (maintained)</t>
  </si>
  <si>
    <t>2026-04-21</t>
  </si>
  <si>
    <t>S11 | Full label: Adjusted EPS (maintained, trending high end)</t>
  </si>
  <si>
    <t>Operating profit (maintained)</t>
  </si>
  <si>
    <t>S11</t>
  </si>
  <si>
    <t>Free cash flow (maintained)</t>
  </si>
  <si>
    <t>2026-07-16</t>
  </si>
  <si>
    <t>S14</t>
  </si>
  <si>
    <t>CES operating profit (raised)</t>
  </si>
  <si>
    <t>DPT operating profit (raised)</t>
  </si>
  <si>
    <t>Corporate &amp; Other costs (held)</t>
  </si>
  <si>
    <t>S15 | Full label: Adjusted Corporate &amp; Other costs (unchanged)</t>
  </si>
  <si>
    <t>Adj. revenue growth "high-teens"</t>
  </si>
  <si>
    <t>% Y/Y</t>
  </si>
  <si>
    <t>S14 | Full label: Adjusted revenue growth "high-teens" (interpreted 17%-19%)</t>
  </si>
  <si>
    <t>Interest expense (~$900M)</t>
  </si>
  <si>
    <t>S15 | Full label: Interest expense excl. Insurance &amp; tax equity (~$900M)</t>
  </si>
  <si>
    <t>Adjusted ETR (&lt;16.5%)</t>
  </si>
  <si>
    <t>%</t>
  </si>
  <si>
    <t>S15 | Full label: Adjusted effective tax rate (&lt;16.5%; upper bound only)</t>
  </si>
  <si>
    <t>Diluted share count (~1,050M)</t>
  </si>
  <si>
    <t>M shares</t>
  </si>
  <si>
    <t>S15</t>
  </si>
  <si>
    <t>Implied 3Q26 from July-2026 full-year guidance (GE does not issue quarterly guidance; derived here for the Cover)</t>
  </si>
  <si>
    <t>2H26 implied adj. EPS (FY - 1H)</t>
  </si>
  <si>
    <t>Full label: 2H26 implied adjusted EPS (FY guide less 1H26 actual). APPROXIMATION: subtracts the sum of 1Q26+2Q26 per-share EPS; FY EPS = FY NI / FY avg shares, not the sum of quarterly EPS when share count changes</t>
  </si>
  <si>
    <t>3Q share of 2H adj. EPS (2H25)</t>
  </si>
  <si>
    <t>Full label: 3Q share of 2H adjusted EPS (2H25 actual pattern)</t>
  </si>
  <si>
    <t>3Q26 guide-implied adj. EPS</t>
  </si>
  <si>
    <t>Full label: 3Q26 guidance-implied adjusted EPS (not issued). APPROXIMATE benchmark only (per-share summation, see K38); exact derivation needs an FY diluted share count, which is guided only as ~1,050M (G36). Not a forecast input</t>
  </si>
  <si>
    <t>FY26 implied adj. revenue</t>
  </si>
  <si>
    <t>Full label: FY26 implied adjusted revenue (FY25 x (1 + growth))</t>
  </si>
  <si>
    <t>2H26 implied adj. revenue (FY - 1H)</t>
  </si>
  <si>
    <t>Full label: 2H26 implied adjusted revenue (FY less 1H26 actual)</t>
  </si>
  <si>
    <t>3Q share of 2H adj. revenue (2H25)</t>
  </si>
  <si>
    <t>Full label: 3Q share of 2H adjusted revenue (2H25 actual pattern)</t>
  </si>
  <si>
    <t>3Q26 guide-implied adj. revenue</t>
  </si>
  <si>
    <t>Full label: 3Q26 guidance-implied adjusted revenue (not issued)</t>
  </si>
  <si>
    <t>2H26 implied op. profit (FY - 1H)</t>
  </si>
  <si>
    <t>Full label: 2H26 implied operating profit (FY guide less 1H26 actual)</t>
  </si>
  <si>
    <t>3Q share of 2H op. profit (2H25)</t>
  </si>
  <si>
    <t>Full label: 3Q share of 2H operating profit (2H25 actual pattern)</t>
  </si>
  <si>
    <t>3Q26 guide-implied op. profit</t>
  </si>
  <si>
    <t>Full label: 3Q26 guidance-implied operating profit (not issued)</t>
  </si>
  <si>
    <t>3Q26 guide-implied adj. net income</t>
  </si>
  <si>
    <t>Full label: 3Q26 guidance-implied adjusted net income (EPS x forecast shares). Inherits the approximation in K38/K40</t>
  </si>
  <si>
    <t>Record: FY25 adjusted EPS beat every guide midpoint (Jul-25 mid $5.70, Oct-25 mid $6.10; actual $6.37)</t>
  </si>
  <si>
    <t>Sources — ID, publication date, publisher, document / URL, what it feeds</t>
  </si>
  <si>
    <t>ID</t>
  </si>
  <si>
    <t>Published</t>
  </si>
  <si>
    <t>Retrieved</t>
  </si>
  <si>
    <t>Publisher</t>
  </si>
  <si>
    <t>Document  |  URL / file  |  Feeds (retrieved dates are UTC)</t>
  </si>
  <si>
    <t>S01</t>
  </si>
  <si>
    <t>2026-10-18</t>
  </si>
  <si>
    <t>2026-10-19</t>
  </si>
  <si>
    <t>S&amp;P Capital IQ</t>
  </si>
  <si>
    <t>GE_history.csv (attached CapIQ export)  |  file: workspace/GE_history.csv  |  Inputs history rows; Revenue summary / Income Statement CapIQ actual check rows; prior calibration</t>
  </si>
  <si>
    <t>S02</t>
  </si>
  <si>
    <t>GE_consensus.json (attached CapIQ snapshot)  |  file: workspace/GE_consensus.json  |  Inputs summary row; Cover consensus columns</t>
  </si>
  <si>
    <t>S03</t>
  </si>
  <si>
    <t>2025-04-22</t>
  </si>
  <si>
    <t>GE Aerospace / SEC</t>
  </si>
  <si>
    <t>1Q25 Form 10-Q (ge-20250331.htm)  |  https://www.sec.gov/Archives/edgar/data/40545/000004054525000062/ge-20250331.htm  |  Balance Sheet 1Q25; Share Count 1Q25 buyback; insurance cash</t>
  </si>
  <si>
    <t>S04</t>
  </si>
  <si>
    <t>2025-07-21</t>
  </si>
  <si>
    <t>2Q25 Form 10-Q (ge-20250630.htm)  |  https://www.sec.gov/Archives/edgar/data/40545/000004054525000111/ge-20250630.htm  |  Balance Sheet 2Q25; Share Count 2Q25 buyback; insurance cash</t>
  </si>
  <si>
    <t>S05</t>
  </si>
  <si>
    <t>3Q25 earnings release (ge3q2025earningsrelease.htm)  |  https://www.sec.gov/Archives/edgar/data/40545/000004054525000131/ge3q2025earningsrelease.htm  |  Income Statement 3Q25 GAAP-to-adjusted bridge; FCF 3Q25; FY25 guidance (Guidance)</t>
  </si>
  <si>
    <t>S06</t>
  </si>
  <si>
    <t>3Q25 Form 10-Q (ge-20250930.htm, R2/R3/R5)  |  https://www.sec.gov/Archives/edgar/data/40545/000004054525000132/ge-20250930.htm  |  Income Statement 3Q25; Balance Sheet 3Q25; Cash Flow 9M25; EPS shares; LEAP units; buyback</t>
  </si>
  <si>
    <t>4Q25 earnings release (ge4q2025earningsrelease.htm)  |  https://www.sec.gov/Archives/edgar/data/40545/000004054526000005/ge4q2025earningsrelease.htm  |  Income Statement 4Q25 (three months); 4Q25 bridge; FCF 4Q25; FY26 initial guidance</t>
  </si>
  <si>
    <t>S08</t>
  </si>
  <si>
    <t>GE Aerospace</t>
  </si>
  <si>
    <t>4Q25 earnings slides (quarterly adjusted EPS detail, share count)  |  https://www.geaerospace.com/sites/default/files/geaerospace_webcast_presentation_01222026.pdf  |  Income Statement adjusted interest/tax/dilution 1Q25-4Q25; Share Count adjusted EPS share count</t>
  </si>
  <si>
    <t>S09</t>
  </si>
  <si>
    <t>2026-01-29</t>
  </si>
  <si>
    <t>FY2025 Form 10-K (ge-20251231.htm; R3, R4, R6, R127, R150)  |  https://www.sec.gov/Archives/edgar/data/40545/000004054526000008/ge-20251231.htm  |  FY25 checks; Balance Sheet 4Q25; Cash Flow FY25; EPS note; Geo; LEAP FY units; 4Q25 buyback</t>
  </si>
  <si>
    <t>S10</t>
  </si>
  <si>
    <t>2026-03-24</t>
  </si>
  <si>
    <t>2025 Adjustments to Segment Structure (recast supplemental)  |  https://www.geaerospace.com/sites/default/files/2025-ge-aerospace-segment-adjustment-supplemental-financials.pdf  |  Segment tabs 2025 recast revenue, services/equipment, profit, orders, RPO, units; corporate costs</t>
  </si>
  <si>
    <t>1Q26 earnings release (ge1q2026earningsrelease.htm)  |  https://www.sec.gov/Archives/edgar/data/40545/000004054526000026/ge1q2026earningsrelease.htm  |  1Q26 segment results, bridge, FCF; guidance maintained</t>
  </si>
  <si>
    <t>S12</t>
  </si>
  <si>
    <t>1Q26 earnings slides  |  https://www.geaerospace.com/sites/default/files/geaerospace_webcast_presentation_04212026.pdf  |  1Q26 adjusted interest/tax, orders split, eliminations split, share count</t>
  </si>
  <si>
    <t>S13</t>
  </si>
  <si>
    <t>1Q26 Form 10-Q (ge-20260331.htm, R2/R3/R5)  |  https://www.sec.gov/Archives/edgar/data/40545/000004054526000027/ge-20260331.htm  |  Income Statement 1Q26/1Q25; Balance Sheet 1Q26; Cash Flow 3M26/3M25; segment detail; units; RPO; EPS shares</t>
  </si>
  <si>
    <t>2Q26 earnings release (ge2q2026earningsrelease.htm)  |  https://www.sec.gov/Archives/edgar/data/40545/000004054526000047/ge2q2026earningsrelease.htm  |  2Q26 segment results, bridge, FCF; raised FY26 guidance</t>
  </si>
  <si>
    <t>2Q26 earnings slides  |  https://www.geaerospace.com/sites/default/files/geaerospace_webcast_presentation_07162026_2.pdf  |  2Q26 adjusted interest/tax/dilution, orders split, FY26 interest/ETR/share guidance</t>
  </si>
  <si>
    <t>S16</t>
  </si>
  <si>
    <t>2Q26 Form 10-Q (ge-20260630.htm, R2/R3/R5)  |  https://www.sec.gov/Archives/edgar/data/40545/000004054526000049/ge-20260630.htm  |  Income Statement 2Q26/2Q25; Balance Sheet 2Q26; Cash Flow 6M26/6M25; segment detail; units; RPO; EPS shares; buyback</t>
  </si>
  <si>
    <t>S17</t>
  </si>
  <si>
    <t>LSEG StreetEvents / GE Aerospace</t>
  </si>
  <si>
    <t>2Q26 earnings call edited transcript  |  https://www.geaerospace.com/sites/default/files/geaerospace_webcast_transcript_07162026.pdf  |  2H26 services growth (low double digit), 95% spares in backlog, shop visits oversubscribed</t>
  </si>
  <si>
    <t>S18</t>
  </si>
  <si>
    <t>2026-09-17</t>
  </si>
  <si>
    <t>Morgan Stanley Laguna conference transcript (CFO R. Ghai)  |  https://www.geaerospace.com/sites/default/files/Laguna-Transcipt-Final-9292026.pdf  |  Intra-quarter commentary: services 20%+, LEAP high-teens, defense LDD, traffic up Jul/Aug  |  Date note: C27 = event date per transcript header (September 17, 2026 8:30 AM PDT); file name suggests posting ~2026-09-29; exact posting timestamp not captured; both before cutoff</t>
  </si>
  <si>
    <t>S19</t>
  </si>
  <si>
    <t>2026-09-08</t>
  </si>
  <si>
    <t>CPP acquisition press release (8-K Ex.99.2)  |  https://www.sec.gov/Archives/edgar/data/40545/000095014226002501/eh260827362_ex9902.htm  |  No 3Q26 effect: closing 2H27; no change to capital allocation (buyback assumption)</t>
  </si>
  <si>
    <t>S20</t>
  </si>
  <si>
    <t>GE Aerospace IR</t>
  </si>
  <si>
    <t>3rd Quarter 2026 Earnings Webcast event page (Oct 20, 2026 7:30am EDT)  |  https://www.geaerospace.com/investor-relations/events-reports/ge-aerospace-3rd-quarter-2026-earnings-webcast  |  Expected report date confirmation (retrieved; page undated)</t>
  </si>
  <si>
    <t>S21</t>
  </si>
  <si>
    <t>2026-09-30</t>
  </si>
  <si>
    <t>IATA</t>
  </si>
  <si>
    <t>Air passenger demand slips 0.8% in August 2026  |  https://www.iata.org/en/pressroom/2026-releases/09-30-air-passenger-demand-slips-august/  |  Quarter evidence: global RPK -0.8% Aug (ex-Middle East +0.6%)</t>
  </si>
  <si>
    <t>S22</t>
  </si>
  <si>
    <t>2026-08-31</t>
  </si>
  <si>
    <t>Air passenger demand grows 0.2% in July 2026  |  https://www.iata.org/en/pressroom/2026-releases/08-31-air-passenger-demand-grows-july/  |  Quarter evidence: global RPK +0.2% July</t>
  </si>
  <si>
    <t>S23</t>
  </si>
  <si>
    <t>2026-10-08</t>
  </si>
  <si>
    <t>Airbus / Aviation Week</t>
  </si>
  <si>
    <t>Airbus September 2026 deliveries (72; 547 YTD, +8%)  |  https://aviationweek.com/awin-knowledge-center/data-airbus-revs-deliveries-september-new-orders-tumble  |  LEAP install demand context (A320neo family)</t>
  </si>
  <si>
    <t>S24</t>
  </si>
  <si>
    <t>2026-10-13</t>
  </si>
  <si>
    <t>Boeing</t>
  </si>
  <si>
    <t>Boeing Announces Third Quarter Deliveries (124 737s)  |  https://investors.boeing.com/investors/news/press-release-details/2026/Boeing-Announces-Third-Quarter-Deliveries/default.aspx  |  LEAP-1B install demand context</t>
  </si>
  <si>
    <t>S25</t>
  </si>
  <si>
    <t>2026-10-16</t>
  </si>
  <si>
    <t>StockAnalysis (Nasdaq Data Link)</t>
  </si>
  <si>
    <t>GE market cap $325.62B as of Oct 16, 2026  |  https://stockanalysis.com/stocks/ge/market-cap/  |  Prior calibration: market cap / size bucket</t>
  </si>
  <si>
    <t>S26</t>
  </si>
  <si>
    <t>2026-10-15</t>
  </si>
  <si>
    <t>WhichIndex</t>
  </si>
  <si>
    <t>S&amp;P 500 constituents as of 15 Oct 2026 (GE rank 33)  |  https://whichindex.com/indexes/sp-500/  |  Prior calibration: S&amp;P 500 membership</t>
  </si>
  <si>
    <t>S27</t>
  </si>
  <si>
    <t>Zacks via Yahoo Finance</t>
  </si>
  <si>
    <t>How to approach GE Aerospace stock ahead of Q3 earnings (EPS $2.02; CES $9.71B; DPT $3.40B)  |  https://finance.yahoo.com/markets/stocks/articles/approach-ge-aerospace-stock-ahead-181700595.html  |  Other consensus references (not scoring baseline)</t>
  </si>
  <si>
    <t>S28</t>
  </si>
  <si>
    <t>2026-10-07</t>
  </si>
  <si>
    <t>ad-hoc-news (citing Barchart/MarketBeat)</t>
  </si>
  <si>
    <t>Wells Fargo cuts GE PT to $380; FY26 EPS consensus $7.91  |  https://www.ad-hoc-news.de/boerse/news/corporate-news/wells-fargo-cuts-target-for-ge-aerospace-stock-to-usd-380-00/70256121  |  Street FY26 EPS above guidance; sentiment</t>
  </si>
  <si>
    <t>S29</t>
  </si>
  <si>
    <t>Morningstar</t>
  </si>
  <si>
    <t>Ahead of GE Aerospace earnings (stock -19% since early-Aug fuel spike)  |  https://www.morningstar.com/stocks/ahead-ge-aerospace-earnings-is-stock-buy-sell-or-fairly-valued  |  Downside-case evidence (fuel / capacity)</t>
  </si>
  <si>
    <t>S30</t>
  </si>
  <si>
    <t>Exa market data</t>
  </si>
  <si>
    <t>BETA Technologies close $22.10 on 2026-09-30 (+27% vs 2026-07-01)  |  https://exa.ai/library/markets/stock/BETA?date=2026-09-30&amp;view=series&amp;from=2026-07-01  |  GAAP-only assumption: gain on equity securities (BETA mark-to-market)</t>
  </si>
  <si>
    <t>S31</t>
  </si>
  <si>
    <t>Benzinga</t>
  </si>
  <si>
    <t>GE Aerospace earnings are imminent (EPS $1.99, revenue $12.84B)  |  https://www.benzinga.com/analyst-stock-ratings/price-target/26/10/62318700/ge-aerospace-earnings-are-imminent-these-most-accurate-analysts-revise-forecasts-ahead-of-earnings-call-2  |  Other consensus references (not scoring baseline)</t>
  </si>
  <si>
    <t>S32</t>
  </si>
  <si>
    <t>Reuters</t>
  </si>
  <si>
    <t>GE Aerospace sees repair demand holding up despite aviation fuel shock  |  https://www.reuters.com/business/aerospace-defense/ge-aerospace-lifts-2026-forecast-airlines-keep-up-maintenance-spending-2026-07-16/  |  Context: fuel shock, guidance raise</t>
  </si>
  <si>
    <t>S33</t>
  </si>
  <si>
    <t>2026-09-16</t>
  </si>
  <si>
    <t>American Airlines warns high fuel prices could force capacity adjustments  |  https://www.reuters.com/business/american-airlines-warns-high-fuel-prices-could-force-capacity-adjustments-2026-09-16/  |  Downside-case evidence (capacity)</t>
  </si>
  <si>
    <t>Tabs omitted: none. Geo uses FY 10-K Note 25 only (10-Qs for 1Q26/2Q26 checked: no quarterly geography).</t>
  </si>
  <si>
    <t>Target-actual exposure: none. 3Q26 results scheduled 2026-10-20 (S20); no 3Q26 actual figures were seen. All sources published before the 2026-10-18T21:34Z cutoff. Retrieval dates (2026-10-19 UTC) post-date the cutoff; no archive/snapshot timestamps were captured (documented limitation, not post-cutoff sources).</t>
  </si>
  <si>
    <t>Issuer calendar check: GE IR lists 3Q26 webcast Oct 20, 2026 07:30 EDT; quarter end Sep 30, 2026 (calendar quarters, FYE Dec 31).</t>
  </si>
  <si>
    <t>Inputs — CapIQ snapshot (raw), history, prior calibration</t>
  </si>
  <si>
    <t>A. GE_consensus.json — top-level fields (S02)</t>
  </si>
  <si>
    <t>Local layout: key-value block; column C = field value (CapIQ snapshot 2026-10-18), not 1Q25A. Rows 5-7 period band does not apply</t>
  </si>
  <si>
    <t>source</t>
  </si>
  <si>
    <t>ticker</t>
  </si>
  <si>
    <t>GE</t>
  </si>
  <si>
    <t>company</t>
  </si>
  <si>
    <t>General Electric 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</si>
  <si>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</si>
  <si>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</si>
  <si>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</si>
  <si>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</si>
  <si>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</si>
  <si>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</si>
  <si>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</si>
  <si>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</si>
  <si>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</si>
  <si>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</si>
  <si>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</si>
  <si>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</si>
  <si>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</si>
  <si>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</si>
  <si>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</si>
  <si>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</si>
  <si>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</si>
  <si>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</si>
  <si>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</si>
  <si>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</si>
  <si>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</si>
  <si>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</si>
  <si>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</si>
  <si>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</si>
  <si>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B. GE_consensus.json — summary_row (complete raw; blanks preserved as empty cells)</t>
  </si>
  <si>
    <t>company_name</t>
  </si>
  <si>
    <t>exchange_ticker</t>
  </si>
  <si>
    <t>NYSE:GE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</si>
  <si>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</si>
  <si>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</si>
  <si>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</si>
  <si>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</si>
  <si>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</si>
  <si>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</si>
  <si>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</si>
  <si>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2026-10-20</t>
  </si>
  <si>
    <t>normalized diluted and GAAP diluted, as labelled</t>
  </si>
  <si>
    <t>eps_normalized_estimates</t>
  </si>
  <si>
    <t>eps_normalized_contributors</t>
  </si>
  <si>
    <t>detail_tab_total_contributors</t>
  </si>
  <si>
    <t>blank in source (unavailable)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</si>
  <si>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</si>
  <si>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</si>
  <si>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</si>
  <si>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</si>
  <si>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</si>
  <si>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</si>
  <si>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</si>
  <si>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</si>
  <si>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</si>
  <si>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</si>
  <si>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</si>
  <si>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</si>
  <si>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</si>
  <si>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</si>
  <si>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</si>
  <si>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</si>
  <si>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</si>
  <si>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</si>
  <si>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</si>
  <si>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</si>
  <si>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</si>
  <si>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</si>
  <si>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</si>
  <si>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</si>
  <si>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</si>
  <si>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</si>
  <si>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</si>
  <si>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</si>
  <si>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Provider (CapIQ) consensus EBITDA, recorded only; not an issuer metric. issuer_defined_ebitda: n.a. — GE Aerospace's non-GAAP measures (S14 2Q26 release) are adjusted revenue, adjusted corporate costs, operating profit/margin, adjusted NI/EPS and FCF; EBITDA appears only as a credit-facility covenant (S09, S16)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</si>
  <si>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</si>
  <si>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</si>
  <si>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</si>
  <si>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</si>
  <si>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</si>
  <si>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</si>
  <si>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</si>
  <si>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</si>
  <si>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</si>
  <si>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</si>
  <si>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</si>
  <si>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</si>
  <si>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</si>
  <si>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</si>
  <si>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</si>
  <si>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</si>
  <si>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</si>
  <si>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</si>
  <si>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</si>
  <si>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</si>
  <si>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</si>
  <si>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</si>
  <si>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</si>
  <si>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</si>
  <si>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</si>
  <si>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</si>
  <si>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388.84/268.91</t>
  </si>
  <si>
    <t>estimates_captured_at</t>
  </si>
  <si>
    <t>notes</t>
  </si>
  <si>
    <t>CapIQ still carries the company as General Electric Company (NYSE:GE) rather than GE Aerospace; GAAP consensus above normalized here, and GAAP rests on 8 contributors versus 18 for normalized</t>
  </si>
  <si>
    <t>C. GE_history.csv — six quarters (S01), transposed onto the period columns (C-F = 1Q25-4Q25, H-I = 1Q26-2Q26)</t>
  </si>
  <si>
    <t>Local periods: C-F = 1Q25A-4Q25A, H-I = 1Q26A-2Q26A (see row 99 period_end_date); G (FY25A) and J (3Q26E) blank, not in source</t>
  </si>
  <si>
    <t>2025-03-31</t>
  </si>
  <si>
    <t>2025-06-30</t>
  </si>
  <si>
    <t>2025-09-30</t>
  </si>
  <si>
    <t>2025-12-31</t>
  </si>
  <si>
    <t>2026-03-31</t>
  </si>
  <si>
    <t>2026-06-30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</si>
  <si>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</si>
  <si>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</si>
  <si>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</si>
  <si>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</si>
  <si>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</si>
  <si>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</si>
  <si>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</si>
  <si>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Normalized EPS surprise ($)</t>
  </si>
  <si>
    <t>Full label: Normalized EPS surprise ($/share) = actual - consensus</t>
  </si>
  <si>
    <t>Strict beat (1 = actual &gt; consensus)</t>
  </si>
  <si>
    <t>D. Beat-probability calibration (playbook v2: size &amp; issuer history)</t>
  </si>
  <si>
    <t>Local layout: key-value block; column C = 3Q26E calibration value, not 1Q25A</t>
  </si>
  <si>
    <t>Market cap ($M), 2026-10-16</t>
  </si>
  <si>
    <t>S25 stockanalysis.com: $325.62B at $313.83 close | Full label: Market capitalisation ($M), 2026-10-16 close</t>
  </si>
  <si>
    <t>S&amp;P 500 member (1 = yes)</t>
  </si>
  <si>
    <t>S26 whichindex.com constituents as of 15-Oct-2026</t>
  </si>
  <si>
    <t>Size bucket</t>
  </si>
  <si>
    <t>Large (&gt;$10B) and S&amp;P 500 — rule applied once</t>
  </si>
  <si>
    <t>Cohort prior</t>
  </si>
  <si>
    <t>Playbook: 0.78 large OR S&amp;P 500</t>
  </si>
  <si>
    <t>Strict beats in history (b)</t>
  </si>
  <si>
    <t>Valid normalized pairs (n)</t>
  </si>
  <si>
    <t>All six pairs on normalized basis; none excluded</t>
  </si>
  <si>
    <t>Pseudo-observations</t>
  </si>
  <si>
    <t>Starting P(beat)</t>
  </si>
  <si>
    <t>Full label: Starting P(beat) = (8*prior + b)/(8 + n)</t>
  </si>
  <si>
    <t>Final P(beat consensus EPS)</t>
  </si>
  <si>
    <t>Judgement: model EPS above consensus, guide conservatism; offset by Aug traffic -0.8%, fuel shock, LTSA/margin risk | Full label: Final P(beat consensus EPS) after quarter evidence</t>
  </si>
  <si>
    <t>Evidence adjustment (final - start)</t>
  </si>
  <si>
    <t>Mean historical surprise ($/share)</t>
  </si>
  <si>
    <t>Full label: Mean historical normalized surprise ($/share)</t>
  </si>
  <si>
    <t>Min historical surprise ($/share)</t>
  </si>
  <si>
    <t>Max historical surprise ($/share)</t>
  </si>
  <si>
    <t>E. Other consensus references found (recorded separately; NOT the scoring baseline)</t>
  </si>
  <si>
    <t>Local layout: key-value block; column C = value as dated in each label (3Q26E or FY26), not 1Q25A</t>
  </si>
  <si>
    <t>Zacks EPS (2026-10-16)</t>
  </si>
  <si>
    <t>Zacks revenue $M (2026-10-16)</t>
  </si>
  <si>
    <t>Benzinga EPS (2026-10-13)</t>
  </si>
  <si>
    <t>Benzinga revenue $M (2026-10-13)</t>
  </si>
  <si>
    <t>Street FY26 adj. EPS (2026-10-07)</t>
  </si>
  <si>
    <t>Barchart via ad-hoc-news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</si>
</sst>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3667" formatCode="0.0%_);(0.0%);–_)"/>
    <numFmt numFmtId="13668" formatCode="#,##0.0_);(#,##0.0);–_)"/>
    <numFmt numFmtId="13670" formatCode="$0.00"/>
    <numFmt numFmtId="13671" formatCode="yyyy-mm-dd"/>
    <numFmt numFmtId="13678" formatCode="#,##0_);(#,##0);–_)"/>
    <numFmt numFmtId="13684" formatCode="0.0x"/>
    <numFmt numFmtId="13686" formatCode="#,##0.00_);(#,##0.00);–_)"/>
  </numFmts>
  <fonts count="21">
    <font>
      <b val="0"/>
      <i val="0"/>
      <sz val="11"/>
      <color theme="1"/>
      <name val="Calibri"/>
      <scheme val="minor"/>
    </font>
    <font>
      <b val="0"/>
      <i val="0"/>
      <sz val="10"/>
      <color rgb="FF000000"/>
      <name val="Arial"/>
    </font>
    <font>
      <b/>
      <i val="0"/>
      <sz val="10"/>
      <color rgb="FF000000"/>
      <name val="Arial"/>
    </font>
    <font>
      <b val="0"/>
      <i/>
      <sz val="10"/>
      <color rgb="FF000000"/>
      <name val="Arial"/>
    </font>
    <font>
      <b val="0"/>
      <i val="0"/>
      <sz val="10"/>
      <color rgb="FF006100"/>
      <name val="Arial"/>
    </font>
    <font>
      <b/>
      <i val="0"/>
      <sz val="10"/>
      <color rgb="FF006100"/>
      <name val="Arial"/>
    </font>
    <font>
      <b/>
      <i/>
      <sz val="10"/>
      <color rgb="FF000000"/>
      <name val="Arial"/>
    </font>
    <font>
      <b val="0"/>
      <i val="0"/>
      <sz val="10"/>
      <color rgb="FF0000FF"/>
      <name val="Arial"/>
    </font>
    <font>
      <b val="0"/>
      <i/>
      <sz val="10"/>
      <color rgb="FF0000FF"/>
      <name val="Arial"/>
    </font>
    <font>
      <b/>
      <i val="0"/>
      <sz val="11"/>
      <color rgb="FF000000"/>
      <name val="Arial"/>
    </font>
    <font>
      <b val="0"/>
      <i/>
      <sz val="10"/>
      <color rgb="FF006100"/>
      <name val="Arial"/>
    </font>
    <font>
      <b/>
      <i val="0"/>
      <sz val="10"/>
      <color rgb="FF0000FF"/>
      <name val="Arial"/>
    </font>
    <font>
      <b/>
      <i/>
      <sz val="10"/>
      <color rgb="FF006100"/>
      <name val="Arial"/>
    </font>
    <font>
      <b/>
      <i val="0"/>
      <sz val="10"/>
      <color rgb="FF000000"/>
      <name val="Arial"/>
      <scheme val="minor"/>
    </font>
    <font>
      <b/>
      <i val="0"/>
      <sz val="10"/>
      <color rgb="FF006100"/>
      <name val="Arial"/>
      <scheme val="minor"/>
    </font>
    <font>
      <b val="0"/>
      <i val="0"/>
      <sz val="10"/>
      <color rgb="FF006100"/>
      <name val="Arial"/>
      <scheme val="minor"/>
    </font>
    <font>
      <b val="0"/>
      <i val="0"/>
      <sz val="10"/>
      <color rgb="FF000000"/>
      <name val="Arial"/>
      <scheme val="minor"/>
    </font>
    <font>
      <b/>
      <i/>
      <sz val="10"/>
      <color rgb="FF006100"/>
      <name val="Arial"/>
      <scheme val="minor"/>
    </font>
    <font>
      <b val="0"/>
      <i val="0"/>
      <sz val="10"/>
      <color rgb="FF0000FF"/>
      <name val="Arial"/>
      <scheme val="minor"/>
    </font>
    <font>
      <b val="0"/>
      <i val="0"/>
      <sz val="10"/>
      <color theme="1"/>
      <name val="Arial"/>
      <scheme val="minor"/>
    </font>
    <font>
      <b val="0"/>
      <i/>
      <sz val="10"/>
      <color rgb="FF00000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DEBF7"/>
      </patternFill>
    </fill>
    <fill>
      <patternFill patternType="solid">
        <fgColor rgb="FFEAF1FB"/>
      </patternFill>
    </fill>
  </fills>
  <borders count="6">
    <border>
      <left/>
      <right/>
      <top/>
      <bottom/>
    </border>
    <border>
      <bottom style="thin">
        <color rgb="FF808080"/>
      </bottom>
    </border>
    <border>
      <top style="thin">
        <color rgb="FF000000"/>
      </top>
    </border>
    <border>
      <top style="thin">
        <color rgb="FF808080"/>
      </top>
    </border>
    <border>
      <bottom style="thin">
        <color rgb="FFBFBFBF"/>
      </bottom>
    </border>
    <border>
      <top style="thin">
        <color rgb="FF000000"/>
      </top>
      <bottom style="thin">
        <color rgb="FF808080"/>
      </bottom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/>
    <xf numFmtId="0" fontId="9" fillId="0" borderId="0" xfId="0"/>
    <xf numFmtId="0" fontId="2" fillId="0" borderId="0" xfId="0"/>
    <xf numFmtId="0" fontId="3" fillId="0" borderId="0" xfId="0"/>
    <xf numFmtId="0" fontId="2" fillId="2" borderId="3" xfId="0"/>
    <xf numFmtId="0" fontId="2" fillId="2" borderId="3" xfId="0">
      <alignment horizontal="right" vertical="bottom"/>
    </xf>
    <xf numFmtId="0" fontId="13" fillId="2" borderId="3" xfId="0">
      <alignment horizontal="right" vertical="bottom"/>
    </xf>
    <xf numFmtId="0" fontId="1" fillId="2" borderId="0" xfId="0"/>
    <xf numFmtId="13671" fontId="1" fillId="2" borderId="0" xfId="0">
      <alignment horizontal="right" vertical="bottom"/>
    </xf>
    <xf numFmtId="0" fontId="1" fillId="2" borderId="1" xfId="0"/>
    <xf numFmtId="1" fontId="1" fillId="2" borderId="1" xfId="0">
      <alignment horizontal="right" vertical="bottom"/>
    </xf>
    <xf numFmtId="0" fontId="1" fillId="0" borderId="0" xfId="0">
      <alignment horizontal="left" vertical="bottom"/>
    </xf>
    <xf numFmtId="0" fontId="13" fillId="0" borderId="1" xfId="0"/>
    <xf numFmtId="0" fontId="13" fillId="0" borderId="5" xfId="0">
      <alignment horizontal="right" vertical="bottom"/>
    </xf>
    <xf numFmtId="0" fontId="2" fillId="0" borderId="2" xfId="0"/>
    <xf numFmtId="13668" fontId="4" fillId="0" borderId="0" xfId="0">
      <alignment horizontal="right" vertical="bottom"/>
    </xf>
    <xf numFmtId="13668" fontId="1" fillId="0" borderId="0" xfId="0">
      <alignment horizontal="right" vertical="bottom"/>
    </xf>
    <xf numFmtId="13667" fontId="3" fillId="0" borderId="0" xfId="0">
      <alignment horizontal="right" vertical="bottom"/>
    </xf>
    <xf numFmtId="13670" fontId="4" fillId="0" borderId="0" xfId="0">
      <alignment horizontal="right" vertical="bottom"/>
    </xf>
    <xf numFmtId="13670" fontId="1" fillId="0" borderId="0" xfId="0">
      <alignment horizontal="right" vertical="bottom"/>
    </xf>
    <xf numFmtId="0" fontId="15" fillId="0" borderId="0" xfId="0">
      <alignment horizontal="right" vertical="bottom"/>
    </xf>
    <xf numFmtId="0" fontId="14" fillId="0" borderId="2" xfId="0">
      <alignment horizontal="right" vertical="bottom"/>
    </xf>
    <xf numFmtId="0" fontId="6" fillId="0" borderId="0" xfId="0"/>
    <xf numFmtId="13667" fontId="17" fillId="0" borderId="2" xfId="0">
      <alignment horizontal="right" vertical="bottom"/>
    </xf>
    <xf numFmtId="13667" fontId="6" fillId="0" borderId="2" xfId="0">
      <alignment horizontal="right" vertical="bottom"/>
    </xf>
    <xf numFmtId="0" fontId="2" fillId="3" borderId="3" xfId="0">
      <alignment horizontal="right" vertical="bottom"/>
    </xf>
    <xf numFmtId="0" fontId="1" fillId="4" borderId="0" xfId="0"/>
    <xf numFmtId="0" fontId="2" fillId="0" borderId="4" xfId="0"/>
    <xf numFmtId="0" fontId="1" fillId="0" borderId="4" xfId="0"/>
    <xf numFmtId="0" fontId="1" fillId="4" borderId="4" xfId="0"/>
    <xf numFmtId="13668" fontId="4" fillId="4" borderId="0" xfId="0">
      <alignment horizontal="right" vertical="bottom"/>
    </xf>
    <xf numFmtId="13667" fontId="3" fillId="4" borderId="0" xfId="0">
      <alignment horizontal="right" vertical="bottom"/>
    </xf>
    <xf numFmtId="13678" fontId="1" fillId="0" borderId="0" xfId="0">
      <alignment horizontal="right" vertical="bottom"/>
    </xf>
    <xf numFmtId="13678" fontId="1" fillId="4" borderId="0" xfId="0">
      <alignment horizontal="right" vertical="bottom"/>
    </xf>
    <xf numFmtId="13668" fontId="7" fillId="0" borderId="0" xfId="0">
      <alignment horizontal="right" vertical="bottom"/>
    </xf>
    <xf numFmtId="13668" fontId="7" fillId="4" borderId="0" xfId="0">
      <alignment horizontal="right" vertical="bottom"/>
    </xf>
    <xf numFmtId="13668" fontId="1" fillId="4" borderId="0" xfId="0">
      <alignment horizontal="right" vertical="bottom"/>
    </xf>
    <xf numFmtId="13668" fontId="2" fillId="0" borderId="2" xfId="0">
      <alignment horizontal="right" vertical="bottom"/>
    </xf>
    <xf numFmtId="13668" fontId="2" fillId="4" borderId="2" xfId="0">
      <alignment horizontal="right" vertical="bottom"/>
    </xf>
    <xf numFmtId="0" fontId="16" fillId="0" borderId="0" xfId="0">
      <alignment horizontal="right" vertical="bottom"/>
    </xf>
    <xf numFmtId="0" fontId="16" fillId="4" borderId="0" xfId="0">
      <alignment horizontal="right" vertical="bottom"/>
    </xf>
    <xf numFmtId="13668" fontId="5" fillId="0" borderId="2" xfId="0">
      <alignment horizontal="right" vertical="bottom"/>
    </xf>
    <xf numFmtId="13668" fontId="5" fillId="4" borderId="2" xfId="0">
      <alignment horizontal="right" vertical="bottom"/>
    </xf>
    <xf numFmtId="13667" fontId="10" fillId="0" borderId="0" xfId="0">
      <alignment horizontal="right" vertical="bottom"/>
    </xf>
    <xf numFmtId="13667" fontId="10" fillId="4" borderId="0" xfId="0">
      <alignment horizontal="right" vertical="bottom"/>
    </xf>
    <xf numFmtId="13678" fontId="7" fillId="0" borderId="0" xfId="0">
      <alignment horizontal="right" vertical="bottom"/>
    </xf>
    <xf numFmtId="13678" fontId="7" fillId="4" borderId="0" xfId="0">
      <alignment horizontal="right" vertical="bottom"/>
    </xf>
    <xf numFmtId="13686" fontId="1" fillId="0" borderId="0" xfId="0">
      <alignment horizontal="right" vertical="bottom"/>
    </xf>
    <xf numFmtId="13686" fontId="7" fillId="4" borderId="0" xfId="0">
      <alignment horizontal="right" vertical="bottom"/>
    </xf>
    <xf numFmtId="13686" fontId="1" fillId="4" borderId="0" xfId="0">
      <alignment horizontal="right" vertical="bottom"/>
    </xf>
    <xf numFmtId="13667" fontId="8" fillId="0" borderId="0" xfId="0">
      <alignment horizontal="right" vertical="bottom"/>
    </xf>
    <xf numFmtId="13667" fontId="8" fillId="4" borderId="0" xfId="0">
      <alignment horizontal="right" vertical="bottom"/>
    </xf>
    <xf numFmtId="13668" fontId="11" fillId="0" borderId="2" xfId="0">
      <alignment horizontal="right" vertical="bottom"/>
    </xf>
    <xf numFmtId="13668" fontId="11" fillId="4" borderId="2" xfId="0">
      <alignment horizontal="right" vertical="bottom"/>
    </xf>
    <xf numFmtId="13684" fontId="1" fillId="0" borderId="0" xfId="0">
      <alignment horizontal="right" vertical="bottom"/>
    </xf>
    <xf numFmtId="13684" fontId="1" fillId="4" borderId="0" xfId="0">
      <alignment horizontal="right" vertical="bottom"/>
    </xf>
    <xf numFmtId="13670" fontId="1" fillId="4" borderId="0" xfId="0">
      <alignment horizontal="right" vertical="bottom"/>
    </xf>
    <xf numFmtId="13670" fontId="2" fillId="0" borderId="2" xfId="0">
      <alignment horizontal="right" vertical="bottom"/>
    </xf>
    <xf numFmtId="13670" fontId="2" fillId="4" borderId="2" xfId="0">
      <alignment horizontal="right" vertical="bottom"/>
    </xf>
    <xf numFmtId="0" fontId="13" fillId="0" borderId="4" xfId="0">
      <alignment horizontal="right" vertical="bottom"/>
    </xf>
    <xf numFmtId="13670" fontId="7" fillId="4" borderId="0" xfId="0">
      <alignment horizontal="right" vertical="bottom"/>
    </xf>
    <xf numFmtId="0" fontId="19" fillId="0" borderId="0" xfId="0"/>
    <xf numFmtId="0" fontId="16" fillId="0" borderId="0" xfId="0"/>
    <xf numFmtId="0" fontId="16" fillId="0" borderId="1" xfId="0"/>
    <xf numFmtId="0" fontId="13" fillId="0" borderId="5" xfId="0">
      <alignment horizontal="center" vertical="bottom"/>
    </xf>
    <xf numFmtId="0" fontId="13" fillId="0" borderId="5" xfId="0"/>
    <xf numFmtId="13670" fontId="7" fillId="0" borderId="0" xfId="0">
      <alignment horizontal="right" vertical="bottom"/>
    </xf>
    <xf numFmtId="13670" fontId="16" fillId="0" borderId="0" xfId="0">
      <alignment horizontal="center" vertical="bottom"/>
    </xf>
    <xf numFmtId="13668" fontId="16" fillId="0" borderId="0" xfId="0">
      <alignment horizontal="center" vertical="bottom"/>
    </xf>
    <xf numFmtId="13667" fontId="20" fillId="0" borderId="0" xfId="0">
      <alignment horizontal="center" vertical="bottom"/>
    </xf>
    <xf numFmtId="0" fontId="16" fillId="0" borderId="4" xfId="0">
      <alignment horizontal="center" vertical="bottom"/>
    </xf>
    <xf numFmtId="13670" fontId="13" fillId="0" borderId="2" xfId="0">
      <alignment horizontal="center" vertical="bottom"/>
    </xf>
    <xf numFmtId="13668" fontId="13" fillId="0" borderId="2" xfId="0">
      <alignment horizontal="center" vertical="bottom"/>
    </xf>
    <xf numFmtId="0" fontId="13" fillId="0" borderId="5" xfId="0">
      <alignment horizontal="left" vertical="bottom" indent="1"/>
    </xf>
    <xf numFmtId="0" fontId="16" fillId="0" borderId="0" xfId="0">
      <alignment horizontal="left" vertical="bottom" indent="1"/>
    </xf>
    <xf numFmtId="0" fontId="7" fillId="0" borderId="0" xfId="0">
      <alignment horizontal="left" vertical="bottom"/>
    </xf>
    <xf numFmtId="13686" fontId="7" fillId="0" borderId="0" xfId="0">
      <alignment horizontal="right" vertical="bottom"/>
    </xf>
    <xf numFmtId="0" fontId="18" fillId="0" borderId="0" xfId="0">
      <alignment horizontal="right" vertical="bottom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590550</xdr:colOff>
      <xdr:row>3</xdr:row>
      <xdr:rowOff>19050</xdr:rowOff>
    </xdr:to>
    <xdr:pic>
      <xdr:nvPicPr>
        <xdr:cNvPr id="2" name="Shortcut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19050" y="19050"/>
          <a:ext cx="571500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9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E7C725F-A688-FA08-499D-EB1DB10CDA38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8.421875" customHeight="1"/>
  <cols>
    <col min="1" max="1" width="10.00390625" customWidth="1"/>
    <col min="2" max="2" width="32.00390625" customWidth="1"/>
    <col min="3" max="10" width="12.00390625" customWidth="1"/>
    <col min="11" max="11" width="46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/>
      <c r="C5" s="6"/>
      <c r="D5" s="6"/>
      <c r="E5" s="6"/>
      <c r="F5" s="6"/>
      <c r="G5" s="6"/>
      <c r="H5" s="6"/>
      <c r="I5" s="6"/>
      <c r="J5" s="7"/>
      <c r="K5" s="5" t="s">
        <v>3</v>
      </c>
      <c r="L5" s="1"/>
      <c r="M5" s="1"/>
    </row>
    <row r="6" ht="15" customHeight="1">
      <c r="A6" s="1"/>
      <c r="B6" s="8"/>
      <c r="C6" s="9"/>
      <c r="D6" s="9"/>
      <c r="E6" s="9"/>
      <c r="F6" s="9"/>
      <c r="G6" s="9"/>
      <c r="H6" s="9"/>
      <c r="I6" s="9"/>
      <c r="J6" s="9"/>
      <c r="K6" s="8"/>
      <c r="L6" s="1"/>
      <c r="M6" s="1"/>
    </row>
    <row r="7" ht="15" customHeight="1">
      <c r="A7" s="1"/>
      <c r="B7" s="10"/>
      <c r="C7" s="11"/>
      <c r="D7" s="11"/>
      <c r="E7" s="11"/>
      <c r="F7" s="11"/>
      <c r="G7" s="11"/>
      <c r="H7" s="11"/>
      <c r="I7" s="11"/>
      <c r="J7" s="11"/>
      <c r="K7" s="10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ht="15" customHeight="1">
      <c r="A9" s="1"/>
      <c r="B9" s="1" t="s">
        <v>4</v>
      </c>
      <c r="C9" s="12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</row>
    <row r="10" ht="15" customHeight="1">
      <c r="A10" s="1"/>
      <c r="B10" s="1" t="s">
        <v>6</v>
      </c>
      <c r="C10" s="12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15" customHeight="1">
      <c r="A11" s="1"/>
      <c r="B11" s="1" t="s">
        <v>8</v>
      </c>
      <c r="C11" s="12" t="s">
        <v>9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15" customHeight="1">
      <c r="A12" s="1"/>
      <c r="B12" s="1" t="s">
        <v>10</v>
      </c>
      <c r="C12" s="12" t="s">
        <v>11</v>
      </c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15" customHeight="1">
      <c r="A13" s="1"/>
      <c r="B13" s="1" t="s">
        <v>12</v>
      </c>
      <c r="C13" s="12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15" customHeight="1">
      <c r="A14" s="1"/>
      <c r="B14" s="1" t="s">
        <v>14</v>
      </c>
      <c r="C14" s="12" t="s">
        <v>15</v>
      </c>
      <c r="D14" s="1"/>
      <c r="E14" s="1"/>
      <c r="F14" s="1"/>
      <c r="G14" s="1"/>
      <c r="H14" s="1"/>
      <c r="I14" s="1"/>
      <c r="J14" s="1"/>
      <c r="K14" s="1"/>
      <c r="L14" s="1"/>
      <c r="M14" s="1"/>
    </row>
    <row r="15" ht="15" customHeight="1">
      <c r="A15" s="1"/>
      <c r="B15" s="1" t="s">
        <v>16</v>
      </c>
      <c r="C15" s="12" t="s">
        <v>17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 ht="15" customHeight="1">
      <c r="A16" s="1"/>
      <c r="B16" s="1" t="s">
        <v>18</v>
      </c>
      <c r="C16" s="12" t="s">
        <v>19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ht="15" customHeight="1">
      <c r="A17" s="1"/>
      <c r="B17" s="1" t="s">
        <v>20</v>
      </c>
      <c r="C17" s="12" t="s">
        <v>21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ht="1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ht="15" customHeight="1">
      <c r="A19" s="1"/>
      <c r="B19" s="13" t="s">
        <v>22</v>
      </c>
      <c r="C19" s="14" t="s">
        <v>23</v>
      </c>
      <c r="D19" s="14" t="s">
        <v>24</v>
      </c>
      <c r="E19" s="14" t="s">
        <v>25</v>
      </c>
      <c r="F19" s="14" t="s">
        <v>26</v>
      </c>
      <c r="G19" s="14" t="s">
        <v>27</v>
      </c>
      <c r="H19" s="15"/>
      <c r="I19" s="15"/>
      <c r="J19" s="15"/>
      <c r="K19" s="1" t="s">
        <v>28</v>
      </c>
      <c r="L19" s="1"/>
      <c r="M19" s="1"/>
    </row>
    <row r="20" ht="15" customHeight="1">
      <c r="A20" s="1"/>
      <c r="B20" s="1" t="s">
        <v>29</v>
      </c>
      <c r="C20" s="16">
        <f>'Revenue summary'!J38</f>
        <v>12899.789999999999</v>
      </c>
      <c r="D20" s="16">
        <f>Inputs!C61</f>
        <v>12877.84</v>
      </c>
      <c r="E20" s="17">
        <f t="shared" si="0" ref="E20:E30">_xlfn.IFERROR(C20-D20,"")</f>
        <v>21.94999999999891</v>
      </c>
      <c r="F20" s="16">
        <f>Guidance!G44</f>
        <v>12536.681422406351</v>
      </c>
      <c r="G20" s="17">
        <f t="shared" si="1" ref="G20:G30">_xlfn.IFERROR(C20-F20,"")</f>
        <v>363.1085775936481</v>
      </c>
      <c r="H20" s="17"/>
      <c r="I20" s="17"/>
      <c r="J20" s="17"/>
      <c r="K20" s="1" t="s">
        <v>30</v>
      </c>
      <c r="L20" s="1"/>
      <c r="M20" s="1"/>
    </row>
    <row r="21" ht="15" customHeight="1">
      <c r="A21" s="1"/>
      <c r="B21" s="4" t="s">
        <v>31</v>
      </c>
      <c r="C21" s="18"/>
      <c r="D21" s="18"/>
      <c r="E21" s="18">
        <f t="shared" si="2" ref="E21:E31">_xlfn.IFERROR(C20/D20-1,"")</f>
        <v>0.001704478390786024</v>
      </c>
      <c r="F21" s="18"/>
      <c r="G21" s="18">
        <f t="shared" si="3" ref="G21:G31">_xlfn.IFERROR(C20/F20-1,"")</f>
        <v>0.028963691854263507</v>
      </c>
      <c r="H21" s="18"/>
      <c r="I21" s="18"/>
      <c r="J21" s="18"/>
      <c r="K21" s="1"/>
      <c r="L21" s="1"/>
      <c r="M21" s="1"/>
    </row>
    <row r="22" ht="15" customHeight="1">
      <c r="A22" s="1"/>
      <c r="B22" s="1" t="s">
        <v>32</v>
      </c>
      <c r="C22" s="16">
        <f>'Income Statement'!J94</f>
        <v>2167.3892147200004</v>
      </c>
      <c r="D22" s="16">
        <f>Inputs!C74</f>
        <v>2099.25</v>
      </c>
      <c r="E22" s="17">
        <f t="shared" si="0"/>
        <v>68.13921472000038</v>
      </c>
      <c r="F22" s="16">
        <f>Guidance!G48</f>
        <v>2065.1797195439176</v>
      </c>
      <c r="G22" s="17">
        <f t="shared" si="1"/>
        <v>102.20949517608278</v>
      </c>
      <c r="H22" s="17"/>
      <c r="I22" s="17"/>
      <c r="J22" s="17"/>
      <c r="K22" s="1" t="s">
        <v>33</v>
      </c>
      <c r="L22" s="1"/>
      <c r="M22" s="1"/>
    </row>
    <row r="23" ht="15" customHeight="1">
      <c r="A23" s="1"/>
      <c r="B23" s="4" t="s">
        <v>31</v>
      </c>
      <c r="C23" s="18"/>
      <c r="D23" s="18"/>
      <c r="E23" s="18">
        <f t="shared" si="2"/>
        <v>0.03245883754674317</v>
      </c>
      <c r="F23" s="18"/>
      <c r="G23" s="18">
        <f t="shared" si="3"/>
        <v>0.04949181623701748</v>
      </c>
      <c r="H23" s="18"/>
      <c r="I23" s="18"/>
      <c r="J23" s="18"/>
      <c r="K23" s="1"/>
      <c r="L23" s="1"/>
      <c r="M23" s="1"/>
    </row>
    <row r="24" ht="15" customHeight="1">
      <c r="A24" s="1"/>
      <c r="B24" s="1" t="s">
        <v>34</v>
      </c>
      <c r="C24" s="19">
        <f>'Income Statement'!J103</f>
        <v>2.0814618688079523</v>
      </c>
      <c r="D24" s="19">
        <f>Inputs!C17</f>
        <v>2.01</v>
      </c>
      <c r="E24" s="20">
        <f t="shared" si="0"/>
        <v>0.07146186880795247</v>
      </c>
      <c r="F24" s="19">
        <f>Guidance!G40</f>
        <v>1.9833045256809079</v>
      </c>
      <c r="G24" s="20">
        <f t="shared" si="1"/>
        <v>0.09815734312704438</v>
      </c>
      <c r="H24" s="20"/>
      <c r="I24" s="20"/>
      <c r="J24" s="20"/>
      <c r="K24" s="1" t="s">
        <v>35</v>
      </c>
      <c r="L24" s="1"/>
      <c r="M24" s="1"/>
    </row>
    <row r="25" ht="15" customHeight="1">
      <c r="A25" s="1"/>
      <c r="B25" s="4" t="s">
        <v>31</v>
      </c>
      <c r="C25" s="18"/>
      <c r="D25" s="18"/>
      <c r="E25" s="18">
        <f t="shared" si="2"/>
        <v>0.0355531685611703</v>
      </c>
      <c r="F25" s="18"/>
      <c r="G25" s="18">
        <f t="shared" si="3"/>
        <v>0.04949181623701726</v>
      </c>
      <c r="H25" s="18"/>
      <c r="I25" s="18"/>
      <c r="J25" s="18"/>
      <c r="K25" s="1"/>
      <c r="L25" s="1"/>
      <c r="M25" s="1"/>
    </row>
    <row r="26" ht="15" customHeight="1">
      <c r="A26" s="1"/>
      <c r="B26" s="1" t="s">
        <v>36</v>
      </c>
      <c r="C26" s="19">
        <f>'Income Statement'!J72</f>
        <v>2.4959988654714813</v>
      </c>
      <c r="D26" s="19">
        <f>Inputs!C52</f>
        <v>2.2</v>
      </c>
      <c r="E26" s="20">
        <f t="shared" si="0"/>
        <v>0.29599886547148113</v>
      </c>
      <c r="F26" s="20" t="s">
        <v>37</v>
      </c>
      <c r="G26" s="20" t="s">
        <v>37</v>
      </c>
      <c r="H26" s="20"/>
      <c r="I26" s="20"/>
      <c r="J26" s="20"/>
      <c r="K26" s="1" t="s">
        <v>38</v>
      </c>
      <c r="L26" s="1"/>
      <c r="M26" s="1"/>
    </row>
    <row r="27" ht="15" customHeight="1">
      <c r="A27" s="1"/>
      <c r="B27" s="4" t="s">
        <v>31</v>
      </c>
      <c r="C27" s="18"/>
      <c r="D27" s="18"/>
      <c r="E27" s="18">
        <f t="shared" si="2"/>
        <v>0.1345449388506732</v>
      </c>
      <c r="F27" s="18"/>
      <c r="G27" s="18" t="s">
        <v>37</v>
      </c>
      <c r="H27" s="18"/>
      <c r="I27" s="18"/>
      <c r="J27" s="18"/>
      <c r="K27" s="1"/>
      <c r="L27" s="1"/>
      <c r="M27" s="1"/>
    </row>
    <row r="28" ht="15" customHeight="1">
      <c r="A28" s="1"/>
      <c r="B28" s="1" t="s">
        <v>39</v>
      </c>
      <c r="C28" s="16">
        <f>'Income Statement'!J67</f>
        <v>2599.0392147200005</v>
      </c>
      <c r="D28" s="16">
        <f>Inputs!C75</f>
        <v>2332.45</v>
      </c>
      <c r="E28" s="17">
        <f t="shared" si="0"/>
        <v>266.58921472000065</v>
      </c>
      <c r="F28" s="17" t="s">
        <v>37</v>
      </c>
      <c r="G28" s="17" t="s">
        <v>37</v>
      </c>
      <c r="H28" s="17"/>
      <c r="I28" s="17"/>
      <c r="J28" s="17"/>
      <c r="K28" s="1" t="s">
        <v>40</v>
      </c>
      <c r="L28" s="1"/>
      <c r="M28" s="1"/>
    </row>
    <row r="29" ht="15" customHeight="1">
      <c r="A29" s="1"/>
      <c r="B29" s="4" t="s">
        <v>31</v>
      </c>
      <c r="C29" s="18"/>
      <c r="D29" s="18"/>
      <c r="E29" s="18">
        <f t="shared" si="2"/>
        <v>0.11429578971467791</v>
      </c>
      <c r="F29" s="18"/>
      <c r="G29" s="18" t="s">
        <v>37</v>
      </c>
      <c r="H29" s="18"/>
      <c r="I29" s="18"/>
      <c r="J29" s="18"/>
      <c r="K29" s="1"/>
      <c r="L29" s="1"/>
      <c r="M29" s="1"/>
    </row>
    <row r="30" ht="15" customHeight="1">
      <c r="A30" s="1"/>
      <c r="B30" s="1" t="s">
        <v>41</v>
      </c>
      <c r="C30" s="16">
        <f>'Revenue summary'!J98</f>
        <v>2841.4389600000004</v>
      </c>
      <c r="D30" s="16">
        <f>Inputs!C71</f>
        <v>2810.36</v>
      </c>
      <c r="E30" s="17">
        <f t="shared" si="0"/>
        <v>31.07896000000028</v>
      </c>
      <c r="F30" s="16">
        <f>Guidance!G47</f>
        <v>2702.7832458442695</v>
      </c>
      <c r="G30" s="17">
        <f t="shared" si="1"/>
        <v>138.65571415573095</v>
      </c>
      <c r="H30" s="17"/>
      <c r="I30" s="17"/>
      <c r="J30" s="17"/>
      <c r="K30" s="1" t="s">
        <v>42</v>
      </c>
      <c r="L30" s="1"/>
      <c r="M30" s="1"/>
    </row>
    <row r="31" ht="15" customHeight="1">
      <c r="A31" s="1"/>
      <c r="B31" s="4" t="s">
        <v>31</v>
      </c>
      <c r="C31" s="18"/>
      <c r="D31" s="18"/>
      <c r="E31" s="18">
        <f t="shared" si="2"/>
        <v>0.011058711339472671</v>
      </c>
      <c r="F31" s="18"/>
      <c r="G31" s="18">
        <f t="shared" si="3"/>
        <v>0.051301085415903946</v>
      </c>
      <c r="H31" s="18"/>
      <c r="I31" s="18"/>
      <c r="J31" s="18"/>
      <c r="K31" s="1"/>
      <c r="L31" s="1"/>
      <c r="M31" s="1"/>
    </row>
    <row r="32" ht="15" customHeight="1">
      <c r="A32" s="1"/>
      <c r="B32" s="1" t="s">
        <v>43</v>
      </c>
      <c r="C32" s="21" t="b">
        <f>AND(C20='Revenue summary'!J38,C22='Income Statement'!J94,C24='Income Statement'!J103,C26='Income Statement'!J72)</f>
        <v>1</v>
      </c>
      <c r="D32" s="1"/>
      <c r="E32" s="1"/>
      <c r="F32" s="1"/>
      <c r="G32" s="1"/>
      <c r="H32" s="1"/>
      <c r="I32" s="1"/>
      <c r="J32" s="1"/>
      <c r="K32" s="1"/>
      <c r="L32" s="1"/>
      <c r="M32" s="1"/>
    </row>
    <row r="33" ht="15" customHeight="1">
      <c r="A33" s="1"/>
      <c r="B33" s="3" t="s">
        <v>44</v>
      </c>
      <c r="C33" s="22" t="str">
        <f>IF(AND('Segment - CES'!C57:I57,'Segment - CES'!C116:I116,'Segment - DPT'!C38:I38,'Segment - DPT'!C116:I116,'Revenue summary'!C45:I45,'Revenue summary'!C65:J65,'Revenue summary'!C105:I105,'Income Statement'!C19:I19,'Income Statement'!C50:I50,'Income Statement'!C65:I65,'Income Statement'!C76:I76,'Income Statement'!C101:I101,'Income Statement'!C107:I107,'Income Statement'!J108:J108,'Income Statement'!C162:J162,'Balance Sheet'!C53:J53,'Cash Flow Statement'!C91:J91,'Cash Flow Statement'!D93:J93,'Cash Flow Statement'!G94:G94,'Cash Flow Statement'!C109:I109,'Cash Flow Statement'!C134:I134,'Cash Flow Statement'!C156:I156,Geo!G52:G52,C32),"PASS","FAIL")</f>
        <v>PASS</v>
      </c>
      <c r="D33" s="15"/>
      <c r="E33" s="15"/>
      <c r="F33" s="15"/>
      <c r="G33" s="15"/>
      <c r="H33" s="15"/>
      <c r="I33" s="15"/>
      <c r="J33" s="15"/>
      <c r="K33" s="1" t="s">
        <v>46</v>
      </c>
      <c r="L33" s="1"/>
      <c r="M33" s="1"/>
    </row>
    <row r="34" ht="15" customHeight="1">
      <c r="A34" s="1"/>
      <c r="B34" s="23" t="s">
        <v>47</v>
      </c>
      <c r="C34" s="24">
        <f>Inputs!C118</f>
        <v>0.83</v>
      </c>
      <c r="D34" s="25"/>
      <c r="E34" s="25"/>
      <c r="F34" s="25"/>
      <c r="G34" s="25"/>
      <c r="H34" s="25"/>
      <c r="I34" s="25"/>
      <c r="J34" s="25"/>
      <c r="K34" s="1" t="s">
        <v>48</v>
      </c>
      <c r="L34" s="1"/>
      <c r="M34" s="1"/>
    </row>
    <row r="35" ht="15" customHeight="1">
      <c r="A35" s="1"/>
      <c r="B35" s="3" t="s">
        <v>49</v>
      </c>
      <c r="C35" s="22" t="str">
        <f>Inputs!C120</f>
        <v>medium</v>
      </c>
      <c r="D35" s="15"/>
      <c r="E35" s="15"/>
      <c r="F35" s="15"/>
      <c r="G35" s="15"/>
      <c r="H35" s="15"/>
      <c r="I35" s="15"/>
      <c r="J35" s="15"/>
      <c r="K35" s="1"/>
      <c r="L35" s="1"/>
      <c r="M35" s="1"/>
    </row>
    <row r="36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ht="1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7BC41A8-85D8-8F04-8757-C33D65811B65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46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52</v>
      </c>
      <c r="C5" s="6" t="s">
        <v>53</v>
      </c>
      <c r="D5" s="6" t="s">
        <v>54</v>
      </c>
      <c r="E5" s="6" t="s">
        <v>55</v>
      </c>
      <c r="F5" s="6" t="s">
        <v>56</v>
      </c>
      <c r="G5" s="6" t="s">
        <v>57</v>
      </c>
      <c r="H5" s="6" t="s">
        <v>58</v>
      </c>
      <c r="I5" s="6" t="s">
        <v>59</v>
      </c>
      <c r="J5" s="26" t="s">
        <v>60</v>
      </c>
      <c r="K5" s="5" t="s">
        <v>3</v>
      </c>
      <c r="L5" s="1"/>
      <c r="M5" s="1"/>
    </row>
    <row r="6" ht="15" customHeight="1">
      <c r="A6" s="1"/>
      <c r="B6" s="8" t="s">
        <v>61</v>
      </c>
      <c r="C6" s="9">
        <f>DATE(2025,3,31)</f>
        <v>45747</v>
      </c>
      <c r="D6" s="9">
        <f>DATE(2025,6,30)</f>
        <v>45838</v>
      </c>
      <c r="E6" s="9">
        <f>DATE(2025,9,30)</f>
        <v>45930</v>
      </c>
      <c r="F6" s="9">
        <f t="shared" si="0" ref="F6:G6">DATE(2025,12,31)</f>
        <v>46022</v>
      </c>
      <c r="G6" s="9">
        <f t="shared" si="0"/>
        <v>46022</v>
      </c>
      <c r="H6" s="9">
        <f>DATE(2026,3,31)</f>
        <v>46112</v>
      </c>
      <c r="I6" s="9">
        <f>DATE(2026,6,30)</f>
        <v>46203</v>
      </c>
      <c r="J6" s="9">
        <f>DATE(2026,9,30)</f>
        <v>46295</v>
      </c>
      <c r="K6" s="8"/>
      <c r="L6" s="1"/>
      <c r="M6" s="1"/>
    </row>
    <row r="7" ht="15" customHeight="1">
      <c r="A7" s="1"/>
      <c r="B7" s="10" t="s">
        <v>62</v>
      </c>
      <c r="C7" s="11">
        <f t="shared" si="2" ref="C7:G7">C6-DATE(2024,12,31)</f>
        <v>90</v>
      </c>
      <c r="D7" s="11">
        <f t="shared" si="1" ref="D7:J7">D6-C6</f>
        <v>91</v>
      </c>
      <c r="E7" s="11">
        <f t="shared" si="1"/>
        <v>92</v>
      </c>
      <c r="F7" s="11">
        <f t="shared" si="1"/>
        <v>92</v>
      </c>
      <c r="G7" s="11">
        <f t="shared" si="2"/>
        <v>365</v>
      </c>
      <c r="H7" s="11">
        <f>H6-F6</f>
        <v>90</v>
      </c>
      <c r="I7" s="11">
        <f t="shared" si="1"/>
        <v>91</v>
      </c>
      <c r="J7" s="11">
        <f t="shared" si="1"/>
        <v>92</v>
      </c>
      <c r="K7" s="10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27"/>
      <c r="K8" s="1"/>
      <c r="L8" s="1"/>
      <c r="M8" s="1"/>
    </row>
    <row r="9" ht="15" customHeight="1">
      <c r="A9" s="1"/>
      <c r="B9" s="28" t="s">
        <v>63</v>
      </c>
      <c r="C9" s="29"/>
      <c r="D9" s="29"/>
      <c r="E9" s="29"/>
      <c r="F9" s="29"/>
      <c r="G9" s="29"/>
      <c r="H9" s="29"/>
      <c r="I9" s="29"/>
      <c r="J9" s="30"/>
      <c r="K9" s="29"/>
      <c r="L9" s="1"/>
      <c r="M9" s="1"/>
    </row>
    <row r="10" ht="15" customHeight="1">
      <c r="A10" s="1"/>
      <c r="B10" s="1" t="s">
        <v>64</v>
      </c>
      <c r="C10" s="16">
        <f>'Segment - CES'!C50</f>
        <v>6664</v>
      </c>
      <c r="D10" s="16">
        <f>'Segment - CES'!D50</f>
        <v>7646</v>
      </c>
      <c r="E10" s="16">
        <f>'Segment - CES'!E50</f>
        <v>8521</v>
      </c>
      <c r="F10" s="16">
        <f>'Segment - CES'!F50</f>
        <v>9118</v>
      </c>
      <c r="G10" s="16">
        <f>'Segment - CES'!G50</f>
        <v>31949</v>
      </c>
      <c r="H10" s="16">
        <f>'Segment - CES'!H50</f>
        <v>8919</v>
      </c>
      <c r="I10" s="16">
        <f>'Segment - CES'!I50</f>
        <v>9731</v>
      </c>
      <c r="J10" s="31">
        <f>'Segment - CES'!J50</f>
        <v>9939.039999999999</v>
      </c>
      <c r="K10" s="1" t="s">
        <v>65</v>
      </c>
      <c r="L10" s="1"/>
      <c r="M10" s="1"/>
    </row>
    <row r="11" ht="15" customHeight="1">
      <c r="A11" s="1"/>
      <c r="B11" s="4" t="s">
        <v>66</v>
      </c>
      <c r="C11" s="18"/>
      <c r="D11" s="18"/>
      <c r="E11" s="18"/>
      <c r="F11" s="18"/>
      <c r="G11" s="18"/>
      <c r="H11" s="18">
        <f t="shared" si="3" ref="H11:J99">IF(AND(ISNUMBER(H10),ISNUMBER(C10)),IF(C10&lt;&gt;0,H10/C10-1,""),"")</f>
        <v>0.3383853541416566</v>
      </c>
      <c r="I11" s="18">
        <f t="shared" si="3"/>
        <v>0.27269160345278576</v>
      </c>
      <c r="J11" s="32">
        <f t="shared" si="3"/>
        <v>0.1664170871963384</v>
      </c>
      <c r="K11" s="1"/>
      <c r="L11" s="1"/>
      <c r="M11" s="1"/>
    </row>
    <row r="12" ht="15" customHeight="1">
      <c r="A12" s="1"/>
      <c r="B12" s="4" t="s">
        <v>67</v>
      </c>
      <c r="C12" s="18"/>
      <c r="D12" s="18">
        <f t="shared" si="4" ref="D12:J100">IF(AND(ISNUMBER(D10),ISNUMBER(C10)),IF(C10&lt;&gt;0,D10/C10-1,""),"")</f>
        <v>0.14735894357743096</v>
      </c>
      <c r="E12" s="18">
        <f t="shared" si="4"/>
        <v>0.11443892231232011</v>
      </c>
      <c r="F12" s="18">
        <f t="shared" si="4"/>
        <v>0.07006219927238577</v>
      </c>
      <c r="G12" s="18"/>
      <c r="H12" s="18">
        <f t="shared" si="9" ref="H12:H100">IF(AND(ISNUMBER(H10),ISNUMBER(F10)),IF(F10&lt;&gt;0,H10/F10-1,""),"")</f>
        <v>-0.02182496161438907</v>
      </c>
      <c r="I12" s="18">
        <f t="shared" si="4"/>
        <v>0.09104159659154609</v>
      </c>
      <c r="J12" s="32">
        <f t="shared" si="4"/>
        <v>0.021379097728907448</v>
      </c>
      <c r="K12" s="1"/>
      <c r="L12" s="1"/>
      <c r="M12" s="1"/>
    </row>
    <row r="13" ht="15" customHeight="1">
      <c r="A13" s="1"/>
      <c r="B13" s="4" t="s">
        <v>68</v>
      </c>
      <c r="C13" s="18">
        <f t="shared" si="5" ref="C13:J13">_xlfn.IFERROR(C10/C38,"")</f>
        <v>0.74036218197978</v>
      </c>
      <c r="D13" s="18">
        <f t="shared" si="5"/>
        <v>0.7532262831248153</v>
      </c>
      <c r="E13" s="18">
        <f t="shared" si="5"/>
        <v>0.7536706173713072</v>
      </c>
      <c r="F13" s="18">
        <f t="shared" si="5"/>
        <v>0.7684139558402158</v>
      </c>
      <c r="G13" s="18">
        <f t="shared" si="5"/>
        <v>0.7548672148190152</v>
      </c>
      <c r="H13" s="18">
        <f t="shared" si="5"/>
        <v>0.767952471155502</v>
      </c>
      <c r="I13" s="18">
        <f t="shared" si="5"/>
        <v>0.7702232072186165</v>
      </c>
      <c r="J13" s="32">
        <f t="shared" si="5"/>
        <v>0.7704807597643062</v>
      </c>
      <c r="K13" s="1"/>
      <c r="L13" s="1"/>
      <c r="M13" s="1"/>
    </row>
    <row r="14" ht="15" customHeight="1">
      <c r="A14" s="1"/>
      <c r="B14" s="1" t="s">
        <v>69</v>
      </c>
      <c r="C14" s="33"/>
      <c r="D14" s="33"/>
      <c r="E14" s="33"/>
      <c r="F14" s="33"/>
      <c r="G14" s="33"/>
      <c r="H14" s="33">
        <f t="shared" si="6" ref="H14:J102">IF(AND(ISNUMBER(H13),ISNUMBER(C13)),(H13-C13)*10000,"")</f>
        <v>275.9028917572204</v>
      </c>
      <c r="I14" s="33">
        <f t="shared" si="6"/>
        <v>169.96924093801158</v>
      </c>
      <c r="J14" s="34">
        <f t="shared" si="6"/>
        <v>168.10142392998938</v>
      </c>
      <c r="K14" s="1"/>
      <c r="L14" s="1"/>
      <c r="M14" s="1"/>
    </row>
    <row r="15" ht="15" customHeight="1">
      <c r="A15" s="1"/>
      <c r="B15" s="1" t="s">
        <v>70</v>
      </c>
      <c r="C15" s="33"/>
      <c r="D15" s="33">
        <f t="shared" si="7" ref="D15:J103">IF(AND(ISNUMBER(D13),ISNUMBER(C13)),(D13-C13)*10000,"")</f>
        <v>128.64101145035335</v>
      </c>
      <c r="E15" s="33">
        <f t="shared" si="7"/>
        <v>4.4433424649192865</v>
      </c>
      <c r="F15" s="33">
        <f t="shared" si="7"/>
        <v>147.4333846890852</v>
      </c>
      <c r="G15" s="33"/>
      <c r="H15" s="33">
        <f t="shared" si="11" ref="H15:H103">IF(AND(ISNUMBER(H13),ISNUMBER(F13)),(H13-F13)*10000,"")</f>
        <v>-4.6148468471374215</v>
      </c>
      <c r="I15" s="33">
        <f t="shared" si="7"/>
        <v>22.707360631144535</v>
      </c>
      <c r="J15" s="34">
        <f t="shared" si="7"/>
        <v>2.5755254568970987</v>
      </c>
      <c r="K15" s="1"/>
      <c r="L15" s="1"/>
      <c r="M15" s="1"/>
    </row>
    <row r="16" ht="15" customHeight="1">
      <c r="A16" s="1"/>
      <c r="B16" s="4" t="s">
        <v>71</v>
      </c>
      <c r="C16" s="18"/>
      <c r="D16" s="18"/>
      <c r="E16" s="18"/>
      <c r="F16" s="18"/>
      <c r="G16" s="18"/>
      <c r="H16" s="18" t="s">
        <v>72</v>
      </c>
      <c r="I16" s="18" t="s">
        <v>72</v>
      </c>
      <c r="J16" s="32" t="s">
        <v>72</v>
      </c>
      <c r="K16" s="1" t="s">
        <v>73</v>
      </c>
      <c r="L16" s="1"/>
      <c r="M16" s="1"/>
    </row>
    <row r="17" ht="15" customHeight="1">
      <c r="A17" s="1"/>
      <c r="B17" s="4" t="s">
        <v>74</v>
      </c>
      <c r="C17" s="18"/>
      <c r="D17" s="18"/>
      <c r="E17" s="18"/>
      <c r="F17" s="18"/>
      <c r="G17" s="18"/>
      <c r="H17" s="18" t="s">
        <v>72</v>
      </c>
      <c r="I17" s="18" t="s">
        <v>72</v>
      </c>
      <c r="J17" s="32" t="s">
        <v>72</v>
      </c>
      <c r="K17" s="1" t="s">
        <v>73</v>
      </c>
      <c r="L17" s="1"/>
      <c r="M17" s="1"/>
    </row>
    <row r="18" ht="15" customHeight="1">
      <c r="A18" s="1"/>
      <c r="B18" s="4" t="s">
        <v>75</v>
      </c>
      <c r="C18" s="18"/>
      <c r="D18" s="18"/>
      <c r="E18" s="18"/>
      <c r="F18" s="18"/>
      <c r="G18" s="18"/>
      <c r="H18" s="18" t="str">
        <f t="shared" si="8" ref="H18:J64">IF(AND(ISNUMBER(H11),ISNUMBER(H16),ISNUMBER(H17)),(1+H11)/((1+H16)*(1+H17))-1,"n.a.")</f>
        <v>n.a.</v>
      </c>
      <c r="I18" s="18" t="str">
        <f t="shared" si="8"/>
        <v>n.a.</v>
      </c>
      <c r="J18" s="32" t="str">
        <f t="shared" si="8"/>
        <v>n.a.</v>
      </c>
      <c r="K18" s="1" t="s">
        <v>76</v>
      </c>
      <c r="L18" s="1"/>
      <c r="M18" s="1"/>
    </row>
    <row r="19" ht="15" customHeight="1">
      <c r="A19" s="1"/>
      <c r="B19" s="1" t="s">
        <v>77</v>
      </c>
      <c r="C19" s="16">
        <f>'Segment - DPT'!C31</f>
        <v>2698</v>
      </c>
      <c r="D19" s="16">
        <f>'Segment - DPT'!D31</f>
        <v>2978</v>
      </c>
      <c r="E19" s="16">
        <f>'Segment - DPT'!E31</f>
        <v>3251</v>
      </c>
      <c r="F19" s="16">
        <f>'Segment - DPT'!F31</f>
        <v>3270</v>
      </c>
      <c r="G19" s="16">
        <f>'Segment - DPT'!G31</f>
        <v>12197</v>
      </c>
      <c r="H19" s="16">
        <f>'Segment - DPT'!H31</f>
        <v>3214</v>
      </c>
      <c r="I19" s="16">
        <f>'Segment - DPT'!I31</f>
        <v>3443</v>
      </c>
      <c r="J19" s="31">
        <f>'Segment - DPT'!J31</f>
        <v>3515.75</v>
      </c>
      <c r="K19" s="1" t="s">
        <v>78</v>
      </c>
      <c r="L19" s="1"/>
      <c r="M19" s="1"/>
    </row>
    <row r="20" ht="15" customHeight="1">
      <c r="A20" s="1"/>
      <c r="B20" s="4" t="s">
        <v>66</v>
      </c>
      <c r="C20" s="18"/>
      <c r="D20" s="18"/>
      <c r="E20" s="18"/>
      <c r="F20" s="18"/>
      <c r="G20" s="18"/>
      <c r="H20" s="18">
        <f t="shared" si="3"/>
        <v>0.19125277983691613</v>
      </c>
      <c r="I20" s="18">
        <f t="shared" si="3"/>
        <v>0.15614506380120896</v>
      </c>
      <c r="J20" s="32">
        <f t="shared" si="3"/>
        <v>0.0814364810827437</v>
      </c>
      <c r="K20" s="1"/>
      <c r="L20" s="1"/>
      <c r="M20" s="1"/>
    </row>
    <row r="21" ht="15" customHeight="1">
      <c r="A21" s="1"/>
      <c r="B21" s="4" t="s">
        <v>67</v>
      </c>
      <c r="C21" s="18"/>
      <c r="D21" s="18">
        <f t="shared" si="4"/>
        <v>0.10378057820607856</v>
      </c>
      <c r="E21" s="18">
        <f t="shared" si="4"/>
        <v>0.09167226326393552</v>
      </c>
      <c r="F21" s="18">
        <f t="shared" si="4"/>
        <v>0.005844355582897531</v>
      </c>
      <c r="G21" s="18"/>
      <c r="H21" s="18">
        <f t="shared" si="9"/>
        <v>-0.01712538226299698</v>
      </c>
      <c r="I21" s="18">
        <f t="shared" si="4"/>
        <v>0.0712507778469198</v>
      </c>
      <c r="J21" s="32">
        <f t="shared" si="4"/>
        <v>0.021129828637815873</v>
      </c>
      <c r="K21" s="1"/>
      <c r="L21" s="1"/>
      <c r="M21" s="1"/>
    </row>
    <row r="22" ht="15" customHeight="1">
      <c r="A22" s="1"/>
      <c r="B22" s="4" t="s">
        <v>68</v>
      </c>
      <c r="C22" s="18">
        <f t="shared" si="10" ref="C22:J22">_xlfn.IFERROR(C19/C38,"")</f>
        <v>0.2997444728363515</v>
      </c>
      <c r="D22" s="18">
        <f t="shared" si="10"/>
        <v>0.29337011131908186</v>
      </c>
      <c r="E22" s="18">
        <f t="shared" si="10"/>
        <v>0.2875464355209623</v>
      </c>
      <c r="F22" s="18">
        <f t="shared" si="10"/>
        <v>0.2755772796224507</v>
      </c>
      <c r="G22" s="18">
        <f t="shared" si="10"/>
        <v>0.28818164634722615</v>
      </c>
      <c r="H22" s="18">
        <f t="shared" si="10"/>
        <v>0.27673497503013605</v>
      </c>
      <c r="I22" s="18">
        <f t="shared" si="10"/>
        <v>0.27251860060155136</v>
      </c>
      <c r="J22" s="32">
        <f t="shared" si="10"/>
        <v>0.272543196439632</v>
      </c>
      <c r="K22" s="1"/>
      <c r="L22" s="1"/>
      <c r="M22" s="1"/>
    </row>
    <row r="23" ht="15" customHeight="1">
      <c r="A23" s="1"/>
      <c r="B23" s="1" t="s">
        <v>69</v>
      </c>
      <c r="C23" s="33"/>
      <c r="D23" s="33"/>
      <c r="E23" s="33"/>
      <c r="F23" s="33"/>
      <c r="G23" s="33"/>
      <c r="H23" s="33">
        <f t="shared" si="6"/>
        <v>-230.09497806215472</v>
      </c>
      <c r="I23" s="33">
        <f t="shared" si="6"/>
        <v>-208.51510717530496</v>
      </c>
      <c r="J23" s="34">
        <f t="shared" si="6"/>
        <v>-150.03239081330332</v>
      </c>
      <c r="K23" s="1"/>
      <c r="L23" s="1"/>
      <c r="M23" s="1"/>
    </row>
    <row r="24" ht="15" customHeight="1">
      <c r="A24" s="1"/>
      <c r="B24" s="1" t="s">
        <v>70</v>
      </c>
      <c r="C24" s="33"/>
      <c r="D24" s="33">
        <f t="shared" si="7"/>
        <v>-63.743615172696664</v>
      </c>
      <c r="E24" s="33">
        <f t="shared" si="7"/>
        <v>-58.23675798119543</v>
      </c>
      <c r="F24" s="33">
        <f t="shared" si="7"/>
        <v>-119.69155898511607</v>
      </c>
      <c r="G24" s="33"/>
      <c r="H24" s="33">
        <f t="shared" si="11"/>
        <v>11.57695407685344</v>
      </c>
      <c r="I24" s="33">
        <f t="shared" si="7"/>
        <v>-42.1637442858469</v>
      </c>
      <c r="J24" s="34">
        <f t="shared" si="7"/>
        <v>0.24595838080621046</v>
      </c>
      <c r="K24" s="1"/>
      <c r="L24" s="1"/>
      <c r="M24" s="1"/>
    </row>
    <row r="25" ht="15" customHeight="1">
      <c r="A25" s="1"/>
      <c r="B25" s="4" t="s">
        <v>71</v>
      </c>
      <c r="C25" s="18"/>
      <c r="D25" s="18"/>
      <c r="E25" s="18"/>
      <c r="F25" s="18"/>
      <c r="G25" s="18"/>
      <c r="H25" s="18" t="s">
        <v>72</v>
      </c>
      <c r="I25" s="18" t="s">
        <v>72</v>
      </c>
      <c r="J25" s="32" t="s">
        <v>72</v>
      </c>
      <c r="K25" s="1" t="s">
        <v>73</v>
      </c>
      <c r="L25" s="1"/>
      <c r="M25" s="1"/>
    </row>
    <row r="26" ht="15" customHeight="1">
      <c r="A26" s="1"/>
      <c r="B26" s="4" t="s">
        <v>74</v>
      </c>
      <c r="C26" s="18"/>
      <c r="D26" s="18"/>
      <c r="E26" s="18"/>
      <c r="F26" s="18"/>
      <c r="G26" s="18"/>
      <c r="H26" s="18" t="s">
        <v>72</v>
      </c>
      <c r="I26" s="18" t="s">
        <v>72</v>
      </c>
      <c r="J26" s="32" t="s">
        <v>72</v>
      </c>
      <c r="K26" s="1" t="s">
        <v>73</v>
      </c>
      <c r="L26" s="1"/>
      <c r="M26" s="1"/>
    </row>
    <row r="27" ht="15" customHeight="1">
      <c r="A27" s="1"/>
      <c r="B27" s="4" t="s">
        <v>75</v>
      </c>
      <c r="C27" s="18"/>
      <c r="D27" s="18"/>
      <c r="E27" s="18"/>
      <c r="F27" s="18"/>
      <c r="G27" s="18"/>
      <c r="H27" s="18" t="str">
        <f t="shared" si="8"/>
        <v>n.a.</v>
      </c>
      <c r="I27" s="18" t="str">
        <f t="shared" si="8"/>
        <v>n.a.</v>
      </c>
      <c r="J27" s="32" t="str">
        <f t="shared" si="8"/>
        <v>n.a.</v>
      </c>
      <c r="K27" s="1" t="s">
        <v>76</v>
      </c>
      <c r="L27" s="1"/>
      <c r="M27" s="1"/>
    </row>
    <row r="28" ht="15" customHeight="1">
      <c r="A28" s="1"/>
      <c r="B28" s="1" t="s">
        <v>79</v>
      </c>
      <c r="C28" s="35">
        <v>-361</v>
      </c>
      <c r="D28" s="35">
        <v>-473</v>
      </c>
      <c r="E28" s="35">
        <v>-466</v>
      </c>
      <c r="F28" s="35">
        <v>-522</v>
      </c>
      <c r="G28" s="17">
        <f t="shared" si="15" ref="G28:G92">SUM(C28:F28)</f>
        <v>-1822</v>
      </c>
      <c r="H28" s="35">
        <v>-519</v>
      </c>
      <c r="I28" s="35">
        <v>-540</v>
      </c>
      <c r="J28" s="36">
        <v>-555</v>
      </c>
      <c r="K28" s="1" t="s">
        <v>80</v>
      </c>
      <c r="L28" s="1"/>
      <c r="M28" s="1"/>
    </row>
    <row r="29" ht="15" customHeight="1">
      <c r="A29" s="1"/>
      <c r="B29" s="4" t="s">
        <v>66</v>
      </c>
      <c r="C29" s="18"/>
      <c r="D29" s="18"/>
      <c r="E29" s="18"/>
      <c r="F29" s="18"/>
      <c r="G29" s="18"/>
      <c r="H29" s="18">
        <f t="shared" si="3"/>
        <v>0.43767313019390586</v>
      </c>
      <c r="I29" s="18">
        <f t="shared" si="3"/>
        <v>0.14164904862579286</v>
      </c>
      <c r="J29" s="32">
        <f t="shared" si="3"/>
        <v>0.1909871244635193</v>
      </c>
      <c r="K29" s="1"/>
      <c r="L29" s="1"/>
      <c r="M29" s="1"/>
    </row>
    <row r="30" ht="15" customHeight="1">
      <c r="A30" s="1"/>
      <c r="B30" s="4" t="s">
        <v>67</v>
      </c>
      <c r="C30" s="18"/>
      <c r="D30" s="18">
        <f t="shared" si="4"/>
        <v>0.3102493074792243</v>
      </c>
      <c r="E30" s="18">
        <f t="shared" si="4"/>
        <v>-0.014799154334038</v>
      </c>
      <c r="F30" s="18">
        <f t="shared" si="4"/>
        <v>0.12017167381974247</v>
      </c>
      <c r="G30" s="18"/>
      <c r="H30" s="18">
        <f t="shared" si="9"/>
        <v>-0.005747126436781658</v>
      </c>
      <c r="I30" s="18">
        <f t="shared" si="4"/>
        <v>0.040462427745664664</v>
      </c>
      <c r="J30" s="32">
        <f t="shared" si="4"/>
        <v>0.02777777777777768</v>
      </c>
      <c r="K30" s="1"/>
      <c r="L30" s="1"/>
      <c r="M30" s="1"/>
    </row>
    <row r="31" ht="15" customHeight="1">
      <c r="A31" s="1"/>
      <c r="B31" s="4" t="s">
        <v>68</v>
      </c>
      <c r="C31" s="18">
        <f t="shared" si="12" ref="C31:J31">_xlfn.IFERROR(C28/C38,"")</f>
        <v>-0.04010665481613154</v>
      </c>
      <c r="D31" s="18">
        <f t="shared" si="12"/>
        <v>-0.046596394443897154</v>
      </c>
      <c r="E31" s="18">
        <f t="shared" si="12"/>
        <v>-0.04121705289226959</v>
      </c>
      <c r="F31" s="18">
        <f t="shared" si="12"/>
        <v>-0.04399123546266644</v>
      </c>
      <c r="G31" s="18">
        <f t="shared" si="12"/>
        <v>-0.043048861166241376</v>
      </c>
      <c r="H31" s="18">
        <f t="shared" si="12"/>
        <v>-0.044687446185638025</v>
      </c>
      <c r="I31" s="18">
        <f t="shared" si="12"/>
        <v>-0.0427418078201678</v>
      </c>
      <c r="J31" s="32">
        <f t="shared" si="12"/>
        <v>-0.04302395620393821</v>
      </c>
      <c r="K31" s="1"/>
      <c r="L31" s="1"/>
      <c r="M31" s="1"/>
    </row>
    <row r="32" ht="15" customHeight="1">
      <c r="A32" s="1"/>
      <c r="B32" s="1" t="s">
        <v>69</v>
      </c>
      <c r="C32" s="33"/>
      <c r="D32" s="33"/>
      <c r="E32" s="33"/>
      <c r="F32" s="33"/>
      <c r="G32" s="33"/>
      <c r="H32" s="33">
        <f t="shared" si="6"/>
        <v>-45.80791369506482</v>
      </c>
      <c r="I32" s="33">
        <f t="shared" si="6"/>
        <v>38.54586623729353</v>
      </c>
      <c r="J32" s="34">
        <f t="shared" si="6"/>
        <v>-18.0690331166862</v>
      </c>
      <c r="K32" s="1"/>
      <c r="L32" s="1"/>
      <c r="M32" s="1"/>
    </row>
    <row r="33" ht="15" customHeight="1">
      <c r="A33" s="1"/>
      <c r="B33" s="1" t="s">
        <v>70</v>
      </c>
      <c r="C33" s="33"/>
      <c r="D33" s="33">
        <f t="shared" si="7"/>
        <v>-64.89739627765611</v>
      </c>
      <c r="E33" s="33">
        <f t="shared" si="7"/>
        <v>53.79341551627566</v>
      </c>
      <c r="F33" s="33">
        <f t="shared" si="7"/>
        <v>-27.741825703968548</v>
      </c>
      <c r="G33" s="33"/>
      <c r="H33" s="33">
        <f t="shared" si="11"/>
        <v>-6.962107229715811</v>
      </c>
      <c r="I33" s="33">
        <f t="shared" si="7"/>
        <v>19.45638365470223</v>
      </c>
      <c r="J33" s="34">
        <f t="shared" si="7"/>
        <v>-2.8214838377040725</v>
      </c>
      <c r="K33" s="1"/>
      <c r="L33" s="1"/>
      <c r="M33" s="1"/>
    </row>
    <row r="34" ht="15" customHeight="1">
      <c r="A34" s="1"/>
      <c r="B34" s="4" t="s">
        <v>71</v>
      </c>
      <c r="C34" s="18"/>
      <c r="D34" s="18"/>
      <c r="E34" s="18"/>
      <c r="F34" s="18"/>
      <c r="G34" s="18"/>
      <c r="H34" s="18" t="s">
        <v>72</v>
      </c>
      <c r="I34" s="18" t="s">
        <v>72</v>
      </c>
      <c r="J34" s="32" t="s">
        <v>72</v>
      </c>
      <c r="K34" s="1" t="s">
        <v>73</v>
      </c>
      <c r="L34" s="1"/>
      <c r="M34" s="1"/>
    </row>
    <row r="35" ht="15" customHeight="1">
      <c r="A35" s="1"/>
      <c r="B35" s="4" t="s">
        <v>74</v>
      </c>
      <c r="C35" s="18"/>
      <c r="D35" s="18"/>
      <c r="E35" s="18"/>
      <c r="F35" s="18"/>
      <c r="G35" s="18"/>
      <c r="H35" s="18" t="s">
        <v>72</v>
      </c>
      <c r="I35" s="18" t="s">
        <v>72</v>
      </c>
      <c r="J35" s="32" t="s">
        <v>72</v>
      </c>
      <c r="K35" s="1" t="s">
        <v>73</v>
      </c>
      <c r="L35" s="1"/>
      <c r="M35" s="1"/>
    </row>
    <row r="36" ht="15" customHeight="1">
      <c r="A36" s="1"/>
      <c r="B36" s="4" t="s">
        <v>75</v>
      </c>
      <c r="C36" s="18"/>
      <c r="D36" s="18"/>
      <c r="E36" s="18"/>
      <c r="F36" s="18"/>
      <c r="G36" s="18"/>
      <c r="H36" s="18" t="str">
        <f t="shared" si="8"/>
        <v>n.a.</v>
      </c>
      <c r="I36" s="18" t="str">
        <f t="shared" si="8"/>
        <v>n.a.</v>
      </c>
      <c r="J36" s="32" t="str">
        <f t="shared" si="8"/>
        <v>n.a.</v>
      </c>
      <c r="K36" s="1" t="s">
        <v>76</v>
      </c>
      <c r="L36" s="1"/>
      <c r="M36" s="1"/>
    </row>
    <row r="37" ht="15" customHeight="1">
      <c r="A37" s="1"/>
      <c r="B37" s="1" t="s">
        <v>81</v>
      </c>
      <c r="C37" s="17"/>
      <c r="D37" s="17"/>
      <c r="E37" s="17"/>
      <c r="F37" s="17"/>
      <c r="G37" s="17"/>
      <c r="H37" s="35">
        <v>-440</v>
      </c>
      <c r="I37" s="35">
        <v>-439</v>
      </c>
      <c r="J37" s="37"/>
      <c r="K37" s="1" t="s">
        <v>82</v>
      </c>
      <c r="L37" s="1"/>
      <c r="M37" s="1"/>
    </row>
    <row r="38" ht="15" customHeight="1">
      <c r="A38" s="1"/>
      <c r="B38" s="3" t="s">
        <v>83</v>
      </c>
      <c r="C38" s="38">
        <f t="shared" si="13" ref="C38:J38">C10+C19+C28</f>
        <v>9001</v>
      </c>
      <c r="D38" s="38">
        <f t="shared" si="13"/>
        <v>10151</v>
      </c>
      <c r="E38" s="38">
        <f t="shared" si="13"/>
        <v>11306</v>
      </c>
      <c r="F38" s="38">
        <f t="shared" si="13"/>
        <v>11866</v>
      </c>
      <c r="G38" s="38">
        <f t="shared" si="13"/>
        <v>42324</v>
      </c>
      <c r="H38" s="38">
        <f t="shared" si="13"/>
        <v>11614</v>
      </c>
      <c r="I38" s="38">
        <f t="shared" si="13"/>
        <v>12634</v>
      </c>
      <c r="J38" s="39">
        <f t="shared" si="13"/>
        <v>12899.789999999999</v>
      </c>
      <c r="K38" s="1" t="s">
        <v>84</v>
      </c>
      <c r="L38" s="1"/>
      <c r="M38" s="1"/>
    </row>
    <row r="39" ht="15" customHeight="1">
      <c r="A39" s="1"/>
      <c r="B39" s="4" t="s">
        <v>66</v>
      </c>
      <c r="C39" s="18"/>
      <c r="D39" s="18"/>
      <c r="E39" s="18"/>
      <c r="F39" s="18"/>
      <c r="G39" s="18"/>
      <c r="H39" s="18">
        <f t="shared" si="3"/>
        <v>0.2903010776580379</v>
      </c>
      <c r="I39" s="18">
        <f t="shared" si="3"/>
        <v>0.24460644271500342</v>
      </c>
      <c r="J39" s="32">
        <f t="shared" si="3"/>
        <v>0.14096851229435692</v>
      </c>
      <c r="K39" s="1"/>
      <c r="L39" s="1"/>
      <c r="M39" s="1"/>
    </row>
    <row r="40" ht="15" customHeight="1">
      <c r="A40" s="1"/>
      <c r="B40" s="4" t="s">
        <v>67</v>
      </c>
      <c r="C40" s="18"/>
      <c r="D40" s="18">
        <f t="shared" si="4"/>
        <v>0.12776358182424175</v>
      </c>
      <c r="E40" s="18">
        <f t="shared" si="4"/>
        <v>0.11378189340951628</v>
      </c>
      <c r="F40" s="18">
        <f t="shared" si="4"/>
        <v>0.049531222359809</v>
      </c>
      <c r="G40" s="18"/>
      <c r="H40" s="18">
        <f t="shared" si="9"/>
        <v>-0.021237148154390706</v>
      </c>
      <c r="I40" s="18">
        <f t="shared" si="4"/>
        <v>0.08782503874634062</v>
      </c>
      <c r="J40" s="32">
        <f t="shared" si="4"/>
        <v>0.02103767611207852</v>
      </c>
      <c r="K40" s="1"/>
      <c r="L40" s="1"/>
      <c r="M40" s="1"/>
    </row>
    <row r="41" ht="15" customHeight="1">
      <c r="A41" s="1"/>
      <c r="B41" s="4" t="s">
        <v>71</v>
      </c>
      <c r="C41" s="18"/>
      <c r="D41" s="18"/>
      <c r="E41" s="18"/>
      <c r="F41" s="18"/>
      <c r="G41" s="18"/>
      <c r="H41" s="18" t="s">
        <v>72</v>
      </c>
      <c r="I41" s="18" t="s">
        <v>72</v>
      </c>
      <c r="J41" s="32" t="s">
        <v>72</v>
      </c>
      <c r="K41" s="1" t="s">
        <v>73</v>
      </c>
      <c r="L41" s="1"/>
      <c r="M41" s="1"/>
    </row>
    <row r="42" ht="15" customHeight="1">
      <c r="A42" s="1"/>
      <c r="B42" s="4" t="s">
        <v>74</v>
      </c>
      <c r="C42" s="18"/>
      <c r="D42" s="18"/>
      <c r="E42" s="18"/>
      <c r="F42" s="18"/>
      <c r="G42" s="18"/>
      <c r="H42" s="18" t="s">
        <v>72</v>
      </c>
      <c r="I42" s="18" t="s">
        <v>72</v>
      </c>
      <c r="J42" s="32" t="s">
        <v>72</v>
      </c>
      <c r="K42" s="1" t="s">
        <v>73</v>
      </c>
      <c r="L42" s="1"/>
      <c r="M42" s="1"/>
    </row>
    <row r="43" ht="15" customHeight="1">
      <c r="A43" s="1"/>
      <c r="B43" s="4" t="s">
        <v>75</v>
      </c>
      <c r="C43" s="18"/>
      <c r="D43" s="18"/>
      <c r="E43" s="18"/>
      <c r="F43" s="18"/>
      <c r="G43" s="18"/>
      <c r="H43" s="18" t="str">
        <f t="shared" si="14" ref="H43:J77">IF(AND(ISNUMBER(H39),ISNUMBER(H41),ISNUMBER(H42)),(1+H39)/((1+H41)*(1+H42))-1,"n.a.")</f>
        <v>n.a.</v>
      </c>
      <c r="I43" s="18" t="str">
        <f t="shared" si="14"/>
        <v>n.a.</v>
      </c>
      <c r="J43" s="32" t="str">
        <f t="shared" si="14"/>
        <v>n.a.</v>
      </c>
      <c r="K43" s="1" t="s">
        <v>76</v>
      </c>
      <c r="L43" s="1"/>
      <c r="M43" s="1"/>
    </row>
    <row r="44" ht="15" customHeight="1">
      <c r="A44" s="1"/>
      <c r="B44" s="1" t="s">
        <v>85</v>
      </c>
      <c r="C44" s="16">
        <f>Inputs!C106</f>
        <v>9001</v>
      </c>
      <c r="D44" s="16">
        <f>Inputs!D106</f>
        <v>10151</v>
      </c>
      <c r="E44" s="16">
        <f>Inputs!E106</f>
        <v>11305</v>
      </c>
      <c r="F44" s="16">
        <f>Inputs!F106</f>
        <v>11865</v>
      </c>
      <c r="G44" s="17">
        <f t="shared" si="15"/>
        <v>42322</v>
      </c>
      <c r="H44" s="16">
        <f>Inputs!H106</f>
        <v>11614</v>
      </c>
      <c r="I44" s="16">
        <f>Inputs!I106</f>
        <v>12634</v>
      </c>
      <c r="J44" s="37"/>
      <c r="K44" s="1" t="s">
        <v>86</v>
      </c>
      <c r="L44" s="1"/>
      <c r="M44" s="1"/>
    </row>
    <row r="45" ht="15" customHeight="1">
      <c r="A45" s="1"/>
      <c r="B45" s="1" t="s">
        <v>87</v>
      </c>
      <c r="C45" s="40" t="b">
        <f t="shared" si="16" ref="C45:I105">ABS(C38-C44)&lt;=2</f>
        <v>1</v>
      </c>
      <c r="D45" s="40" t="b">
        <f t="shared" si="16"/>
        <v>1</v>
      </c>
      <c r="E45" s="40" t="b">
        <f t="shared" si="16"/>
        <v>1</v>
      </c>
      <c r="F45" s="40" t="b">
        <f t="shared" si="16"/>
        <v>1</v>
      </c>
      <c r="G45" s="40" t="b">
        <f t="shared" si="16"/>
        <v>1</v>
      </c>
      <c r="H45" s="40" t="b">
        <f t="shared" si="16"/>
        <v>1</v>
      </c>
      <c r="I45" s="40" t="b">
        <f t="shared" si="16"/>
        <v>1</v>
      </c>
      <c r="J45" s="27"/>
      <c r="K45" s="1" t="s">
        <v>88</v>
      </c>
      <c r="L45" s="1"/>
      <c r="M45" s="1"/>
    </row>
    <row r="46" ht="15" customHeight="1">
      <c r="A46" s="1"/>
      <c r="B46" s="28" t="s">
        <v>89</v>
      </c>
      <c r="C46" s="29"/>
      <c r="D46" s="29"/>
      <c r="E46" s="29"/>
      <c r="F46" s="29"/>
      <c r="G46" s="29"/>
      <c r="H46" s="29"/>
      <c r="I46" s="29"/>
      <c r="J46" s="30"/>
      <c r="K46" s="29"/>
      <c r="L46" s="1"/>
      <c r="M46" s="1"/>
    </row>
    <row r="47" ht="15" customHeight="1">
      <c r="A47" s="1"/>
      <c r="B47" s="1" t="s">
        <v>90</v>
      </c>
      <c r="C47" s="16">
        <f>'Income Statement'!C11</f>
        <v>6347</v>
      </c>
      <c r="D47" s="16">
        <f>'Income Statement'!D11</f>
        <v>7308</v>
      </c>
      <c r="E47" s="16">
        <f>'Income Statement'!E11</f>
        <v>8143</v>
      </c>
      <c r="F47" s="16">
        <f>'Income Statement'!F11</f>
        <v>8365</v>
      </c>
      <c r="G47" s="16">
        <f>'Income Statement'!G11</f>
        <v>30163</v>
      </c>
      <c r="H47" s="16">
        <f>'Income Statement'!H11</f>
        <v>8346</v>
      </c>
      <c r="I47" s="16">
        <f>'Income Statement'!I11</f>
        <v>9031</v>
      </c>
      <c r="J47" s="31">
        <f>'Income Statement'!J11</f>
        <v>9324.48625</v>
      </c>
      <c r="K47" s="1" t="s">
        <v>91</v>
      </c>
      <c r="L47" s="1"/>
      <c r="M47" s="1"/>
    </row>
    <row r="48" ht="15" customHeight="1">
      <c r="A48" s="1"/>
      <c r="B48" s="4" t="s">
        <v>66</v>
      </c>
      <c r="C48" s="18"/>
      <c r="D48" s="18"/>
      <c r="E48" s="18"/>
      <c r="F48" s="18"/>
      <c r="G48" s="18"/>
      <c r="H48" s="18">
        <f t="shared" si="3"/>
        <v>0.3149519458011658</v>
      </c>
      <c r="I48" s="18">
        <f t="shared" si="3"/>
        <v>0.23576902025177882</v>
      </c>
      <c r="J48" s="32">
        <f t="shared" si="3"/>
        <v>0.14509225715338325</v>
      </c>
      <c r="K48" s="1"/>
      <c r="L48" s="1"/>
      <c r="M48" s="1"/>
    </row>
    <row r="49" ht="15" customHeight="1">
      <c r="A49" s="1"/>
      <c r="B49" s="4" t="s">
        <v>67</v>
      </c>
      <c r="C49" s="18"/>
      <c r="D49" s="18">
        <f t="shared" si="4"/>
        <v>0.1514101150149676</v>
      </c>
      <c r="E49" s="18">
        <f t="shared" si="4"/>
        <v>0.1142583470169678</v>
      </c>
      <c r="F49" s="18">
        <f t="shared" si="4"/>
        <v>0.02726267960211226</v>
      </c>
      <c r="G49" s="18"/>
      <c r="H49" s="18">
        <f t="shared" si="9"/>
        <v>-0.0022713687985654873</v>
      </c>
      <c r="I49" s="18">
        <f t="shared" si="4"/>
        <v>0.08207524562664759</v>
      </c>
      <c r="J49" s="32">
        <f t="shared" si="4"/>
        <v>0.0324976469936884</v>
      </c>
      <c r="K49" s="1"/>
      <c r="L49" s="1"/>
      <c r="M49" s="1"/>
    </row>
    <row r="50" ht="15" customHeight="1">
      <c r="A50" s="1"/>
      <c r="B50" s="4" t="s">
        <v>92</v>
      </c>
      <c r="C50" s="18">
        <f t="shared" si="17" ref="C50:J50">_xlfn.IFERROR(C47/C38,"")</f>
        <v>0.7051438729030107</v>
      </c>
      <c r="D50" s="18">
        <f t="shared" si="17"/>
        <v>0.7199290710274849</v>
      </c>
      <c r="E50" s="18">
        <f t="shared" si="17"/>
        <v>0.7202370422784362</v>
      </c>
      <c r="F50" s="18">
        <f t="shared" si="17"/>
        <v>0.7049553345693579</v>
      </c>
      <c r="G50" s="18">
        <f t="shared" si="17"/>
        <v>0.7126689348832813</v>
      </c>
      <c r="H50" s="18">
        <f t="shared" si="17"/>
        <v>0.7186154640950577</v>
      </c>
      <c r="I50" s="18">
        <f t="shared" si="17"/>
        <v>0.7148171600443248</v>
      </c>
      <c r="J50" s="32">
        <f t="shared" si="17"/>
        <v>0.7228401586382415</v>
      </c>
      <c r="K50" s="1"/>
      <c r="L50" s="1"/>
      <c r="M50" s="1"/>
    </row>
    <row r="51" ht="15" customHeight="1">
      <c r="A51" s="1"/>
      <c r="B51" s="1" t="s">
        <v>69</v>
      </c>
      <c r="C51" s="33"/>
      <c r="D51" s="33"/>
      <c r="E51" s="33"/>
      <c r="F51" s="33"/>
      <c r="G51" s="33"/>
      <c r="H51" s="33">
        <f t="shared" si="6"/>
        <v>134.71591192046995</v>
      </c>
      <c r="I51" s="33">
        <f t="shared" si="6"/>
        <v>-51.119109831601065</v>
      </c>
      <c r="J51" s="34">
        <f t="shared" si="6"/>
        <v>26.031163598052576</v>
      </c>
      <c r="K51" s="1"/>
      <c r="L51" s="1"/>
      <c r="M51" s="1"/>
    </row>
    <row r="52" ht="15" customHeight="1">
      <c r="A52" s="1"/>
      <c r="B52" s="1" t="s">
        <v>70</v>
      </c>
      <c r="C52" s="33"/>
      <c r="D52" s="33">
        <f t="shared" si="7"/>
        <v>147.8519812447421</v>
      </c>
      <c r="E52" s="33">
        <f t="shared" si="7"/>
        <v>3.0797125095127775</v>
      </c>
      <c r="F52" s="33">
        <f t="shared" si="7"/>
        <v>-152.8170770907833</v>
      </c>
      <c r="G52" s="33"/>
      <c r="H52" s="33">
        <f t="shared" si="11"/>
        <v>136.60129525699838</v>
      </c>
      <c r="I52" s="33">
        <f t="shared" si="7"/>
        <v>-37.98304050732892</v>
      </c>
      <c r="J52" s="34">
        <f t="shared" si="7"/>
        <v>80.22998593916641</v>
      </c>
      <c r="K52" s="1"/>
      <c r="L52" s="1"/>
      <c r="M52" s="1"/>
    </row>
    <row r="53" ht="15" customHeight="1">
      <c r="A53" s="1"/>
      <c r="B53" s="4" t="s">
        <v>71</v>
      </c>
      <c r="C53" s="18"/>
      <c r="D53" s="18"/>
      <c r="E53" s="18"/>
      <c r="F53" s="18"/>
      <c r="G53" s="18"/>
      <c r="H53" s="18" t="s">
        <v>72</v>
      </c>
      <c r="I53" s="18" t="s">
        <v>72</v>
      </c>
      <c r="J53" s="32" t="s">
        <v>72</v>
      </c>
      <c r="K53" s="1" t="s">
        <v>73</v>
      </c>
      <c r="L53" s="1"/>
      <c r="M53" s="1"/>
    </row>
    <row r="54" ht="15" customHeight="1">
      <c r="A54" s="1"/>
      <c r="B54" s="4" t="s">
        <v>74</v>
      </c>
      <c r="C54" s="18"/>
      <c r="D54" s="18"/>
      <c r="E54" s="18"/>
      <c r="F54" s="18"/>
      <c r="G54" s="18"/>
      <c r="H54" s="18" t="s">
        <v>72</v>
      </c>
      <c r="I54" s="18" t="s">
        <v>72</v>
      </c>
      <c r="J54" s="32" t="s">
        <v>72</v>
      </c>
      <c r="K54" s="1" t="s">
        <v>73</v>
      </c>
      <c r="L54" s="1"/>
      <c r="M54" s="1"/>
    </row>
    <row r="55" ht="15" customHeight="1">
      <c r="A55" s="1"/>
      <c r="B55" s="4" t="s">
        <v>75</v>
      </c>
      <c r="C55" s="18"/>
      <c r="D55" s="18"/>
      <c r="E55" s="18"/>
      <c r="F55" s="18"/>
      <c r="G55" s="18"/>
      <c r="H55" s="18" t="str">
        <f t="shared" si="8"/>
        <v>n.a.</v>
      </c>
      <c r="I55" s="18" t="str">
        <f t="shared" si="8"/>
        <v>n.a.</v>
      </c>
      <c r="J55" s="32" t="str">
        <f t="shared" si="8"/>
        <v>n.a.</v>
      </c>
      <c r="K55" s="1" t="s">
        <v>76</v>
      </c>
      <c r="L55" s="1"/>
      <c r="M55" s="1"/>
    </row>
    <row r="56" ht="15" customHeight="1">
      <c r="A56" s="1"/>
      <c r="B56" s="1" t="s">
        <v>93</v>
      </c>
      <c r="C56" s="16">
        <f>'Income Statement'!C10</f>
        <v>2653</v>
      </c>
      <c r="D56" s="16">
        <f>'Income Statement'!D10</f>
        <v>2842</v>
      </c>
      <c r="E56" s="16">
        <f>'Income Statement'!E10</f>
        <v>3163</v>
      </c>
      <c r="F56" s="16">
        <f>'Income Statement'!F10</f>
        <v>3500</v>
      </c>
      <c r="G56" s="16">
        <f>'Income Statement'!G10</f>
        <v>12158</v>
      </c>
      <c r="H56" s="16">
        <f>'Income Statement'!H10</f>
        <v>3268</v>
      </c>
      <c r="I56" s="16">
        <f>'Income Statement'!I10</f>
        <v>3602</v>
      </c>
      <c r="J56" s="31">
        <f>'Income Statement'!J10</f>
        <v>3575.3037499999996</v>
      </c>
      <c r="K56" s="1" t="s">
        <v>94</v>
      </c>
      <c r="L56" s="1"/>
      <c r="M56" s="1"/>
    </row>
    <row r="57" ht="15" customHeight="1">
      <c r="A57" s="1"/>
      <c r="B57" s="4" t="s">
        <v>66</v>
      </c>
      <c r="C57" s="18"/>
      <c r="D57" s="18"/>
      <c r="E57" s="18"/>
      <c r="F57" s="18"/>
      <c r="G57" s="18"/>
      <c r="H57" s="18">
        <f t="shared" si="3"/>
        <v>0.23181304183942708</v>
      </c>
      <c r="I57" s="18">
        <f t="shared" si="3"/>
        <v>0.2674173117522871</v>
      </c>
      <c r="J57" s="32">
        <f t="shared" si="3"/>
        <v>0.13035211824217496</v>
      </c>
      <c r="K57" s="1"/>
      <c r="L57" s="1"/>
      <c r="M57" s="1"/>
    </row>
    <row r="58" ht="15" customHeight="1">
      <c r="A58" s="1"/>
      <c r="B58" s="4" t="s">
        <v>67</v>
      </c>
      <c r="C58" s="18"/>
      <c r="D58" s="18">
        <f t="shared" si="4"/>
        <v>0.0712401055408971</v>
      </c>
      <c r="E58" s="18">
        <f t="shared" si="4"/>
        <v>0.11294862772695291</v>
      </c>
      <c r="F58" s="18">
        <f t="shared" si="4"/>
        <v>0.10654441985456842</v>
      </c>
      <c r="G58" s="18"/>
      <c r="H58" s="18">
        <f t="shared" si="9"/>
        <v>-0.06628571428571428</v>
      </c>
      <c r="I58" s="18">
        <f t="shared" si="4"/>
        <v>0.10220318237454107</v>
      </c>
      <c r="J58" s="32">
        <f t="shared" si="4"/>
        <v>-0.007411507495835745</v>
      </c>
      <c r="K58" s="1"/>
      <c r="L58" s="1"/>
      <c r="M58" s="1"/>
    </row>
    <row r="59" ht="15" customHeight="1">
      <c r="A59" s="1"/>
      <c r="B59" s="4" t="s">
        <v>92</v>
      </c>
      <c r="C59" s="18">
        <f t="shared" si="18" ref="C59:J59">_xlfn.IFERROR(C56/C38,"")</f>
        <v>0.2947450283301855</v>
      </c>
      <c r="D59" s="18">
        <f t="shared" si="18"/>
        <v>0.2799724165106886</v>
      </c>
      <c r="E59" s="18">
        <f t="shared" si="18"/>
        <v>0.2797629577215638</v>
      </c>
      <c r="F59" s="18">
        <f t="shared" si="18"/>
        <v>0.2949603910332041</v>
      </c>
      <c r="G59" s="18">
        <f t="shared" si="18"/>
        <v>0.2872601833475097</v>
      </c>
      <c r="H59" s="18">
        <f t="shared" si="18"/>
        <v>0.28138453590494233</v>
      </c>
      <c r="I59" s="18">
        <f t="shared" si="18"/>
        <v>0.2851036884597119</v>
      </c>
      <c r="J59" s="32">
        <f t="shared" si="18"/>
        <v>0.2771598413617586</v>
      </c>
      <c r="K59" s="1"/>
      <c r="L59" s="1"/>
      <c r="M59" s="1"/>
    </row>
    <row r="60" ht="15" customHeight="1">
      <c r="A60" s="1"/>
      <c r="B60" s="1" t="s">
        <v>69</v>
      </c>
      <c r="C60" s="33"/>
      <c r="D60" s="33"/>
      <c r="E60" s="33"/>
      <c r="F60" s="33"/>
      <c r="G60" s="33"/>
      <c r="H60" s="33">
        <f t="shared" si="6"/>
        <v>-133.60492425243174</v>
      </c>
      <c r="I60" s="33">
        <f t="shared" si="6"/>
        <v>51.31271949023297</v>
      </c>
      <c r="J60" s="34">
        <f t="shared" si="6"/>
        <v>-26.03116359805202</v>
      </c>
      <c r="K60" s="1"/>
      <c r="L60" s="1"/>
      <c r="M60" s="1"/>
    </row>
    <row r="61" ht="15" customHeight="1">
      <c r="A61" s="1"/>
      <c r="B61" s="1" t="s">
        <v>70</v>
      </c>
      <c r="C61" s="33"/>
      <c r="D61" s="33">
        <f t="shared" si="7"/>
        <v>-147.72611819496905</v>
      </c>
      <c r="E61" s="33">
        <f t="shared" si="7"/>
        <v>-2.0945878912481675</v>
      </c>
      <c r="F61" s="33">
        <f t="shared" si="7"/>
        <v>151.97433311640307</v>
      </c>
      <c r="G61" s="33"/>
      <c r="H61" s="33">
        <f t="shared" si="11"/>
        <v>-135.7585512826176</v>
      </c>
      <c r="I61" s="33">
        <f t="shared" si="7"/>
        <v>37.19152554769567</v>
      </c>
      <c r="J61" s="34">
        <f t="shared" si="7"/>
        <v>-79.43847097953316</v>
      </c>
      <c r="K61" s="1"/>
      <c r="L61" s="1"/>
      <c r="M61" s="1"/>
    </row>
    <row r="62" ht="15" customHeight="1">
      <c r="A62" s="1"/>
      <c r="B62" s="4" t="s">
        <v>71</v>
      </c>
      <c r="C62" s="18"/>
      <c r="D62" s="18"/>
      <c r="E62" s="18"/>
      <c r="F62" s="18"/>
      <c r="G62" s="18"/>
      <c r="H62" s="18" t="s">
        <v>72</v>
      </c>
      <c r="I62" s="18" t="s">
        <v>72</v>
      </c>
      <c r="J62" s="32" t="s">
        <v>72</v>
      </c>
      <c r="K62" s="1" t="s">
        <v>73</v>
      </c>
      <c r="L62" s="1"/>
      <c r="M62" s="1"/>
    </row>
    <row r="63" ht="15" customHeight="1">
      <c r="A63" s="1"/>
      <c r="B63" s="4" t="s">
        <v>74</v>
      </c>
      <c r="C63" s="18"/>
      <c r="D63" s="18"/>
      <c r="E63" s="18"/>
      <c r="F63" s="18"/>
      <c r="G63" s="18"/>
      <c r="H63" s="18" t="s">
        <v>72</v>
      </c>
      <c r="I63" s="18" t="s">
        <v>72</v>
      </c>
      <c r="J63" s="32" t="s">
        <v>72</v>
      </c>
      <c r="K63" s="1" t="s">
        <v>73</v>
      </c>
      <c r="L63" s="1"/>
      <c r="M63" s="1"/>
    </row>
    <row r="64" ht="15" customHeight="1">
      <c r="A64" s="1"/>
      <c r="B64" s="4" t="s">
        <v>75</v>
      </c>
      <c r="C64" s="18"/>
      <c r="D64" s="18"/>
      <c r="E64" s="18"/>
      <c r="F64" s="18"/>
      <c r="G64" s="18"/>
      <c r="H64" s="18" t="str">
        <f t="shared" si="8"/>
        <v>n.a.</v>
      </c>
      <c r="I64" s="18" t="str">
        <f t="shared" si="8"/>
        <v>n.a.</v>
      </c>
      <c r="J64" s="32" t="str">
        <f t="shared" si="8"/>
        <v>n.a.</v>
      </c>
      <c r="K64" s="1" t="s">
        <v>76</v>
      </c>
      <c r="L64" s="1"/>
      <c r="M64" s="1"/>
    </row>
    <row r="65" ht="15" customHeight="1">
      <c r="A65" s="1"/>
      <c r="B65" s="1" t="s">
        <v>95</v>
      </c>
      <c r="C65" s="40" t="b">
        <f t="shared" si="19" ref="C65:J65">ABS(C47+C56-C38)&lt;=2</f>
        <v>1</v>
      </c>
      <c r="D65" s="40" t="b">
        <f t="shared" si="19"/>
        <v>1</v>
      </c>
      <c r="E65" s="40" t="b">
        <f t="shared" si="19"/>
        <v>1</v>
      </c>
      <c r="F65" s="40" t="b">
        <f t="shared" si="19"/>
        <v>1</v>
      </c>
      <c r="G65" s="40" t="b">
        <f>ABS(G47+G56-G38)&lt;=4</f>
        <v>1</v>
      </c>
      <c r="H65" s="40" t="b">
        <f t="shared" si="19"/>
        <v>1</v>
      </c>
      <c r="I65" s="40" t="b">
        <f t="shared" si="19"/>
        <v>1</v>
      </c>
      <c r="J65" s="41" t="b">
        <f t="shared" si="19"/>
        <v>1</v>
      </c>
      <c r="K65" s="1" t="s">
        <v>96</v>
      </c>
      <c r="L65" s="1"/>
      <c r="M65" s="1"/>
    </row>
    <row r="66" ht="15" customHeight="1">
      <c r="A66" s="1"/>
      <c r="B66" s="1" t="s">
        <v>97</v>
      </c>
      <c r="C66" s="16">
        <f>'Income Statement'!C12</f>
        <v>934</v>
      </c>
      <c r="D66" s="16">
        <f>'Income Statement'!D12</f>
        <v>872</v>
      </c>
      <c r="E66" s="16">
        <f>'Income Statement'!E12</f>
        <v>875</v>
      </c>
      <c r="F66" s="16">
        <f>'Income Statement'!F12</f>
        <v>852</v>
      </c>
      <c r="G66" s="16">
        <f>'Income Statement'!G12</f>
        <v>3533</v>
      </c>
      <c r="H66" s="16">
        <f>'Income Statement'!H12</f>
        <v>778</v>
      </c>
      <c r="I66" s="16">
        <f>'Income Statement'!I12</f>
        <v>715</v>
      </c>
      <c r="J66" s="31">
        <f>'Income Statement'!J12</f>
        <v>730</v>
      </c>
      <c r="K66" s="1" t="s">
        <v>98</v>
      </c>
      <c r="L66" s="1"/>
      <c r="M66" s="1"/>
    </row>
    <row r="67" ht="15" customHeight="1">
      <c r="A67" s="1"/>
      <c r="B67" s="4" t="s">
        <v>66</v>
      </c>
      <c r="C67" s="18"/>
      <c r="D67" s="18"/>
      <c r="E67" s="18"/>
      <c r="F67" s="18"/>
      <c r="G67" s="18"/>
      <c r="H67" s="18">
        <f t="shared" si="3"/>
        <v>-0.16702355460385443</v>
      </c>
      <c r="I67" s="18">
        <f t="shared" si="3"/>
        <v>-0.18004587155963303</v>
      </c>
      <c r="J67" s="32">
        <f t="shared" si="3"/>
        <v>-0.1657142857142857</v>
      </c>
      <c r="K67" s="1"/>
      <c r="L67" s="1"/>
      <c r="M67" s="1"/>
    </row>
    <row r="68" ht="15" customHeight="1">
      <c r="A68" s="1"/>
      <c r="B68" s="4" t="s">
        <v>67</v>
      </c>
      <c r="C68" s="18"/>
      <c r="D68" s="18">
        <f t="shared" si="4"/>
        <v>-0.06638115631691643</v>
      </c>
      <c r="E68" s="18">
        <f t="shared" si="4"/>
        <v>0.0034403669724769603</v>
      </c>
      <c r="F68" s="18">
        <f t="shared" si="4"/>
        <v>-0.026285714285714246</v>
      </c>
      <c r="G68" s="18"/>
      <c r="H68" s="18">
        <f t="shared" si="9"/>
        <v>-0.08685446009389675</v>
      </c>
      <c r="I68" s="18">
        <f t="shared" si="4"/>
        <v>-0.08097686375321334</v>
      </c>
      <c r="J68" s="32">
        <f t="shared" si="4"/>
        <v>0.020979020979021046</v>
      </c>
      <c r="K68" s="1"/>
      <c r="L68" s="1"/>
      <c r="M68" s="1"/>
    </row>
    <row r="69" ht="15" customHeight="1">
      <c r="A69" s="1"/>
      <c r="B69" s="4" t="s">
        <v>71</v>
      </c>
      <c r="C69" s="18"/>
      <c r="D69" s="18"/>
      <c r="E69" s="18"/>
      <c r="F69" s="18"/>
      <c r="G69" s="18"/>
      <c r="H69" s="18" t="s">
        <v>72</v>
      </c>
      <c r="I69" s="18" t="s">
        <v>72</v>
      </c>
      <c r="J69" s="32" t="s">
        <v>72</v>
      </c>
      <c r="K69" s="1" t="s">
        <v>73</v>
      </c>
      <c r="L69" s="1"/>
      <c r="M69" s="1"/>
    </row>
    <row r="70" ht="15" customHeight="1">
      <c r="A70" s="1"/>
      <c r="B70" s="4" t="s">
        <v>74</v>
      </c>
      <c r="C70" s="18"/>
      <c r="D70" s="18"/>
      <c r="E70" s="18"/>
      <c r="F70" s="18"/>
      <c r="G70" s="18"/>
      <c r="H70" s="18" t="s">
        <v>72</v>
      </c>
      <c r="I70" s="18" t="s">
        <v>72</v>
      </c>
      <c r="J70" s="32" t="s">
        <v>72</v>
      </c>
      <c r="K70" s="1" t="s">
        <v>73</v>
      </c>
      <c r="L70" s="1"/>
      <c r="M70" s="1"/>
    </row>
    <row r="71" ht="15" customHeight="1">
      <c r="A71" s="1"/>
      <c r="B71" s="4" t="s">
        <v>75</v>
      </c>
      <c r="C71" s="18"/>
      <c r="D71" s="18"/>
      <c r="E71" s="18"/>
      <c r="F71" s="18"/>
      <c r="G71" s="18"/>
      <c r="H71" s="18" t="str">
        <f t="shared" si="14"/>
        <v>n.a.</v>
      </c>
      <c r="I71" s="18" t="str">
        <f t="shared" si="14"/>
        <v>n.a.</v>
      </c>
      <c r="J71" s="32" t="str">
        <f t="shared" si="14"/>
        <v>n.a.</v>
      </c>
      <c r="K71" s="1" t="s">
        <v>76</v>
      </c>
      <c r="L71" s="1"/>
      <c r="M71" s="1"/>
    </row>
    <row r="72" ht="15" customHeight="1">
      <c r="A72" s="1"/>
      <c r="B72" s="3" t="s">
        <v>99</v>
      </c>
      <c r="C72" s="42">
        <f>'Income Statement'!C15</f>
        <v>9934</v>
      </c>
      <c r="D72" s="42">
        <f>'Income Statement'!D15</f>
        <v>11022</v>
      </c>
      <c r="E72" s="42">
        <f>'Income Statement'!E15</f>
        <v>12181</v>
      </c>
      <c r="F72" s="42">
        <f>'Income Statement'!F15</f>
        <v>12717</v>
      </c>
      <c r="G72" s="42">
        <f>'Income Statement'!G15</f>
        <v>45854</v>
      </c>
      <c r="H72" s="42">
        <f>'Income Statement'!H15</f>
        <v>12392</v>
      </c>
      <c r="I72" s="42">
        <f>'Income Statement'!I15</f>
        <v>13348</v>
      </c>
      <c r="J72" s="43">
        <f>'Income Statement'!J15</f>
        <v>13629.789999999999</v>
      </c>
      <c r="K72" s="1"/>
      <c r="L72" s="1"/>
      <c r="M72" s="1"/>
    </row>
    <row r="73" ht="15" customHeight="1">
      <c r="A73" s="1"/>
      <c r="B73" s="4" t="s">
        <v>66</v>
      </c>
      <c r="C73" s="18"/>
      <c r="D73" s="18"/>
      <c r="E73" s="18"/>
      <c r="F73" s="18"/>
      <c r="G73" s="18"/>
      <c r="H73" s="18">
        <f t="shared" si="3"/>
        <v>0.2474330581840145</v>
      </c>
      <c r="I73" s="18">
        <f t="shared" si="3"/>
        <v>0.21103248049355838</v>
      </c>
      <c r="J73" s="32">
        <f t="shared" si="3"/>
        <v>0.11893851079550122</v>
      </c>
      <c r="K73" s="1"/>
      <c r="L73" s="1"/>
      <c r="M73" s="1"/>
    </row>
    <row r="74" ht="15" customHeight="1">
      <c r="A74" s="1"/>
      <c r="B74" s="4" t="s">
        <v>67</v>
      </c>
      <c r="C74" s="18"/>
      <c r="D74" s="18">
        <f t="shared" si="4"/>
        <v>0.1095228508153816</v>
      </c>
      <c r="E74" s="18">
        <f t="shared" si="4"/>
        <v>0.10515332970422797</v>
      </c>
      <c r="F74" s="18">
        <f t="shared" si="4"/>
        <v>0.044002955422379086</v>
      </c>
      <c r="G74" s="18"/>
      <c r="H74" s="18">
        <f t="shared" si="9"/>
        <v>-0.02555634190453726</v>
      </c>
      <c r="I74" s="18">
        <f t="shared" si="4"/>
        <v>0.07714654615881211</v>
      </c>
      <c r="J74" s="32">
        <f t="shared" si="4"/>
        <v>0.0211110278693436</v>
      </c>
      <c r="K74" s="1"/>
      <c r="L74" s="1"/>
      <c r="M74" s="1"/>
    </row>
    <row r="75" ht="15" customHeight="1">
      <c r="A75" s="1"/>
      <c r="B75" s="4" t="s">
        <v>71</v>
      </c>
      <c r="C75" s="18"/>
      <c r="D75" s="18"/>
      <c r="E75" s="18"/>
      <c r="F75" s="18"/>
      <c r="G75" s="18"/>
      <c r="H75" s="18" t="s">
        <v>72</v>
      </c>
      <c r="I75" s="18" t="s">
        <v>72</v>
      </c>
      <c r="J75" s="32" t="s">
        <v>72</v>
      </c>
      <c r="K75" s="1" t="s">
        <v>73</v>
      </c>
      <c r="L75" s="1"/>
      <c r="M75" s="1"/>
    </row>
    <row r="76" ht="15" customHeight="1">
      <c r="A76" s="1"/>
      <c r="B76" s="4" t="s">
        <v>74</v>
      </c>
      <c r="C76" s="18"/>
      <c r="D76" s="18"/>
      <c r="E76" s="18"/>
      <c r="F76" s="18"/>
      <c r="G76" s="18"/>
      <c r="H76" s="18" t="s">
        <v>72</v>
      </c>
      <c r="I76" s="18" t="s">
        <v>72</v>
      </c>
      <c r="J76" s="32" t="s">
        <v>72</v>
      </c>
      <c r="K76" s="1" t="s">
        <v>73</v>
      </c>
      <c r="L76" s="1"/>
      <c r="M76" s="1"/>
    </row>
    <row r="77" ht="15" customHeight="1">
      <c r="A77" s="1"/>
      <c r="B77" s="4" t="s">
        <v>75</v>
      </c>
      <c r="C77" s="18"/>
      <c r="D77" s="18"/>
      <c r="E77" s="18"/>
      <c r="F77" s="18"/>
      <c r="G77" s="18"/>
      <c r="H77" s="18" t="str">
        <f t="shared" si="14"/>
        <v>n.a.</v>
      </c>
      <c r="I77" s="18" t="str">
        <f t="shared" si="14"/>
        <v>n.a.</v>
      </c>
      <c r="J77" s="32" t="str">
        <f t="shared" si="14"/>
        <v>n.a.</v>
      </c>
      <c r="K77" s="1" t="s">
        <v>76</v>
      </c>
      <c r="L77" s="1"/>
      <c r="M77" s="1"/>
    </row>
    <row r="78" ht="15" customHeight="1">
      <c r="A78" s="1"/>
      <c r="B78" s="1" t="s">
        <v>100</v>
      </c>
      <c r="C78" s="1"/>
      <c r="D78" s="1"/>
      <c r="E78" s="1"/>
      <c r="F78" s="1"/>
      <c r="G78" s="1"/>
      <c r="H78" s="1"/>
      <c r="I78" s="1"/>
      <c r="J78" s="27"/>
      <c r="K78" s="1" t="s">
        <v>101</v>
      </c>
      <c r="L78" s="1"/>
      <c r="M78" s="1"/>
    </row>
    <row r="79" ht="15" customHeight="1">
      <c r="A79" s="1"/>
      <c r="B79" s="28" t="s">
        <v>102</v>
      </c>
      <c r="C79" s="29"/>
      <c r="D79" s="29"/>
      <c r="E79" s="29"/>
      <c r="F79" s="29"/>
      <c r="G79" s="29"/>
      <c r="H79" s="29"/>
      <c r="I79" s="29"/>
      <c r="J79" s="30"/>
      <c r="K79" s="29"/>
      <c r="L79" s="1"/>
      <c r="M79" s="1"/>
    </row>
    <row r="80" ht="15" customHeight="1">
      <c r="A80" s="1"/>
      <c r="B80" s="1" t="s">
        <v>103</v>
      </c>
      <c r="C80" s="16">
        <f>'Segment - CES'!C92</f>
        <v>1910</v>
      </c>
      <c r="D80" s="16">
        <f>'Segment - CES'!D92</f>
        <v>2208</v>
      </c>
      <c r="E80" s="16">
        <f>'Segment - CES'!E92</f>
        <v>2384</v>
      </c>
      <c r="F80" s="16">
        <f>'Segment - CES'!F92</f>
        <v>2160</v>
      </c>
      <c r="G80" s="16">
        <f>'Segment - CES'!G92</f>
        <v>8662</v>
      </c>
      <c r="H80" s="16">
        <f>'Segment - CES'!H92</f>
        <v>2356</v>
      </c>
      <c r="I80" s="16">
        <f>'Segment - CES'!I92</f>
        <v>2657</v>
      </c>
      <c r="J80" s="31">
        <f>'Segment - CES'!J92</f>
        <v>2723.29696</v>
      </c>
      <c r="K80" s="1"/>
      <c r="L80" s="1"/>
      <c r="M80" s="1"/>
    </row>
    <row r="81" ht="15" customHeight="1">
      <c r="A81" s="1"/>
      <c r="B81" s="4" t="s">
        <v>104</v>
      </c>
      <c r="C81" s="18"/>
      <c r="D81" s="18"/>
      <c r="E81" s="18"/>
      <c r="F81" s="18"/>
      <c r="G81" s="18"/>
      <c r="H81" s="18">
        <f t="shared" si="3"/>
        <v>0.2335078534031414</v>
      </c>
      <c r="I81" s="18">
        <f t="shared" si="3"/>
        <v>0.2033514492753623</v>
      </c>
      <c r="J81" s="32">
        <f t="shared" si="3"/>
        <v>0.1423225503355705</v>
      </c>
      <c r="K81" s="1"/>
      <c r="L81" s="1"/>
      <c r="M81" s="1"/>
    </row>
    <row r="82" ht="15" customHeight="1">
      <c r="A82" s="1"/>
      <c r="B82" s="4" t="s">
        <v>67</v>
      </c>
      <c r="C82" s="18"/>
      <c r="D82" s="18">
        <f t="shared" si="4"/>
        <v>0.15602094240837694</v>
      </c>
      <c r="E82" s="18">
        <f t="shared" si="4"/>
        <v>0.07971014492753614</v>
      </c>
      <c r="F82" s="18">
        <f t="shared" si="4"/>
        <v>-0.09395973154362414</v>
      </c>
      <c r="G82" s="18"/>
      <c r="H82" s="18">
        <f t="shared" si="9"/>
        <v>0.09074074074074079</v>
      </c>
      <c r="I82" s="18">
        <f t="shared" si="4"/>
        <v>0.12775891341256362</v>
      </c>
      <c r="J82" s="32">
        <f t="shared" si="4"/>
        <v>0.024951810312382472</v>
      </c>
      <c r="K82" s="1"/>
      <c r="L82" s="1"/>
      <c r="M82" s="1"/>
    </row>
    <row r="83" ht="15" customHeight="1">
      <c r="A83" s="1"/>
      <c r="B83" s="4" t="s">
        <v>105</v>
      </c>
      <c r="C83" s="44">
        <f>'Segment - CES'!C95</f>
        <v>0.28661464585834334</v>
      </c>
      <c r="D83" s="44">
        <f>'Segment - CES'!D95</f>
        <v>0.28877844624640336</v>
      </c>
      <c r="E83" s="44">
        <f>'Segment - CES'!E95</f>
        <v>0.2797793686187067</v>
      </c>
      <c r="F83" s="44">
        <f>'Segment - CES'!F95</f>
        <v>0.23689405571397237</v>
      </c>
      <c r="G83" s="44">
        <f>'Segment - CES'!G95</f>
        <v>0.27111959685749165</v>
      </c>
      <c r="H83" s="44">
        <f>'Segment - CES'!H95</f>
        <v>0.2641551743468999</v>
      </c>
      <c r="I83" s="44">
        <f>'Segment - CES'!I95</f>
        <v>0.2730449080258966</v>
      </c>
      <c r="J83" s="45">
        <f>'Segment - CES'!J95</f>
        <v>0.274</v>
      </c>
      <c r="K83" s="1"/>
      <c r="L83" s="1"/>
      <c r="M83" s="1"/>
    </row>
    <row r="84" ht="15" customHeight="1">
      <c r="A84" s="1"/>
      <c r="B84" s="1" t="s">
        <v>106</v>
      </c>
      <c r="C84" s="33"/>
      <c r="D84" s="33"/>
      <c r="E84" s="33"/>
      <c r="F84" s="33"/>
      <c r="G84" s="33"/>
      <c r="H84" s="33">
        <f t="shared" si="6"/>
        <v>-224.5947151144345</v>
      </c>
      <c r="I84" s="33">
        <f t="shared" si="6"/>
        <v>-157.3353822050677</v>
      </c>
      <c r="J84" s="34">
        <f t="shared" si="6"/>
        <v>-57.79368618706704</v>
      </c>
      <c r="K84" s="1"/>
      <c r="L84" s="1"/>
      <c r="M84" s="1"/>
    </row>
    <row r="85" ht="15" customHeight="1">
      <c r="A85" s="1"/>
      <c r="B85" s="1" t="s">
        <v>107</v>
      </c>
      <c r="C85" s="33"/>
      <c r="D85" s="33">
        <f t="shared" si="7"/>
        <v>21.63800388060022</v>
      </c>
      <c r="E85" s="33">
        <f t="shared" si="7"/>
        <v>-89.99077627696639</v>
      </c>
      <c r="F85" s="33">
        <f t="shared" si="7"/>
        <v>-428.85312904734354</v>
      </c>
      <c r="G85" s="33"/>
      <c r="H85" s="33">
        <f t="shared" si="11"/>
        <v>272.61118632927514</v>
      </c>
      <c r="I85" s="33">
        <f t="shared" si="7"/>
        <v>88.89733678996703</v>
      </c>
      <c r="J85" s="34">
        <f t="shared" si="7"/>
        <v>9.550919741034281</v>
      </c>
      <c r="K85" s="1"/>
      <c r="L85" s="1"/>
      <c r="M85" s="1"/>
    </row>
    <row r="86" ht="15" customHeight="1">
      <c r="A86" s="1"/>
      <c r="B86" s="1" t="s">
        <v>108</v>
      </c>
      <c r="C86" s="16">
        <f>'Segment - DPT'!C92</f>
        <v>325</v>
      </c>
      <c r="D86" s="16">
        <f>'Segment - DPT'!D92</f>
        <v>403</v>
      </c>
      <c r="E86" s="16">
        <f>'Segment - DPT'!E92</f>
        <v>440</v>
      </c>
      <c r="F86" s="16">
        <f>'Segment - DPT'!F92</f>
        <v>300</v>
      </c>
      <c r="G86" s="16">
        <f>'Segment - DPT'!G92</f>
        <v>1468</v>
      </c>
      <c r="H86" s="16">
        <f>'Segment - DPT'!H92</f>
        <v>379</v>
      </c>
      <c r="I86" s="16">
        <f>'Segment - DPT'!I92</f>
        <v>475</v>
      </c>
      <c r="J86" s="31">
        <f>'Segment - DPT'!J92</f>
        <v>478.14200000000005</v>
      </c>
      <c r="K86" s="1"/>
      <c r="L86" s="1"/>
      <c r="M86" s="1"/>
    </row>
    <row r="87" ht="15" customHeight="1">
      <c r="A87" s="1"/>
      <c r="B87" s="4" t="s">
        <v>104</v>
      </c>
      <c r="C87" s="18"/>
      <c r="D87" s="18"/>
      <c r="E87" s="18"/>
      <c r="F87" s="18"/>
      <c r="G87" s="18"/>
      <c r="H87" s="18">
        <f t="shared" si="3"/>
        <v>0.1661538461538461</v>
      </c>
      <c r="I87" s="18">
        <f t="shared" si="3"/>
        <v>0.17866004962779147</v>
      </c>
      <c r="J87" s="32">
        <f t="shared" si="3"/>
        <v>0.08668636363636373</v>
      </c>
      <c r="K87" s="1"/>
      <c r="L87" s="1"/>
      <c r="M87" s="1"/>
    </row>
    <row r="88" ht="15" customHeight="1">
      <c r="A88" s="1"/>
      <c r="B88" s="4" t="s">
        <v>67</v>
      </c>
      <c r="C88" s="18"/>
      <c r="D88" s="18">
        <f t="shared" si="4"/>
        <v>0.24</v>
      </c>
      <c r="E88" s="18">
        <f t="shared" si="4"/>
        <v>0.09181141439205964</v>
      </c>
      <c r="F88" s="18">
        <f t="shared" si="4"/>
        <v>-0.31818181818181823</v>
      </c>
      <c r="G88" s="18"/>
      <c r="H88" s="18">
        <f t="shared" si="9"/>
        <v>0.2633333333333334</v>
      </c>
      <c r="I88" s="18">
        <f t="shared" si="4"/>
        <v>0.2532981530343008</v>
      </c>
      <c r="J88" s="32">
        <f t="shared" si="4"/>
        <v>0.006614736842105451</v>
      </c>
      <c r="K88" s="1"/>
      <c r="L88" s="1"/>
      <c r="M88" s="1"/>
    </row>
    <row r="89" ht="15" customHeight="1">
      <c r="A89" s="1"/>
      <c r="B89" s="4" t="s">
        <v>109</v>
      </c>
      <c r="C89" s="44">
        <f>'Segment - DPT'!C95</f>
        <v>0.12045959970348406</v>
      </c>
      <c r="D89" s="44">
        <f>'Segment - DPT'!D95</f>
        <v>0.1353257219610477</v>
      </c>
      <c r="E89" s="44">
        <f>'Segment - DPT'!E95</f>
        <v>0.13534297139341742</v>
      </c>
      <c r="F89" s="44">
        <f>'Segment - DPT'!F95</f>
        <v>0.09174311926605505</v>
      </c>
      <c r="G89" s="44">
        <f>'Segment - DPT'!G95</f>
        <v>0.12035746495039763</v>
      </c>
      <c r="H89" s="44">
        <f>'Segment - DPT'!H95</f>
        <v>0.1179215930304916</v>
      </c>
      <c r="I89" s="44">
        <f>'Segment - DPT'!I95</f>
        <v>0.13796108045309324</v>
      </c>
      <c r="J89" s="45">
        <f>'Segment - DPT'!J95</f>
        <v>0.136</v>
      </c>
      <c r="K89" s="1"/>
      <c r="L89" s="1"/>
      <c r="M89" s="1"/>
    </row>
    <row r="90" ht="15" customHeight="1">
      <c r="A90" s="1"/>
      <c r="B90" s="1" t="s">
        <v>106</v>
      </c>
      <c r="C90" s="33"/>
      <c r="D90" s="33"/>
      <c r="E90" s="33"/>
      <c r="F90" s="33"/>
      <c r="G90" s="33"/>
      <c r="H90" s="33">
        <f t="shared" si="6"/>
        <v>-25.38006672992463</v>
      </c>
      <c r="I90" s="33">
        <f t="shared" si="6"/>
        <v>26.353584920455475</v>
      </c>
      <c r="J90" s="34">
        <f t="shared" si="6"/>
        <v>6.570286065825936</v>
      </c>
      <c r="K90" s="1"/>
      <c r="L90" s="1"/>
      <c r="M90" s="1"/>
    </row>
    <row r="91" ht="15" customHeight="1">
      <c r="A91" s="1"/>
      <c r="B91" s="1" t="s">
        <v>107</v>
      </c>
      <c r="C91" s="33"/>
      <c r="D91" s="33">
        <f t="shared" si="7"/>
        <v>148.66122257563632</v>
      </c>
      <c r="E91" s="33">
        <f t="shared" si="7"/>
        <v>0.1724943236972032</v>
      </c>
      <c r="F91" s="33">
        <f t="shared" si="7"/>
        <v>-435.9985212736236</v>
      </c>
      <c r="G91" s="33"/>
      <c r="H91" s="33">
        <f t="shared" si="11"/>
        <v>261.7847376443655</v>
      </c>
      <c r="I91" s="33">
        <f t="shared" si="7"/>
        <v>200.39487422601644</v>
      </c>
      <c r="J91" s="34">
        <f t="shared" si="7"/>
        <v>-19.610804530932334</v>
      </c>
      <c r="K91" s="1"/>
      <c r="L91" s="1"/>
      <c r="M91" s="1"/>
    </row>
    <row r="92" ht="15" customHeight="1">
      <c r="A92" s="1"/>
      <c r="B92" s="1" t="s">
        <v>110</v>
      </c>
      <c r="C92" s="35">
        <v>-89</v>
      </c>
      <c r="D92" s="35">
        <v>-274</v>
      </c>
      <c r="E92" s="35">
        <v>-525</v>
      </c>
      <c r="F92" s="35">
        <v>-187</v>
      </c>
      <c r="G92" s="17">
        <f t="shared" si="15"/>
        <v>-1075</v>
      </c>
      <c r="H92" s="35">
        <v>-206</v>
      </c>
      <c r="I92" s="35">
        <v>-386</v>
      </c>
      <c r="J92" s="36">
        <v>-360</v>
      </c>
      <c r="K92" s="1" t="s">
        <v>111</v>
      </c>
      <c r="L92" s="1"/>
      <c r="M92" s="1"/>
    </row>
    <row r="93" ht="15" customHeight="1">
      <c r="A93" s="1"/>
      <c r="B93" s="1" t="s">
        <v>112</v>
      </c>
      <c r="C93" s="17"/>
      <c r="D93" s="17"/>
      <c r="E93" s="17"/>
      <c r="F93" s="17"/>
      <c r="G93" s="17"/>
      <c r="H93" s="17">
        <f t="shared" si="20" ref="H93:J93">IF(AND(ISNUMBER(H92),ISNUMBER(C92)),H92-C92,"")</f>
        <v>-117</v>
      </c>
      <c r="I93" s="17">
        <f t="shared" si="20"/>
        <v>-112</v>
      </c>
      <c r="J93" s="37">
        <f t="shared" si="20"/>
        <v>165</v>
      </c>
      <c r="K93" s="1"/>
      <c r="L93" s="1"/>
      <c r="M93" s="1"/>
    </row>
    <row r="94" ht="15" customHeight="1">
      <c r="A94" s="1"/>
      <c r="B94" s="1" t="s">
        <v>113</v>
      </c>
      <c r="C94" s="17"/>
      <c r="D94" s="17">
        <f t="shared" si="21" ref="D94:J94">IF(AND(ISNUMBER(D92),ISNUMBER(C92)),D92-C92,"")</f>
        <v>-185</v>
      </c>
      <c r="E94" s="17">
        <f t="shared" si="21"/>
        <v>-251</v>
      </c>
      <c r="F94" s="17">
        <f t="shared" si="21"/>
        <v>338</v>
      </c>
      <c r="G94" s="17"/>
      <c r="H94" s="17">
        <f>IF(AND(ISNUMBER(H92),ISNUMBER(F92)),H92-F92,"")</f>
        <v>-19</v>
      </c>
      <c r="I94" s="17">
        <f t="shared" si="21"/>
        <v>-180</v>
      </c>
      <c r="J94" s="37">
        <f t="shared" si="21"/>
        <v>26</v>
      </c>
      <c r="K94" s="1"/>
      <c r="L94" s="1"/>
      <c r="M94" s="1"/>
    </row>
    <row r="95" ht="15" customHeight="1">
      <c r="A95" s="1"/>
      <c r="B95" s="4" t="s">
        <v>92</v>
      </c>
      <c r="C95" s="18">
        <f t="shared" si="22" ref="C95:J95">_xlfn.IFERROR(C92/C38,"")</f>
        <v>-0.009887790245528275</v>
      </c>
      <c r="D95" s="18">
        <f t="shared" si="22"/>
        <v>-0.026992414540439366</v>
      </c>
      <c r="E95" s="18">
        <f t="shared" si="22"/>
        <v>-0.04643552096232089</v>
      </c>
      <c r="F95" s="18">
        <f t="shared" si="22"/>
        <v>-0.015759312320916905</v>
      </c>
      <c r="G95" s="18">
        <f t="shared" si="22"/>
        <v>-0.025399300633210473</v>
      </c>
      <c r="H95" s="18">
        <f t="shared" si="22"/>
        <v>-0.017737213707594283</v>
      </c>
      <c r="I95" s="18">
        <f t="shared" si="22"/>
        <v>-0.030552477441823652</v>
      </c>
      <c r="J95" s="32">
        <f t="shared" si="22"/>
        <v>-0.02790743105120316</v>
      </c>
      <c r="K95" s="1"/>
      <c r="L95" s="1"/>
      <c r="M95" s="1"/>
    </row>
    <row r="96" ht="15" customHeight="1">
      <c r="A96" s="1"/>
      <c r="B96" s="1" t="s">
        <v>106</v>
      </c>
      <c r="C96" s="33"/>
      <c r="D96" s="33"/>
      <c r="E96" s="33"/>
      <c r="F96" s="33"/>
      <c r="G96" s="33"/>
      <c r="H96" s="33">
        <f t="shared" si="6"/>
        <v>-78.49423462066008</v>
      </c>
      <c r="I96" s="33">
        <f t="shared" si="6"/>
        <v>-35.60062901384286</v>
      </c>
      <c r="J96" s="34">
        <f t="shared" si="6"/>
        <v>185.28089911117732</v>
      </c>
      <c r="K96" s="1"/>
      <c r="L96" s="1"/>
      <c r="M96" s="1"/>
    </row>
    <row r="97" ht="15" customHeight="1">
      <c r="A97" s="1"/>
      <c r="B97" s="1" t="s">
        <v>107</v>
      </c>
      <c r="C97" s="33"/>
      <c r="D97" s="33">
        <f t="shared" si="7"/>
        <v>-171.0462429491109</v>
      </c>
      <c r="E97" s="33">
        <f t="shared" si="7"/>
        <v>-194.43106421881524</v>
      </c>
      <c r="F97" s="33">
        <f t="shared" si="7"/>
        <v>306.76208641403986</v>
      </c>
      <c r="G97" s="33"/>
      <c r="H97" s="33">
        <f t="shared" si="11"/>
        <v>-19.779013866773784</v>
      </c>
      <c r="I97" s="33">
        <f t="shared" si="7"/>
        <v>-128.15263734229367</v>
      </c>
      <c r="J97" s="34">
        <f t="shared" si="7"/>
        <v>26.450463906204924</v>
      </c>
      <c r="K97" s="1"/>
      <c r="L97" s="1"/>
      <c r="M97" s="1"/>
    </row>
    <row r="98" ht="15" customHeight="1">
      <c r="A98" s="1"/>
      <c r="B98" s="3" t="s">
        <v>114</v>
      </c>
      <c r="C98" s="38">
        <f t="shared" si="23" ref="C98:J98">C80+C86+C92</f>
        <v>2146</v>
      </c>
      <c r="D98" s="38">
        <f t="shared" si="23"/>
        <v>2337</v>
      </c>
      <c r="E98" s="38">
        <f t="shared" si="23"/>
        <v>2299</v>
      </c>
      <c r="F98" s="38">
        <f t="shared" si="23"/>
        <v>2273</v>
      </c>
      <c r="G98" s="38">
        <f t="shared" si="23"/>
        <v>9055</v>
      </c>
      <c r="H98" s="38">
        <f t="shared" si="23"/>
        <v>2529</v>
      </c>
      <c r="I98" s="38">
        <f t="shared" si="23"/>
        <v>2746</v>
      </c>
      <c r="J98" s="39">
        <f t="shared" si="23"/>
        <v>2841.4389600000004</v>
      </c>
      <c r="K98" s="1"/>
      <c r="L98" s="1"/>
      <c r="M98" s="1"/>
    </row>
    <row r="99" ht="15" customHeight="1">
      <c r="A99" s="1"/>
      <c r="B99" s="4" t="s">
        <v>104</v>
      </c>
      <c r="C99" s="18"/>
      <c r="D99" s="18"/>
      <c r="E99" s="18"/>
      <c r="F99" s="18"/>
      <c r="G99" s="18"/>
      <c r="H99" s="18">
        <f t="shared" si="3"/>
        <v>0.17847157502329924</v>
      </c>
      <c r="I99" s="18">
        <f t="shared" si="3"/>
        <v>0.17501069747539577</v>
      </c>
      <c r="J99" s="32">
        <f t="shared" si="3"/>
        <v>0.23594561113527646</v>
      </c>
      <c r="K99" s="1"/>
      <c r="L99" s="1"/>
      <c r="M99" s="1"/>
    </row>
    <row r="100" ht="15" customHeight="1">
      <c r="A100" s="1"/>
      <c r="B100" s="4" t="s">
        <v>67</v>
      </c>
      <c r="C100" s="18"/>
      <c r="D100" s="18">
        <f t="shared" si="4"/>
        <v>0.08900279589934756</v>
      </c>
      <c r="E100" s="18">
        <f t="shared" si="4"/>
        <v>-0.016260162601625994</v>
      </c>
      <c r="F100" s="18">
        <f t="shared" si="4"/>
        <v>-0.011309264897781612</v>
      </c>
      <c r="G100" s="18"/>
      <c r="H100" s="18">
        <f t="shared" si="9"/>
        <v>0.11262648482182147</v>
      </c>
      <c r="I100" s="18">
        <f t="shared" si="4"/>
        <v>0.08580466587584024</v>
      </c>
      <c r="J100" s="32">
        <f t="shared" si="4"/>
        <v>0.034755630007283544</v>
      </c>
      <c r="K100" s="1"/>
      <c r="L100" s="1"/>
      <c r="M100" s="1"/>
    </row>
    <row r="101" ht="15" customHeight="1">
      <c r="A101" s="1"/>
      <c r="B101" s="4" t="s">
        <v>115</v>
      </c>
      <c r="C101" s="18">
        <f t="shared" si="24" ref="C101:J101">_xlfn.IFERROR(C98/C38,"")</f>
        <v>0.2384179535607155</v>
      </c>
      <c r="D101" s="18">
        <f t="shared" si="24"/>
        <v>0.23022362328834597</v>
      </c>
      <c r="E101" s="18">
        <f t="shared" si="24"/>
        <v>0.20334335750928711</v>
      </c>
      <c r="F101" s="18">
        <f t="shared" si="24"/>
        <v>0.19155570537670655</v>
      </c>
      <c r="G101" s="18">
        <f t="shared" si="24"/>
        <v>0.21394480672904262</v>
      </c>
      <c r="H101" s="18">
        <f t="shared" si="24"/>
        <v>0.2177544343034269</v>
      </c>
      <c r="I101" s="18">
        <f t="shared" si="24"/>
        <v>0.2173500079151496</v>
      </c>
      <c r="J101" s="32">
        <f t="shared" si="24"/>
        <v>0.22027017184000675</v>
      </c>
      <c r="K101" s="1" t="s">
        <v>116</v>
      </c>
      <c r="L101" s="1"/>
      <c r="M101" s="1"/>
    </row>
    <row r="102" ht="15" customHeight="1">
      <c r="A102" s="1"/>
      <c r="B102" s="1" t="s">
        <v>106</v>
      </c>
      <c r="C102" s="33"/>
      <c r="D102" s="33"/>
      <c r="E102" s="33"/>
      <c r="F102" s="33"/>
      <c r="G102" s="33"/>
      <c r="H102" s="33">
        <f t="shared" si="6"/>
        <v>-206.63519257288598</v>
      </c>
      <c r="I102" s="33">
        <f t="shared" si="6"/>
        <v>-128.73615373196367</v>
      </c>
      <c r="J102" s="34">
        <f t="shared" si="6"/>
        <v>169.2681433071963</v>
      </c>
      <c r="K102" s="1"/>
      <c r="L102" s="1"/>
      <c r="M102" s="1"/>
    </row>
    <row r="103" ht="15" customHeight="1">
      <c r="A103" s="1"/>
      <c r="B103" s="1" t="s">
        <v>107</v>
      </c>
      <c r="C103" s="33"/>
      <c r="D103" s="33">
        <f t="shared" si="7"/>
        <v>-81.94330272369515</v>
      </c>
      <c r="E103" s="33">
        <f t="shared" si="7"/>
        <v>-268.80265779058857</v>
      </c>
      <c r="F103" s="33">
        <f t="shared" si="7"/>
        <v>-117.87652132580567</v>
      </c>
      <c r="G103" s="33"/>
      <c r="H103" s="33">
        <f t="shared" si="11"/>
        <v>261.98728926720344</v>
      </c>
      <c r="I103" s="33">
        <f t="shared" si="7"/>
        <v>-4.044263882772848</v>
      </c>
      <c r="J103" s="34">
        <f t="shared" si="7"/>
        <v>29.201639248571386</v>
      </c>
      <c r="K103" s="1"/>
      <c r="L103" s="1"/>
      <c r="M103" s="1"/>
    </row>
    <row r="104" ht="15" customHeight="1">
      <c r="A104" s="1"/>
      <c r="B104" s="1" t="s">
        <v>117</v>
      </c>
      <c r="C104" s="35">
        <v>2146</v>
      </c>
      <c r="D104" s="35">
        <v>2337</v>
      </c>
      <c r="E104" s="35">
        <v>2299</v>
      </c>
      <c r="F104" s="35">
        <v>2273</v>
      </c>
      <c r="G104" s="35">
        <v>9055</v>
      </c>
      <c r="H104" s="35">
        <v>2528</v>
      </c>
      <c r="I104" s="35">
        <v>2746</v>
      </c>
      <c r="J104" s="37"/>
      <c r="K104" s="1"/>
      <c r="L104" s="1"/>
      <c r="M104" s="1"/>
    </row>
    <row r="105" ht="15" customHeight="1">
      <c r="A105" s="1"/>
      <c r="B105" s="1" t="s">
        <v>118</v>
      </c>
      <c r="C105" s="40" t="b">
        <f t="shared" si="16"/>
        <v>1</v>
      </c>
      <c r="D105" s="40" t="b">
        <f t="shared" si="16"/>
        <v>1</v>
      </c>
      <c r="E105" s="40" t="b">
        <f t="shared" si="16"/>
        <v>1</v>
      </c>
      <c r="F105" s="40" t="b">
        <f t="shared" si="16"/>
        <v>1</v>
      </c>
      <c r="G105" s="40" t="b">
        <f t="shared" si="16"/>
        <v>1</v>
      </c>
      <c r="H105" s="40" t="b">
        <f t="shared" si="16"/>
        <v>1</v>
      </c>
      <c r="I105" s="40" t="b">
        <f t="shared" si="16"/>
        <v>1</v>
      </c>
      <c r="J105" s="27"/>
      <c r="K105" s="1" t="s">
        <v>119</v>
      </c>
      <c r="L105" s="1"/>
      <c r="M105" s="1"/>
    </row>
    <row r="106" ht="1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ht="1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ht="1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469A451-EDC8-DE02-19B8-440E4D1E3A66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46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120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52</v>
      </c>
      <c r="C5" s="6" t="s">
        <v>53</v>
      </c>
      <c r="D5" s="6" t="s">
        <v>54</v>
      </c>
      <c r="E5" s="6" t="s">
        <v>55</v>
      </c>
      <c r="F5" s="6" t="s">
        <v>56</v>
      </c>
      <c r="G5" s="6" t="s">
        <v>57</v>
      </c>
      <c r="H5" s="6" t="s">
        <v>58</v>
      </c>
      <c r="I5" s="6" t="s">
        <v>59</v>
      </c>
      <c r="J5" s="26" t="s">
        <v>60</v>
      </c>
      <c r="K5" s="5" t="s">
        <v>3</v>
      </c>
      <c r="L5" s="1"/>
      <c r="M5" s="1"/>
    </row>
    <row r="6" ht="15" customHeight="1">
      <c r="A6" s="1"/>
      <c r="B6" s="8" t="s">
        <v>61</v>
      </c>
      <c r="C6" s="9">
        <f>DATE(2025,3,31)</f>
        <v>45747</v>
      </c>
      <c r="D6" s="9">
        <f>DATE(2025,6,30)</f>
        <v>45838</v>
      </c>
      <c r="E6" s="9">
        <f>DATE(2025,9,30)</f>
        <v>45930</v>
      </c>
      <c r="F6" s="9">
        <f t="shared" si="0" ref="F6:G6">DATE(2025,12,31)</f>
        <v>46022</v>
      </c>
      <c r="G6" s="9">
        <f t="shared" si="0"/>
        <v>46022</v>
      </c>
      <c r="H6" s="9">
        <f>DATE(2026,3,31)</f>
        <v>46112</v>
      </c>
      <c r="I6" s="9">
        <f>DATE(2026,6,30)</f>
        <v>46203</v>
      </c>
      <c r="J6" s="9">
        <f>DATE(2026,9,30)</f>
        <v>46295</v>
      </c>
      <c r="K6" s="8"/>
      <c r="L6" s="1"/>
      <c r="M6" s="1"/>
    </row>
    <row r="7" ht="15" customHeight="1">
      <c r="A7" s="1"/>
      <c r="B7" s="10" t="s">
        <v>62</v>
      </c>
      <c r="C7" s="11">
        <f t="shared" si="2" ref="C7:G7">C6-DATE(2024,12,31)</f>
        <v>90</v>
      </c>
      <c r="D7" s="11">
        <f t="shared" si="1" ref="D7:J7">D6-C6</f>
        <v>91</v>
      </c>
      <c r="E7" s="11">
        <f t="shared" si="1"/>
        <v>92</v>
      </c>
      <c r="F7" s="11">
        <f t="shared" si="1"/>
        <v>92</v>
      </c>
      <c r="G7" s="11">
        <f t="shared" si="2"/>
        <v>365</v>
      </c>
      <c r="H7" s="11">
        <f>H6-F6</f>
        <v>90</v>
      </c>
      <c r="I7" s="11">
        <f t="shared" si="1"/>
        <v>91</v>
      </c>
      <c r="J7" s="11">
        <f t="shared" si="1"/>
        <v>92</v>
      </c>
      <c r="K7" s="10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27"/>
      <c r="K8" s="1"/>
      <c r="L8" s="1"/>
      <c r="M8" s="1"/>
    </row>
    <row r="9" ht="15" customHeight="1">
      <c r="A9" s="1"/>
      <c r="B9" s="28" t="s">
        <v>121</v>
      </c>
      <c r="C9" s="29"/>
      <c r="D9" s="29"/>
      <c r="E9" s="29"/>
      <c r="F9" s="29"/>
      <c r="G9" s="29"/>
      <c r="H9" s="29"/>
      <c r="I9" s="29"/>
      <c r="J9" s="30"/>
      <c r="K9" s="29"/>
      <c r="L9" s="1"/>
      <c r="M9" s="1"/>
    </row>
    <row r="10" ht="15" customHeight="1">
      <c r="A10" s="1"/>
      <c r="B10" s="1" t="s">
        <v>122</v>
      </c>
      <c r="C10" s="46">
        <v>426</v>
      </c>
      <c r="D10" s="46">
        <v>525</v>
      </c>
      <c r="E10" s="46">
        <v>641</v>
      </c>
      <c r="F10" s="46">
        <v>700</v>
      </c>
      <c r="G10" s="33">
        <f t="shared" si="12" ref="G10:G92">SUM(C10:F10)</f>
        <v>2292</v>
      </c>
      <c r="H10" s="46">
        <v>640</v>
      </c>
      <c r="I10" s="46">
        <v>659</v>
      </c>
      <c r="J10" s="47">
        <v>690</v>
      </c>
      <c r="K10" s="1" t="s">
        <v>123</v>
      </c>
      <c r="L10" s="1"/>
      <c r="M10" s="1"/>
    </row>
    <row r="11" ht="15" customHeight="1">
      <c r="A11" s="1"/>
      <c r="B11" s="1" t="s">
        <v>112</v>
      </c>
      <c r="C11" s="33"/>
      <c r="D11" s="33"/>
      <c r="E11" s="33"/>
      <c r="F11" s="33"/>
      <c r="G11" s="33"/>
      <c r="H11" s="33">
        <f t="shared" si="3" ref="H11:J71">IF(AND(ISNUMBER(H10),ISNUMBER(C10)),H10-C10,"")</f>
        <v>214</v>
      </c>
      <c r="I11" s="33">
        <f t="shared" si="3"/>
        <v>134</v>
      </c>
      <c r="J11" s="34">
        <f t="shared" si="3"/>
        <v>49</v>
      </c>
      <c r="K11" s="1"/>
      <c r="L11" s="1"/>
      <c r="M11" s="1"/>
    </row>
    <row r="12" ht="15" customHeight="1">
      <c r="A12" s="1"/>
      <c r="B12" s="1" t="s">
        <v>113</v>
      </c>
      <c r="C12" s="33"/>
      <c r="D12" s="33">
        <f t="shared" si="4" ref="D12:J72">IF(AND(ISNUMBER(D10),ISNUMBER(C10)),D10-C10,"")</f>
        <v>99</v>
      </c>
      <c r="E12" s="33">
        <f t="shared" si="4"/>
        <v>116</v>
      </c>
      <c r="F12" s="33">
        <f t="shared" si="4"/>
        <v>59</v>
      </c>
      <c r="G12" s="33"/>
      <c r="H12" s="33">
        <f t="shared" si="6" ref="H12:H72">IF(AND(ISNUMBER(H10),ISNUMBER(F10)),H10-F10,"")</f>
        <v>-60</v>
      </c>
      <c r="I12" s="33">
        <f t="shared" si="4"/>
        <v>19</v>
      </c>
      <c r="J12" s="34">
        <f t="shared" si="4"/>
        <v>31</v>
      </c>
      <c r="K12" s="1"/>
      <c r="L12" s="1"/>
      <c r="M12" s="1"/>
    </row>
    <row r="13" ht="15" customHeight="1">
      <c r="A13" s="1"/>
      <c r="B13" s="4" t="s">
        <v>104</v>
      </c>
      <c r="C13" s="18"/>
      <c r="D13" s="18"/>
      <c r="E13" s="18"/>
      <c r="F13" s="18"/>
      <c r="G13" s="18"/>
      <c r="H13" s="18">
        <f t="shared" si="5" ref="H13:J17">IF(AND(ISNUMBER(H10),ISNUMBER(C10)),IF(C10&lt;&gt;0,H10/C10-1,""),"")</f>
        <v>0.5023474178403755</v>
      </c>
      <c r="I13" s="18">
        <f t="shared" si="5"/>
        <v>0.25523809523809526</v>
      </c>
      <c r="J13" s="32">
        <f t="shared" si="5"/>
        <v>0.07644305772230897</v>
      </c>
      <c r="K13" s="1"/>
      <c r="L13" s="1"/>
      <c r="M13" s="1"/>
    </row>
    <row r="14" ht="15" customHeight="1">
      <c r="A14" s="1"/>
      <c r="B14" s="1" t="s">
        <v>124</v>
      </c>
      <c r="C14" s="46">
        <v>319</v>
      </c>
      <c r="D14" s="46">
        <v>410</v>
      </c>
      <c r="E14" s="46">
        <v>511</v>
      </c>
      <c r="F14" s="33">
        <f>G14-SUM(C14:E14)</f>
        <v>562</v>
      </c>
      <c r="G14" s="46">
        <v>1802</v>
      </c>
      <c r="H14" s="46">
        <v>520</v>
      </c>
      <c r="I14" s="46">
        <v>510</v>
      </c>
      <c r="J14" s="47">
        <v>540</v>
      </c>
      <c r="K14" s="1" t="s">
        <v>125</v>
      </c>
      <c r="L14" s="1"/>
      <c r="M14" s="1"/>
    </row>
    <row r="15" ht="15" customHeight="1">
      <c r="A15" s="1"/>
      <c r="B15" s="1" t="s">
        <v>112</v>
      </c>
      <c r="C15" s="33"/>
      <c r="D15" s="33"/>
      <c r="E15" s="33"/>
      <c r="F15" s="33"/>
      <c r="G15" s="33"/>
      <c r="H15" s="33">
        <f t="shared" si="3"/>
        <v>201</v>
      </c>
      <c r="I15" s="33">
        <f t="shared" si="3"/>
        <v>100</v>
      </c>
      <c r="J15" s="34">
        <f t="shared" si="3"/>
        <v>29</v>
      </c>
      <c r="K15" s="1"/>
      <c r="L15" s="1"/>
      <c r="M15" s="1"/>
    </row>
    <row r="16" ht="15" customHeight="1">
      <c r="A16" s="1"/>
      <c r="B16" s="1" t="s">
        <v>113</v>
      </c>
      <c r="C16" s="33"/>
      <c r="D16" s="33">
        <f t="shared" si="4"/>
        <v>91</v>
      </c>
      <c r="E16" s="33">
        <f t="shared" si="4"/>
        <v>101</v>
      </c>
      <c r="F16" s="33">
        <f t="shared" si="4"/>
        <v>51</v>
      </c>
      <c r="G16" s="33"/>
      <c r="H16" s="33">
        <f t="shared" si="6"/>
        <v>-42</v>
      </c>
      <c r="I16" s="33">
        <f t="shared" si="4"/>
        <v>-10</v>
      </c>
      <c r="J16" s="34">
        <f t="shared" si="4"/>
        <v>30</v>
      </c>
      <c r="K16" s="1"/>
      <c r="L16" s="1"/>
      <c r="M16" s="1"/>
    </row>
    <row r="17" ht="15" customHeight="1">
      <c r="A17" s="1"/>
      <c r="B17" s="4" t="s">
        <v>104</v>
      </c>
      <c r="C17" s="18"/>
      <c r="D17" s="18"/>
      <c r="E17" s="18"/>
      <c r="F17" s="18"/>
      <c r="G17" s="18"/>
      <c r="H17" s="18">
        <f t="shared" si="5"/>
        <v>0.6300940438871474</v>
      </c>
      <c r="I17" s="18">
        <f t="shared" si="5"/>
        <v>0.24390243902439024</v>
      </c>
      <c r="J17" s="32">
        <f t="shared" si="5"/>
        <v>0.05675146771037176</v>
      </c>
      <c r="K17" s="1"/>
      <c r="L17" s="1"/>
      <c r="M17" s="1"/>
    </row>
    <row r="18" ht="15" customHeight="1">
      <c r="A18" s="1"/>
      <c r="B18" s="1" t="s">
        <v>126</v>
      </c>
      <c r="C18" s="33">
        <f t="shared" si="7" ref="C18:J18">C10-C14</f>
        <v>107</v>
      </c>
      <c r="D18" s="33">
        <f t="shared" si="7"/>
        <v>115</v>
      </c>
      <c r="E18" s="33">
        <f t="shared" si="7"/>
        <v>130</v>
      </c>
      <c r="F18" s="33">
        <f t="shared" si="7"/>
        <v>138</v>
      </c>
      <c r="G18" s="33">
        <f t="shared" si="7"/>
        <v>490</v>
      </c>
      <c r="H18" s="33">
        <f t="shared" si="7"/>
        <v>120</v>
      </c>
      <c r="I18" s="33">
        <f t="shared" si="7"/>
        <v>149</v>
      </c>
      <c r="J18" s="34">
        <f t="shared" si="7"/>
        <v>150</v>
      </c>
      <c r="K18" s="1" t="s">
        <v>127</v>
      </c>
      <c r="L18" s="1"/>
      <c r="M18" s="1"/>
    </row>
    <row r="19" ht="15" customHeight="1">
      <c r="A19" s="1"/>
      <c r="B19" s="1" t="s">
        <v>112</v>
      </c>
      <c r="C19" s="33"/>
      <c r="D19" s="33"/>
      <c r="E19" s="33"/>
      <c r="F19" s="33"/>
      <c r="G19" s="33"/>
      <c r="H19" s="33">
        <f t="shared" si="3"/>
        <v>13</v>
      </c>
      <c r="I19" s="33">
        <f t="shared" si="3"/>
        <v>34</v>
      </c>
      <c r="J19" s="34">
        <f t="shared" si="3"/>
        <v>20</v>
      </c>
      <c r="K19" s="1"/>
      <c r="L19" s="1"/>
      <c r="M19" s="1"/>
    </row>
    <row r="20" ht="15" customHeight="1">
      <c r="A20" s="1"/>
      <c r="B20" s="1" t="s">
        <v>113</v>
      </c>
      <c r="C20" s="33"/>
      <c r="D20" s="33">
        <f t="shared" si="4"/>
        <v>8</v>
      </c>
      <c r="E20" s="33">
        <f t="shared" si="4"/>
        <v>15</v>
      </c>
      <c r="F20" s="33">
        <f t="shared" si="4"/>
        <v>8</v>
      </c>
      <c r="G20" s="33"/>
      <c r="H20" s="33">
        <f t="shared" si="6"/>
        <v>-18</v>
      </c>
      <c r="I20" s="33">
        <f t="shared" si="4"/>
        <v>29</v>
      </c>
      <c r="J20" s="34">
        <f t="shared" si="4"/>
        <v>1</v>
      </c>
      <c r="K20" s="1"/>
      <c r="L20" s="1"/>
      <c r="M20" s="1"/>
    </row>
    <row r="21" ht="15" customHeight="1">
      <c r="A21" s="1"/>
      <c r="B21" s="4" t="s">
        <v>128</v>
      </c>
      <c r="C21" s="18">
        <f t="shared" si="8" ref="C21:J21">_xlfn.IFERROR(C14/C10,"")</f>
        <v>0.7488262910798122</v>
      </c>
      <c r="D21" s="18">
        <f t="shared" si="8"/>
        <v>0.780952380952381</v>
      </c>
      <c r="E21" s="18">
        <f t="shared" si="8"/>
        <v>0.797191887675507</v>
      </c>
      <c r="F21" s="18">
        <f t="shared" si="8"/>
        <v>0.8028571428571428</v>
      </c>
      <c r="G21" s="18">
        <f t="shared" si="8"/>
        <v>0.7862129144851658</v>
      </c>
      <c r="H21" s="18">
        <f t="shared" si="8"/>
        <v>0.8125</v>
      </c>
      <c r="I21" s="18">
        <f t="shared" si="8"/>
        <v>0.7738998482549317</v>
      </c>
      <c r="J21" s="32">
        <f t="shared" si="8"/>
        <v>0.782608695652174</v>
      </c>
      <c r="K21" s="1"/>
      <c r="L21" s="1"/>
      <c r="M21" s="1"/>
    </row>
    <row r="22" ht="15" customHeight="1">
      <c r="A22" s="1"/>
      <c r="B22" s="1" t="s">
        <v>106</v>
      </c>
      <c r="C22" s="33"/>
      <c r="D22" s="33"/>
      <c r="E22" s="33"/>
      <c r="F22" s="33"/>
      <c r="G22" s="33"/>
      <c r="H22" s="33">
        <f t="shared" si="9" ref="H22:J113">IF(AND(ISNUMBER(H21),ISNUMBER(C21)),(H21-C21)*10000,"")</f>
        <v>636.7370892018776</v>
      </c>
      <c r="I22" s="33">
        <f t="shared" si="9"/>
        <v>-70.5253269744921</v>
      </c>
      <c r="J22" s="34">
        <f t="shared" si="9"/>
        <v>-145.83192023333024</v>
      </c>
      <c r="K22" s="1"/>
      <c r="L22" s="1"/>
      <c r="M22" s="1"/>
    </row>
    <row r="23" ht="15" customHeight="1">
      <c r="A23" s="1"/>
      <c r="B23" s="1" t="s">
        <v>107</v>
      </c>
      <c r="C23" s="33"/>
      <c r="D23" s="33">
        <f t="shared" si="10" ref="D23:J114">IF(AND(ISNUMBER(D21),ISNUMBER(C21)),(D21-C21)*10000,"")</f>
        <v>321.26089872568707</v>
      </c>
      <c r="E23" s="33">
        <f t="shared" si="10"/>
        <v>162.39506723126019</v>
      </c>
      <c r="F23" s="33">
        <f t="shared" si="10"/>
        <v>56.65255181635853</v>
      </c>
      <c r="G23" s="33"/>
      <c r="H23" s="33">
        <f t="shared" si="16" ref="H23:H114">IF(AND(ISNUMBER(H21),ISNUMBER(F21)),(H21-F21)*10000,"")</f>
        <v>96.42857142857176</v>
      </c>
      <c r="I23" s="33">
        <f t="shared" si="10"/>
        <v>-386.00151745068257</v>
      </c>
      <c r="J23" s="34">
        <f t="shared" si="10"/>
        <v>87.08847397242204</v>
      </c>
      <c r="K23" s="1"/>
      <c r="L23" s="1"/>
      <c r="M23" s="1"/>
    </row>
    <row r="24" ht="15" customHeight="1">
      <c r="A24" s="1"/>
      <c r="B24" s="28" t="s">
        <v>129</v>
      </c>
      <c r="C24" s="29"/>
      <c r="D24" s="29"/>
      <c r="E24" s="29"/>
      <c r="F24" s="29"/>
      <c r="G24" s="29"/>
      <c r="H24" s="29"/>
      <c r="I24" s="29"/>
      <c r="J24" s="30"/>
      <c r="K24" s="29"/>
      <c r="L24" s="1"/>
      <c r="M24" s="1"/>
    </row>
    <row r="25" ht="15" customHeight="1">
      <c r="A25" s="1"/>
      <c r="B25" s="1" t="s">
        <v>130</v>
      </c>
      <c r="C25" s="48">
        <f t="shared" si="11" ref="C25:I25">_xlfn.IFERROR(C28/C10,"")</f>
        <v>4.105633802816901</v>
      </c>
      <c r="D25" s="48">
        <f t="shared" si="11"/>
        <v>3.361904761904762</v>
      </c>
      <c r="E25" s="48">
        <f t="shared" si="11"/>
        <v>2.951638065522621</v>
      </c>
      <c r="F25" s="48">
        <f t="shared" si="11"/>
        <v>3.2742857142857145</v>
      </c>
      <c r="G25" s="48">
        <f t="shared" si="11"/>
        <v>3.358638743455497</v>
      </c>
      <c r="H25" s="48">
        <f t="shared" si="11"/>
        <v>3.284375</v>
      </c>
      <c r="I25" s="48">
        <f t="shared" si="11"/>
        <v>3.4855842185128982</v>
      </c>
      <c r="J25" s="49">
        <v>3.26</v>
      </c>
      <c r="K25" s="1" t="s">
        <v>131</v>
      </c>
      <c r="L25" s="1"/>
      <c r="M25" s="1"/>
    </row>
    <row r="26" ht="15" customHeight="1">
      <c r="A26" s="1"/>
      <c r="B26" s="1" t="s">
        <v>112</v>
      </c>
      <c r="C26" s="48"/>
      <c r="D26" s="48"/>
      <c r="E26" s="48"/>
      <c r="F26" s="48"/>
      <c r="G26" s="48"/>
      <c r="H26" s="48">
        <f t="shared" si="3"/>
        <v>-0.8212588028169012</v>
      </c>
      <c r="I26" s="48">
        <f t="shared" si="3"/>
        <v>0.12367945660813628</v>
      </c>
      <c r="J26" s="50">
        <f t="shared" si="3"/>
        <v>0.3083619344773787</v>
      </c>
      <c r="K26" s="1"/>
      <c r="L26" s="1"/>
      <c r="M26" s="1"/>
    </row>
    <row r="27" ht="15" customHeight="1">
      <c r="A27" s="1"/>
      <c r="B27" s="1" t="s">
        <v>113</v>
      </c>
      <c r="C27" s="48"/>
      <c r="D27" s="48">
        <f t="shared" si="4"/>
        <v>-0.7437290409121391</v>
      </c>
      <c r="E27" s="48">
        <f t="shared" si="4"/>
        <v>-0.41026669638214086</v>
      </c>
      <c r="F27" s="48">
        <f t="shared" si="4"/>
        <v>0.3226476487630934</v>
      </c>
      <c r="G27" s="48"/>
      <c r="H27" s="48">
        <f t="shared" si="6"/>
        <v>0.010089285714285356</v>
      </c>
      <c r="I27" s="48">
        <f t="shared" si="4"/>
        <v>0.2012092185128984</v>
      </c>
      <c r="J27" s="50">
        <f t="shared" si="4"/>
        <v>-0.22558421851289845</v>
      </c>
      <c r="K27" s="1"/>
      <c r="L27" s="1"/>
      <c r="M27" s="1"/>
    </row>
    <row r="28" ht="15" customHeight="1">
      <c r="A28" s="1"/>
      <c r="B28" s="1" t="s">
        <v>132</v>
      </c>
      <c r="C28" s="35">
        <v>1749</v>
      </c>
      <c r="D28" s="35">
        <v>1765</v>
      </c>
      <c r="E28" s="35">
        <v>1892</v>
      </c>
      <c r="F28" s="35">
        <v>2292</v>
      </c>
      <c r="G28" s="17">
        <f t="shared" si="12"/>
        <v>7698</v>
      </c>
      <c r="H28" s="35">
        <v>2102</v>
      </c>
      <c r="I28" s="35">
        <v>2297</v>
      </c>
      <c r="J28" s="37">
        <f>J10*J25</f>
        <v>2249.3999999999996</v>
      </c>
      <c r="K28" s="1"/>
      <c r="L28" s="1"/>
      <c r="M28" s="1"/>
    </row>
    <row r="29" ht="15" customHeight="1">
      <c r="A29" s="1"/>
      <c r="B29" s="4" t="s">
        <v>66</v>
      </c>
      <c r="C29" s="18"/>
      <c r="D29" s="18"/>
      <c r="E29" s="18"/>
      <c r="F29" s="18"/>
      <c r="G29" s="18"/>
      <c r="H29" s="18">
        <f t="shared" si="13" ref="H29:J93">IF(AND(ISNUMBER(H28),ISNUMBER(C28)),IF(C28&lt;&gt;0,H28/C28-1,""),"")</f>
        <v>0.20182961692395662</v>
      </c>
      <c r="I29" s="18">
        <f t="shared" si="13"/>
        <v>0.30141643059490075</v>
      </c>
      <c r="J29" s="32">
        <f t="shared" si="13"/>
        <v>0.18890063424947123</v>
      </c>
      <c r="K29" s="1"/>
      <c r="L29" s="1"/>
      <c r="M29" s="1"/>
    </row>
    <row r="30" ht="15" customHeight="1">
      <c r="A30" s="1"/>
      <c r="B30" s="4" t="s">
        <v>67</v>
      </c>
      <c r="C30" s="18"/>
      <c r="D30" s="18">
        <f t="shared" si="14" ref="D30:J94">IF(AND(ISNUMBER(D28),ISNUMBER(C28)),IF(C28&lt;&gt;0,D28/C28-1,""),"")</f>
        <v>0.00914808461978267</v>
      </c>
      <c r="E30" s="18">
        <f t="shared" si="14"/>
        <v>0.07195467422096313</v>
      </c>
      <c r="F30" s="18">
        <f t="shared" si="14"/>
        <v>0.21141649048625788</v>
      </c>
      <c r="G30" s="18"/>
      <c r="H30" s="18">
        <f t="shared" si="19" ref="H30:H94">IF(AND(ISNUMBER(H28),ISNUMBER(F28)),IF(F28&lt;&gt;0,H28/F28-1,""),"")</f>
        <v>-0.08289703315881325</v>
      </c>
      <c r="I30" s="18">
        <f t="shared" si="14"/>
        <v>0.0927687916270219</v>
      </c>
      <c r="J30" s="32">
        <f t="shared" si="14"/>
        <v>-0.020722681758815975</v>
      </c>
      <c r="K30" s="1"/>
      <c r="L30" s="1"/>
      <c r="M30" s="1"/>
    </row>
    <row r="31" ht="15" customHeight="1">
      <c r="A31" s="1"/>
      <c r="B31" s="4" t="s">
        <v>71</v>
      </c>
      <c r="C31" s="18"/>
      <c r="D31" s="18"/>
      <c r="E31" s="18"/>
      <c r="F31" s="18"/>
      <c r="G31" s="18"/>
      <c r="H31" s="18" t="s">
        <v>72</v>
      </c>
      <c r="I31" s="18" t="s">
        <v>72</v>
      </c>
      <c r="J31" s="32" t="s">
        <v>72</v>
      </c>
      <c r="K31" s="1" t="s">
        <v>73</v>
      </c>
      <c r="L31" s="1"/>
      <c r="M31" s="1"/>
    </row>
    <row r="32" ht="15" customHeight="1">
      <c r="A32" s="1"/>
      <c r="B32" s="4" t="s">
        <v>74</v>
      </c>
      <c r="C32" s="18"/>
      <c r="D32" s="18"/>
      <c r="E32" s="18"/>
      <c r="F32" s="18"/>
      <c r="G32" s="18"/>
      <c r="H32" s="18" t="s">
        <v>72</v>
      </c>
      <c r="I32" s="18" t="s">
        <v>72</v>
      </c>
      <c r="J32" s="32" t="s">
        <v>72</v>
      </c>
      <c r="K32" s="1" t="s">
        <v>73</v>
      </c>
      <c r="L32" s="1"/>
      <c r="M32" s="1"/>
    </row>
    <row r="33" ht="15" customHeight="1">
      <c r="A33" s="1"/>
      <c r="B33" s="4" t="s">
        <v>75</v>
      </c>
      <c r="C33" s="18"/>
      <c r="D33" s="18"/>
      <c r="E33" s="18"/>
      <c r="F33" s="18"/>
      <c r="G33" s="18"/>
      <c r="H33" s="18" t="str">
        <f t="shared" si="15" ref="H33:J55">IF(AND(ISNUMBER(H29),ISNUMBER(H31),ISNUMBER(H32)),(1+H29)/((1+H31)*(1+H32))-1,"n.a.")</f>
        <v>n.a.</v>
      </c>
      <c r="I33" s="18" t="str">
        <f t="shared" si="15"/>
        <v>n.a.</v>
      </c>
      <c r="J33" s="32" t="str">
        <f t="shared" si="15"/>
        <v>n.a.</v>
      </c>
      <c r="K33" s="1" t="s">
        <v>76</v>
      </c>
      <c r="L33" s="1"/>
      <c r="M33" s="1"/>
    </row>
    <row r="34" ht="15" customHeight="1">
      <c r="A34" s="1"/>
      <c r="B34" s="28" t="s">
        <v>133</v>
      </c>
      <c r="C34" s="29"/>
      <c r="D34" s="29"/>
      <c r="E34" s="29"/>
      <c r="F34" s="29"/>
      <c r="G34" s="29"/>
      <c r="H34" s="29"/>
      <c r="I34" s="29"/>
      <c r="J34" s="30"/>
      <c r="K34" s="29"/>
      <c r="L34" s="1"/>
      <c r="M34" s="1"/>
    </row>
    <row r="35" ht="15" customHeight="1">
      <c r="A35" s="1"/>
      <c r="B35" s="4" t="s">
        <v>134</v>
      </c>
      <c r="C35" s="51">
        <v>0.11</v>
      </c>
      <c r="D35" s="51">
        <v>0.22</v>
      </c>
      <c r="E35" s="51">
        <v>0.33</v>
      </c>
      <c r="F35" s="51">
        <v>0.3</v>
      </c>
      <c r="G35" s="51">
        <v>0.24</v>
      </c>
      <c r="H35" s="51">
        <v>0.35</v>
      </c>
      <c r="I35" s="51">
        <v>0.25</v>
      </c>
      <c r="J35" s="52">
        <v>0.15</v>
      </c>
      <c r="K35" s="1" t="s">
        <v>135</v>
      </c>
      <c r="L35" s="1"/>
      <c r="M35" s="1"/>
    </row>
    <row r="36" ht="15" customHeight="1">
      <c r="A36" s="1"/>
      <c r="B36" s="1" t="s">
        <v>106</v>
      </c>
      <c r="C36" s="33"/>
      <c r="D36" s="33"/>
      <c r="E36" s="33"/>
      <c r="F36" s="33"/>
      <c r="G36" s="33"/>
      <c r="H36" s="33">
        <f t="shared" si="9"/>
        <v>2400</v>
      </c>
      <c r="I36" s="33">
        <f t="shared" si="9"/>
        <v>300</v>
      </c>
      <c r="J36" s="34">
        <f t="shared" si="9"/>
        <v>-1800.0000000000002</v>
      </c>
      <c r="K36" s="1"/>
      <c r="L36" s="1"/>
      <c r="M36" s="1"/>
    </row>
    <row r="37" ht="15" customHeight="1">
      <c r="A37" s="1"/>
      <c r="B37" s="1" t="s">
        <v>107</v>
      </c>
      <c r="C37" s="33"/>
      <c r="D37" s="33">
        <f t="shared" si="10"/>
        <v>1100</v>
      </c>
      <c r="E37" s="33">
        <f t="shared" si="10"/>
        <v>1100.0000000000002</v>
      </c>
      <c r="F37" s="33">
        <f t="shared" si="10"/>
        <v>-300.0000000000003</v>
      </c>
      <c r="G37" s="33"/>
      <c r="H37" s="33">
        <f t="shared" si="16"/>
        <v>499.9999999999999</v>
      </c>
      <c r="I37" s="33">
        <f t="shared" si="10"/>
        <v>-999.9999999999998</v>
      </c>
      <c r="J37" s="34">
        <f t="shared" si="10"/>
        <v>-1000</v>
      </c>
      <c r="K37" s="1"/>
      <c r="L37" s="1"/>
      <c r="M37" s="1"/>
    </row>
    <row r="38" ht="15" customHeight="1">
      <c r="A38" s="1"/>
      <c r="B38" s="4" t="s">
        <v>136</v>
      </c>
      <c r="C38" s="18"/>
      <c r="D38" s="18"/>
      <c r="E38" s="18"/>
      <c r="F38" s="18"/>
      <c r="G38" s="18"/>
      <c r="H38" s="18">
        <f t="shared" si="17" ref="H38:I38">IF(AND(ISNUMBER(H41),ISNUMBER(H35)),H41-H35,"")</f>
        <v>0.036978636826042854</v>
      </c>
      <c r="I38" s="18">
        <f t="shared" si="17"/>
        <v>0.014070736269341966</v>
      </c>
      <c r="J38" s="52">
        <v>0.01</v>
      </c>
      <c r="K38" s="1" t="s">
        <v>137</v>
      </c>
      <c r="L38" s="1"/>
      <c r="M38" s="1"/>
    </row>
    <row r="39" ht="15" customHeight="1">
      <c r="A39" s="1"/>
      <c r="B39" s="1" t="s">
        <v>107</v>
      </c>
      <c r="C39" s="33"/>
      <c r="D39" s="33">
        <f t="shared" si="18" ref="D39:J39">IF(AND(ISNUMBER(D38),ISNUMBER(C38)),(D38-C38)*10000,"")</f>
      </c>
      <c r="E39" s="33">
        <f t="shared" si="18"/>
      </c>
      <c r="F39" s="33">
        <f t="shared" si="18"/>
      </c>
      <c r="G39" s="33"/>
      <c r="H39" s="33">
        <f>IF(AND(ISNUMBER(H38),ISNUMBER(F38)),(H38-F38)*10000,"")</f>
      </c>
      <c r="I39" s="33">
        <f t="shared" si="18"/>
        <v>-229.0790055670089</v>
      </c>
      <c r="J39" s="34">
        <f t="shared" si="18"/>
        <v>-40.707362693419654</v>
      </c>
      <c r="K39" s="1"/>
      <c r="L39" s="1"/>
      <c r="M39" s="1"/>
    </row>
    <row r="40" ht="15" customHeight="1">
      <c r="A40" s="1"/>
      <c r="B40" s="1" t="s">
        <v>138</v>
      </c>
      <c r="C40" s="35">
        <v>4915</v>
      </c>
      <c r="D40" s="35">
        <v>5881</v>
      </c>
      <c r="E40" s="35">
        <v>6629</v>
      </c>
      <c r="F40" s="35">
        <v>6826</v>
      </c>
      <c r="G40" s="17">
        <f t="shared" si="12"/>
        <v>24251</v>
      </c>
      <c r="H40" s="35">
        <v>6817</v>
      </c>
      <c r="I40" s="35">
        <v>7434</v>
      </c>
      <c r="J40" s="37">
        <f>E40*(1+J41)</f>
        <v>7689.639999999999</v>
      </c>
      <c r="K40" s="1"/>
      <c r="L40" s="1"/>
      <c r="M40" s="1"/>
    </row>
    <row r="41" ht="15" customHeight="1">
      <c r="A41" s="1"/>
      <c r="B41" s="4" t="s">
        <v>139</v>
      </c>
      <c r="C41" s="18"/>
      <c r="D41" s="18"/>
      <c r="E41" s="18"/>
      <c r="F41" s="18"/>
      <c r="G41" s="18"/>
      <c r="H41" s="18">
        <f t="shared" si="13"/>
        <v>0.38697863682604283</v>
      </c>
      <c r="I41" s="18">
        <f t="shared" si="13"/>
        <v>0.26407073626934197</v>
      </c>
      <c r="J41" s="32">
        <f>J35+J38</f>
        <v>0.16</v>
      </c>
      <c r="K41" s="1" t="s">
        <v>140</v>
      </c>
      <c r="L41" s="1"/>
      <c r="M41" s="1"/>
    </row>
    <row r="42" ht="15" customHeight="1">
      <c r="A42" s="1"/>
      <c r="B42" s="4" t="s">
        <v>67</v>
      </c>
      <c r="C42" s="18"/>
      <c r="D42" s="18">
        <f t="shared" si="14"/>
        <v>0.19654120040691758</v>
      </c>
      <c r="E42" s="18">
        <f t="shared" si="14"/>
        <v>0.12718925352831145</v>
      </c>
      <c r="F42" s="18">
        <f t="shared" si="14"/>
        <v>0.02971790616985981</v>
      </c>
      <c r="G42" s="18"/>
      <c r="H42" s="18">
        <f t="shared" si="19"/>
        <v>-0.0013184881336067988</v>
      </c>
      <c r="I42" s="18">
        <f t="shared" si="14"/>
        <v>0.09050902156373763</v>
      </c>
      <c r="J42" s="32">
        <f t="shared" si="14"/>
        <v>0.034387947269303165</v>
      </c>
      <c r="K42" s="1"/>
      <c r="L42" s="1"/>
      <c r="M42" s="1"/>
    </row>
    <row r="43" ht="15" customHeight="1">
      <c r="A43" s="1"/>
      <c r="B43" s="4" t="s">
        <v>71</v>
      </c>
      <c r="C43" s="18"/>
      <c r="D43" s="18"/>
      <c r="E43" s="18"/>
      <c r="F43" s="18"/>
      <c r="G43" s="18"/>
      <c r="H43" s="18" t="s">
        <v>72</v>
      </c>
      <c r="I43" s="18" t="s">
        <v>72</v>
      </c>
      <c r="J43" s="32" t="s">
        <v>72</v>
      </c>
      <c r="K43" s="1" t="s">
        <v>141</v>
      </c>
      <c r="L43" s="1"/>
      <c r="M43" s="1"/>
    </row>
    <row r="44" ht="15" customHeight="1">
      <c r="A44" s="1"/>
      <c r="B44" s="4" t="s">
        <v>74</v>
      </c>
      <c r="C44" s="18"/>
      <c r="D44" s="18"/>
      <c r="E44" s="18"/>
      <c r="F44" s="18"/>
      <c r="G44" s="18"/>
      <c r="H44" s="18" t="s">
        <v>72</v>
      </c>
      <c r="I44" s="18" t="s">
        <v>72</v>
      </c>
      <c r="J44" s="32" t="s">
        <v>72</v>
      </c>
      <c r="K44" s="1" t="s">
        <v>141</v>
      </c>
      <c r="L44" s="1"/>
      <c r="M44" s="1"/>
    </row>
    <row r="45" ht="15" customHeight="1">
      <c r="A45" s="1"/>
      <c r="B45" s="4" t="s">
        <v>75</v>
      </c>
      <c r="C45" s="18"/>
      <c r="D45" s="18"/>
      <c r="E45" s="18"/>
      <c r="F45" s="18"/>
      <c r="G45" s="18"/>
      <c r="H45" s="18" t="str">
        <f t="shared" si="15"/>
        <v>n.a.</v>
      </c>
      <c r="I45" s="18" t="str">
        <f t="shared" si="15"/>
        <v>n.a.</v>
      </c>
      <c r="J45" s="32" t="str">
        <f t="shared" si="15"/>
        <v>n.a.</v>
      </c>
      <c r="K45" s="1" t="s">
        <v>142</v>
      </c>
      <c r="L45" s="1"/>
      <c r="M45" s="1"/>
    </row>
    <row r="46" ht="15" customHeight="1">
      <c r="A46" s="1"/>
      <c r="B46" s="4" t="s">
        <v>143</v>
      </c>
      <c r="C46" s="18">
        <f t="shared" si="20" ref="C46:J46">_xlfn.IFERROR(C40/C50,"")</f>
        <v>0.7375450180072028</v>
      </c>
      <c r="D46" s="18">
        <f t="shared" si="20"/>
        <v>0.769160345278577</v>
      </c>
      <c r="E46" s="18">
        <f t="shared" si="20"/>
        <v>0.7779603332942143</v>
      </c>
      <c r="F46" s="18">
        <f t="shared" si="20"/>
        <v>0.7486290853257294</v>
      </c>
      <c r="G46" s="18">
        <f t="shared" si="20"/>
        <v>0.7590534915020815</v>
      </c>
      <c r="H46" s="18">
        <f t="shared" si="20"/>
        <v>0.76432335463617</v>
      </c>
      <c r="I46" s="18">
        <f t="shared" si="20"/>
        <v>0.7639502620491214</v>
      </c>
      <c r="J46" s="32">
        <f t="shared" si="20"/>
        <v>0.7736803554468037</v>
      </c>
      <c r="K46" s="1"/>
      <c r="L46" s="1"/>
      <c r="M46" s="1"/>
    </row>
    <row r="47" ht="15" customHeight="1">
      <c r="A47" s="1"/>
      <c r="B47" s="1" t="s">
        <v>106</v>
      </c>
      <c r="C47" s="33"/>
      <c r="D47" s="33"/>
      <c r="E47" s="33"/>
      <c r="F47" s="33"/>
      <c r="G47" s="33"/>
      <c r="H47" s="33">
        <f t="shared" si="9"/>
        <v>267.78336628967116</v>
      </c>
      <c r="I47" s="33">
        <f t="shared" si="9"/>
        <v>-52.10083229455598</v>
      </c>
      <c r="J47" s="34">
        <f t="shared" si="9"/>
        <v>-42.79977847410632</v>
      </c>
      <c r="K47" s="1"/>
      <c r="L47" s="1"/>
      <c r="M47" s="1"/>
    </row>
    <row r="48" ht="15" customHeight="1">
      <c r="A48" s="1"/>
      <c r="B48" s="1" t="s">
        <v>107</v>
      </c>
      <c r="C48" s="33"/>
      <c r="D48" s="33">
        <f t="shared" si="10"/>
        <v>316.1532727137417</v>
      </c>
      <c r="E48" s="33">
        <f t="shared" si="10"/>
        <v>87.99988015637305</v>
      </c>
      <c r="F48" s="33">
        <f t="shared" si="10"/>
        <v>-293.3124796848496</v>
      </c>
      <c r="G48" s="33"/>
      <c r="H48" s="33">
        <f t="shared" si="16"/>
        <v>156.942693104406</v>
      </c>
      <c r="I48" s="33">
        <f t="shared" si="10"/>
        <v>-3.730925870485402</v>
      </c>
      <c r="J48" s="34">
        <f t="shared" si="10"/>
        <v>97.3009339768227</v>
      </c>
      <c r="K48" s="1"/>
      <c r="L48" s="1"/>
      <c r="M48" s="1"/>
    </row>
    <row r="49" ht="15" customHeight="1">
      <c r="A49" s="1"/>
      <c r="B49" s="28" t="s">
        <v>144</v>
      </c>
      <c r="C49" s="29"/>
      <c r="D49" s="29"/>
      <c r="E49" s="29"/>
      <c r="F49" s="29"/>
      <c r="G49" s="29"/>
      <c r="H49" s="29"/>
      <c r="I49" s="29"/>
      <c r="J49" s="30"/>
      <c r="K49" s="29"/>
      <c r="L49" s="1"/>
      <c r="M49" s="1"/>
    </row>
    <row r="50" ht="15" customHeight="1">
      <c r="A50" s="1"/>
      <c r="B50" s="3" t="s">
        <v>145</v>
      </c>
      <c r="C50" s="38">
        <f t="shared" si="21" ref="C50:J50">C40+C28</f>
        <v>6664</v>
      </c>
      <c r="D50" s="38">
        <f t="shared" si="21"/>
        <v>7646</v>
      </c>
      <c r="E50" s="38">
        <f t="shared" si="21"/>
        <v>8521</v>
      </c>
      <c r="F50" s="38">
        <f t="shared" si="21"/>
        <v>9118</v>
      </c>
      <c r="G50" s="38">
        <f t="shared" si="21"/>
        <v>31949</v>
      </c>
      <c r="H50" s="38">
        <f t="shared" si="21"/>
        <v>8919</v>
      </c>
      <c r="I50" s="38">
        <f t="shared" si="21"/>
        <v>9731</v>
      </c>
      <c r="J50" s="39">
        <f t="shared" si="21"/>
        <v>9939.039999999999</v>
      </c>
      <c r="K50" s="1" t="s">
        <v>146</v>
      </c>
      <c r="L50" s="1"/>
      <c r="M50" s="1"/>
    </row>
    <row r="51" ht="15" customHeight="1">
      <c r="A51" s="1"/>
      <c r="B51" s="4" t="s">
        <v>66</v>
      </c>
      <c r="C51" s="18"/>
      <c r="D51" s="18"/>
      <c r="E51" s="18"/>
      <c r="F51" s="18"/>
      <c r="G51" s="18"/>
      <c r="H51" s="18">
        <f t="shared" si="13"/>
        <v>0.3383853541416566</v>
      </c>
      <c r="I51" s="18">
        <f t="shared" si="13"/>
        <v>0.27269160345278576</v>
      </c>
      <c r="J51" s="32">
        <f t="shared" si="13"/>
        <v>0.1664170871963384</v>
      </c>
      <c r="K51" s="1"/>
      <c r="L51" s="1"/>
      <c r="M51" s="1"/>
    </row>
    <row r="52" ht="15" customHeight="1">
      <c r="A52" s="1"/>
      <c r="B52" s="4" t="s">
        <v>67</v>
      </c>
      <c r="C52" s="18"/>
      <c r="D52" s="18">
        <f t="shared" si="14"/>
        <v>0.14735894357743096</v>
      </c>
      <c r="E52" s="18">
        <f t="shared" si="14"/>
        <v>0.11443892231232011</v>
      </c>
      <c r="F52" s="18">
        <f t="shared" si="14"/>
        <v>0.07006219927238577</v>
      </c>
      <c r="G52" s="18"/>
      <c r="H52" s="18">
        <f t="shared" si="19"/>
        <v>-0.02182496161438907</v>
      </c>
      <c r="I52" s="18">
        <f t="shared" si="14"/>
        <v>0.09104159659154609</v>
      </c>
      <c r="J52" s="32">
        <f t="shared" si="14"/>
        <v>0.021379097728907448</v>
      </c>
      <c r="K52" s="1"/>
      <c r="L52" s="1"/>
      <c r="M52" s="1"/>
    </row>
    <row r="53" ht="15" customHeight="1">
      <c r="A53" s="1"/>
      <c r="B53" s="4" t="s">
        <v>71</v>
      </c>
      <c r="C53" s="18"/>
      <c r="D53" s="18"/>
      <c r="E53" s="18"/>
      <c r="F53" s="18"/>
      <c r="G53" s="18"/>
      <c r="H53" s="18" t="s">
        <v>72</v>
      </c>
      <c r="I53" s="18" t="s">
        <v>72</v>
      </c>
      <c r="J53" s="32" t="s">
        <v>72</v>
      </c>
      <c r="K53" s="1" t="s">
        <v>73</v>
      </c>
      <c r="L53" s="1"/>
      <c r="M53" s="1"/>
    </row>
    <row r="54" ht="15" customHeight="1">
      <c r="A54" s="1"/>
      <c r="B54" s="4" t="s">
        <v>74</v>
      </c>
      <c r="C54" s="18"/>
      <c r="D54" s="18"/>
      <c r="E54" s="18"/>
      <c r="F54" s="18"/>
      <c r="G54" s="18"/>
      <c r="H54" s="18" t="s">
        <v>72</v>
      </c>
      <c r="I54" s="18" t="s">
        <v>72</v>
      </c>
      <c r="J54" s="32" t="s">
        <v>72</v>
      </c>
      <c r="K54" s="1" t="s">
        <v>73</v>
      </c>
      <c r="L54" s="1"/>
      <c r="M54" s="1"/>
    </row>
    <row r="55" ht="15" customHeight="1">
      <c r="A55" s="1"/>
      <c r="B55" s="4" t="s">
        <v>75</v>
      </c>
      <c r="C55" s="18"/>
      <c r="D55" s="18"/>
      <c r="E55" s="18"/>
      <c r="F55" s="18"/>
      <c r="G55" s="18"/>
      <c r="H55" s="18" t="str">
        <f t="shared" si="15"/>
        <v>n.a.</v>
      </c>
      <c r="I55" s="18" t="str">
        <f t="shared" si="15"/>
        <v>n.a.</v>
      </c>
      <c r="J55" s="32" t="str">
        <f t="shared" si="15"/>
        <v>n.a.</v>
      </c>
      <c r="K55" s="1" t="s">
        <v>76</v>
      </c>
      <c r="L55" s="1"/>
      <c r="M55" s="1"/>
    </row>
    <row r="56" ht="15" customHeight="1">
      <c r="A56" s="1"/>
      <c r="B56" s="1" t="s">
        <v>147</v>
      </c>
      <c r="C56" s="35">
        <v>6663</v>
      </c>
      <c r="D56" s="35">
        <v>7646</v>
      </c>
      <c r="E56" s="35">
        <v>8521</v>
      </c>
      <c r="F56" s="35">
        <v>9118</v>
      </c>
      <c r="G56" s="35">
        <v>31947</v>
      </c>
      <c r="H56" s="35">
        <v>8920</v>
      </c>
      <c r="I56" s="35">
        <v>9731</v>
      </c>
      <c r="J56" s="37"/>
      <c r="K56" s="1" t="s">
        <v>148</v>
      </c>
      <c r="L56" s="1"/>
      <c r="M56" s="1"/>
    </row>
    <row r="57" ht="15" customHeight="1">
      <c r="A57" s="1"/>
      <c r="B57" s="1" t="s">
        <v>149</v>
      </c>
      <c r="C57" s="40" t="b">
        <f t="shared" si="22" ref="C57:I57">ABS(C50-C56)&lt;=2</f>
        <v>1</v>
      </c>
      <c r="D57" s="40" t="b">
        <f t="shared" si="22"/>
        <v>1</v>
      </c>
      <c r="E57" s="40" t="b">
        <f t="shared" si="22"/>
        <v>1</v>
      </c>
      <c r="F57" s="40" t="b">
        <f t="shared" si="22"/>
        <v>1</v>
      </c>
      <c r="G57" s="40" t="b">
        <f t="shared" si="22"/>
        <v>1</v>
      </c>
      <c r="H57" s="40" t="b">
        <f t="shared" si="22"/>
        <v>1</v>
      </c>
      <c r="I57" s="40" t="b">
        <f t="shared" si="22"/>
        <v>1</v>
      </c>
      <c r="J57" s="27"/>
      <c r="K57" s="1" t="s">
        <v>150</v>
      </c>
      <c r="L57" s="1"/>
      <c r="M57" s="1"/>
    </row>
    <row r="58" ht="15" customHeight="1">
      <c r="A58" s="1"/>
      <c r="B58" s="28" t="s">
        <v>151</v>
      </c>
      <c r="C58" s="29"/>
      <c r="D58" s="29"/>
      <c r="E58" s="29"/>
      <c r="F58" s="29"/>
      <c r="G58" s="29"/>
      <c r="H58" s="29"/>
      <c r="I58" s="29"/>
      <c r="J58" s="30"/>
      <c r="K58" s="29"/>
      <c r="L58" s="1"/>
      <c r="M58" s="1"/>
    </row>
    <row r="59" ht="15" customHeight="1">
      <c r="A59" s="1"/>
      <c r="B59" s="1" t="s">
        <v>152</v>
      </c>
      <c r="C59" s="17"/>
      <c r="D59" s="17"/>
      <c r="E59" s="17"/>
      <c r="F59" s="17"/>
      <c r="G59" s="17"/>
      <c r="H59" s="35">
        <v>9777</v>
      </c>
      <c r="I59" s="35">
        <v>9635</v>
      </c>
      <c r="J59" s="37"/>
      <c r="K59" s="1" t="s">
        <v>153</v>
      </c>
      <c r="L59" s="1"/>
      <c r="M59" s="1"/>
    </row>
    <row r="60" ht="15" customHeight="1">
      <c r="A60" s="1"/>
      <c r="B60" s="4" t="s">
        <v>67</v>
      </c>
      <c r="C60" s="18"/>
      <c r="D60" s="18">
        <f t="shared" si="23" ref="D60:J63">IF(AND(ISNUMBER(D59),ISNUMBER(C59)),IF(C59&lt;&gt;0,D59/C59-1,""),"")</f>
      </c>
      <c r="E60" s="18">
        <f t="shared" si="23"/>
      </c>
      <c r="F60" s="18">
        <f t="shared" si="23"/>
      </c>
      <c r="G60" s="18"/>
      <c r="H60" s="18">
        <f t="shared" si="24" ref="H60:H63">IF(AND(ISNUMBER(H59),ISNUMBER(F59)),IF(F59&lt;&gt;0,H59/F59-1,""),"")</f>
      </c>
      <c r="I60" s="18">
        <f t="shared" si="23"/>
        <v>-0.014523882581569003</v>
      </c>
      <c r="J60" s="32">
        <f t="shared" si="23"/>
      </c>
      <c r="K60" s="1"/>
      <c r="L60" s="1"/>
      <c r="M60" s="1"/>
    </row>
    <row r="61" ht="15" customHeight="1">
      <c r="A61" s="1"/>
      <c r="B61" s="1" t="s">
        <v>113</v>
      </c>
      <c r="C61" s="17"/>
      <c r="D61" s="17">
        <f t="shared" si="4"/>
      </c>
      <c r="E61" s="17">
        <f t="shared" si="4"/>
      </c>
      <c r="F61" s="17">
        <f t="shared" si="4"/>
      </c>
      <c r="G61" s="17"/>
      <c r="H61" s="17">
        <f t="shared" si="6"/>
      </c>
      <c r="I61" s="17">
        <f t="shared" si="4"/>
        <v>-142</v>
      </c>
      <c r="J61" s="37">
        <f t="shared" si="4"/>
      </c>
      <c r="K61" s="1"/>
      <c r="L61" s="1"/>
      <c r="M61" s="1"/>
    </row>
    <row r="62" ht="15" customHeight="1">
      <c r="A62" s="1"/>
      <c r="B62" s="1" t="s">
        <v>154</v>
      </c>
      <c r="C62" s="17"/>
      <c r="D62" s="17"/>
      <c r="E62" s="17"/>
      <c r="F62" s="17"/>
      <c r="G62" s="17"/>
      <c r="H62" s="35">
        <v>7554</v>
      </c>
      <c r="I62" s="35">
        <v>3297</v>
      </c>
      <c r="J62" s="37"/>
      <c r="K62" s="1"/>
      <c r="L62" s="1"/>
      <c r="M62" s="1"/>
    </row>
    <row r="63" ht="15" customHeight="1">
      <c r="A63" s="1"/>
      <c r="B63" s="4" t="s">
        <v>67</v>
      </c>
      <c r="C63" s="18"/>
      <c r="D63" s="18">
        <f t="shared" si="23"/>
      </c>
      <c r="E63" s="18">
        <f t="shared" si="23"/>
      </c>
      <c r="F63" s="18">
        <f t="shared" si="23"/>
      </c>
      <c r="G63" s="18"/>
      <c r="H63" s="18">
        <f t="shared" si="24"/>
      </c>
      <c r="I63" s="18">
        <f t="shared" si="23"/>
        <v>-0.5635424940428913</v>
      </c>
      <c r="J63" s="32">
        <f t="shared" si="23"/>
      </c>
      <c r="K63" s="1"/>
      <c r="L63" s="1"/>
      <c r="M63" s="1"/>
    </row>
    <row r="64" ht="15" customHeight="1">
      <c r="A64" s="1"/>
      <c r="B64" s="1" t="s">
        <v>113</v>
      </c>
      <c r="C64" s="17"/>
      <c r="D64" s="17">
        <f t="shared" si="4"/>
      </c>
      <c r="E64" s="17">
        <f t="shared" si="4"/>
      </c>
      <c r="F64" s="17">
        <f t="shared" si="4"/>
      </c>
      <c r="G64" s="17"/>
      <c r="H64" s="17">
        <f t="shared" si="6"/>
      </c>
      <c r="I64" s="17">
        <f t="shared" si="4"/>
        <v>-4257</v>
      </c>
      <c r="J64" s="37">
        <f t="shared" si="4"/>
      </c>
      <c r="K64" s="1"/>
      <c r="L64" s="1"/>
      <c r="M64" s="1"/>
    </row>
    <row r="65" ht="15" customHeight="1">
      <c r="A65" s="1"/>
      <c r="B65" s="3" t="s">
        <v>155</v>
      </c>
      <c r="C65" s="53">
        <v>8988</v>
      </c>
      <c r="D65" s="53">
        <v>10985</v>
      </c>
      <c r="E65" s="53">
        <v>9645</v>
      </c>
      <c r="F65" s="53">
        <v>22130</v>
      </c>
      <c r="G65" s="38">
        <f t="shared" si="12"/>
        <v>51748</v>
      </c>
      <c r="H65" s="38">
        <f t="shared" si="25" ref="H65:I65">H59+H62</f>
        <v>17331</v>
      </c>
      <c r="I65" s="38">
        <f t="shared" si="25"/>
        <v>12932</v>
      </c>
      <c r="J65" s="54">
        <v>15000</v>
      </c>
      <c r="K65" s="1" t="s">
        <v>156</v>
      </c>
      <c r="L65" s="1"/>
      <c r="M65" s="1"/>
    </row>
    <row r="66" ht="15" customHeight="1">
      <c r="A66" s="1"/>
      <c r="B66" s="4" t="s">
        <v>104</v>
      </c>
      <c r="C66" s="18"/>
      <c r="D66" s="18"/>
      <c r="E66" s="18"/>
      <c r="F66" s="18"/>
      <c r="G66" s="18"/>
      <c r="H66" s="18">
        <f t="shared" si="13"/>
        <v>0.9282376502002669</v>
      </c>
      <c r="I66" s="18">
        <f t="shared" si="13"/>
        <v>0.17724169321802452</v>
      </c>
      <c r="J66" s="32">
        <f t="shared" si="13"/>
        <v>0.5552099533437014</v>
      </c>
      <c r="K66" s="1"/>
      <c r="L66" s="1"/>
      <c r="M66" s="1"/>
    </row>
    <row r="67" ht="15" customHeight="1">
      <c r="A67" s="1"/>
      <c r="B67" s="4" t="s">
        <v>67</v>
      </c>
      <c r="C67" s="18"/>
      <c r="D67" s="18">
        <f t="shared" si="14"/>
        <v>0.22218513573653764</v>
      </c>
      <c r="E67" s="18">
        <f t="shared" si="14"/>
        <v>-0.12198452435138829</v>
      </c>
      <c r="F67" s="18">
        <f t="shared" si="14"/>
        <v>1.2944530844997408</v>
      </c>
      <c r="G67" s="18"/>
      <c r="H67" s="18">
        <f t="shared" si="19"/>
        <v>-0.21685494803434258</v>
      </c>
      <c r="I67" s="18">
        <f t="shared" si="14"/>
        <v>-0.25382262996941896</v>
      </c>
      <c r="J67" s="32">
        <f t="shared" si="14"/>
        <v>0.15991339313331276</v>
      </c>
      <c r="K67" s="1"/>
      <c r="L67" s="1"/>
      <c r="M67" s="1"/>
    </row>
    <row r="68" ht="15" customHeight="1">
      <c r="A68" s="1"/>
      <c r="B68" s="1" t="s">
        <v>112</v>
      </c>
      <c r="C68" s="17"/>
      <c r="D68" s="17"/>
      <c r="E68" s="17"/>
      <c r="F68" s="17"/>
      <c r="G68" s="17"/>
      <c r="H68" s="17">
        <f t="shared" si="26" ref="H68:J68">IF(AND(ISNUMBER(H65),ISNUMBER(C65)),H65-C65,"")</f>
        <v>8343</v>
      </c>
      <c r="I68" s="17">
        <f t="shared" si="26"/>
        <v>1947</v>
      </c>
      <c r="J68" s="37">
        <f t="shared" si="26"/>
        <v>5355</v>
      </c>
      <c r="K68" s="1"/>
      <c r="L68" s="1"/>
      <c r="M68" s="1"/>
    </row>
    <row r="69" ht="15" customHeight="1">
      <c r="A69" s="1"/>
      <c r="B69" s="1" t="s">
        <v>113</v>
      </c>
      <c r="C69" s="17"/>
      <c r="D69" s="17">
        <f t="shared" si="27" ref="D69:J69">IF(AND(ISNUMBER(D65),ISNUMBER(C65)),D65-C65,"")</f>
        <v>1997</v>
      </c>
      <c r="E69" s="17">
        <f t="shared" si="27"/>
        <v>-1340</v>
      </c>
      <c r="F69" s="17">
        <f t="shared" si="27"/>
        <v>12485</v>
      </c>
      <c r="G69" s="17"/>
      <c r="H69" s="17">
        <f>IF(AND(ISNUMBER(H65),ISNUMBER(F65)),H65-F65,"")</f>
        <v>-4799</v>
      </c>
      <c r="I69" s="17">
        <f t="shared" si="27"/>
        <v>-4399</v>
      </c>
      <c r="J69" s="37">
        <f t="shared" si="27"/>
        <v>2068</v>
      </c>
      <c r="K69" s="1"/>
      <c r="L69" s="1"/>
      <c r="M69" s="1"/>
    </row>
    <row r="70" ht="15" customHeight="1">
      <c r="A70" s="1"/>
      <c r="B70" s="1" t="s">
        <v>157</v>
      </c>
      <c r="C70" s="55">
        <f t="shared" si="28" ref="C70:J70">_xlfn.IFERROR(C65/C50,"")</f>
        <v>1.3487394957983194</v>
      </c>
      <c r="D70" s="55">
        <f t="shared" si="28"/>
        <v>1.4366989275438138</v>
      </c>
      <c r="E70" s="55">
        <f t="shared" si="28"/>
        <v>1.1319094003051284</v>
      </c>
      <c r="F70" s="55">
        <f t="shared" si="28"/>
        <v>2.4270673393288003</v>
      </c>
      <c r="G70" s="55">
        <f t="shared" si="28"/>
        <v>1.6197064070862939</v>
      </c>
      <c r="H70" s="55">
        <f t="shared" si="28"/>
        <v>1.943155062226707</v>
      </c>
      <c r="I70" s="55">
        <f t="shared" si="28"/>
        <v>1.3289487205837016</v>
      </c>
      <c r="J70" s="56">
        <f t="shared" si="28"/>
        <v>1.5092000837102981</v>
      </c>
      <c r="K70" s="1"/>
      <c r="L70" s="1"/>
      <c r="M70" s="1"/>
    </row>
    <row r="71" ht="15" customHeight="1">
      <c r="A71" s="1"/>
      <c r="B71" s="1" t="s">
        <v>112</v>
      </c>
      <c r="C71" s="55"/>
      <c r="D71" s="55"/>
      <c r="E71" s="55"/>
      <c r="F71" s="55"/>
      <c r="G71" s="55"/>
      <c r="H71" s="55">
        <f t="shared" si="3"/>
        <v>0.5944155664283877</v>
      </c>
      <c r="I71" s="55">
        <f t="shared" si="3"/>
        <v>-0.10775020696011217</v>
      </c>
      <c r="J71" s="56">
        <f t="shared" si="3"/>
        <v>0.3772906834051697</v>
      </c>
      <c r="K71" s="1"/>
      <c r="L71" s="1"/>
      <c r="M71" s="1"/>
    </row>
    <row r="72" ht="15" customHeight="1">
      <c r="A72" s="1"/>
      <c r="B72" s="1" t="s">
        <v>113</v>
      </c>
      <c r="C72" s="55"/>
      <c r="D72" s="55">
        <f t="shared" si="4"/>
        <v>0.08795943174549437</v>
      </c>
      <c r="E72" s="55">
        <f t="shared" si="4"/>
        <v>-0.30478952723868535</v>
      </c>
      <c r="F72" s="55">
        <f t="shared" si="4"/>
        <v>1.2951579390236718</v>
      </c>
      <c r="G72" s="55"/>
      <c r="H72" s="55">
        <f t="shared" si="6"/>
        <v>-0.48391227710209317</v>
      </c>
      <c r="I72" s="55">
        <f t="shared" si="4"/>
        <v>-0.6142063416430055</v>
      </c>
      <c r="J72" s="56">
        <f t="shared" si="4"/>
        <v>0.1802513631265965</v>
      </c>
      <c r="K72" s="1"/>
      <c r="L72" s="1"/>
      <c r="M72" s="1"/>
    </row>
    <row r="73" ht="15" customHeight="1">
      <c r="A73" s="1"/>
      <c r="B73" s="1" t="s">
        <v>158</v>
      </c>
      <c r="C73" s="17"/>
      <c r="D73" s="17"/>
      <c r="E73" s="17"/>
      <c r="F73" s="35">
        <v>9773</v>
      </c>
      <c r="G73" s="17">
        <f t="shared" si="30" ref="G73:G77">F73</f>
        <v>9773</v>
      </c>
      <c r="H73" s="35">
        <v>9679</v>
      </c>
      <c r="I73" s="35">
        <v>9618</v>
      </c>
      <c r="J73" s="37"/>
      <c r="K73" s="1"/>
      <c r="L73" s="1"/>
      <c r="M73" s="1"/>
    </row>
    <row r="74" ht="15" customHeight="1">
      <c r="A74" s="1"/>
      <c r="B74" s="1" t="s">
        <v>113</v>
      </c>
      <c r="C74" s="17"/>
      <c r="D74" s="17">
        <f t="shared" si="29" ref="D74:J90">IF(AND(ISNUMBER(D73),ISNUMBER(C73)),D73-C73,"")</f>
      </c>
      <c r="E74" s="17">
        <f t="shared" si="29"/>
      </c>
      <c r="F74" s="17">
        <f t="shared" si="29"/>
      </c>
      <c r="G74" s="17"/>
      <c r="H74" s="17">
        <f t="shared" si="31" ref="H74:H90">IF(AND(ISNUMBER(H73),ISNUMBER(F73)),H73-F73,"")</f>
        <v>-94</v>
      </c>
      <c r="I74" s="17">
        <f t="shared" si="29"/>
        <v>-61</v>
      </c>
      <c r="J74" s="37">
        <f t="shared" si="29"/>
      </c>
      <c r="K74" s="1"/>
      <c r="L74" s="1"/>
      <c r="M74" s="1"/>
    </row>
    <row r="75" ht="15" customHeight="1">
      <c r="A75" s="1"/>
      <c r="B75" s="1" t="s">
        <v>159</v>
      </c>
      <c r="C75" s="17"/>
      <c r="D75" s="17"/>
      <c r="E75" s="17"/>
      <c r="F75" s="35">
        <v>154712</v>
      </c>
      <c r="G75" s="17">
        <f t="shared" si="30"/>
        <v>154712</v>
      </c>
      <c r="H75" s="35">
        <v>171376</v>
      </c>
      <c r="I75" s="35">
        <v>170282</v>
      </c>
      <c r="J75" s="37"/>
      <c r="K75" s="1"/>
      <c r="L75" s="1"/>
      <c r="M75" s="1"/>
    </row>
    <row r="76" ht="15" customHeight="1">
      <c r="A76" s="1"/>
      <c r="B76" s="1" t="s">
        <v>113</v>
      </c>
      <c r="C76" s="17"/>
      <c r="D76" s="17">
        <f t="shared" si="29"/>
      </c>
      <c r="E76" s="17">
        <f t="shared" si="29"/>
      </c>
      <c r="F76" s="17">
        <f t="shared" si="29"/>
      </c>
      <c r="G76" s="17"/>
      <c r="H76" s="17">
        <f t="shared" si="31"/>
        <v>16664</v>
      </c>
      <c r="I76" s="17">
        <f t="shared" si="29"/>
        <v>-1094</v>
      </c>
      <c r="J76" s="37">
        <f t="shared" si="29"/>
      </c>
      <c r="K76" s="1"/>
      <c r="L76" s="1"/>
      <c r="M76" s="1"/>
    </row>
    <row r="77" ht="15" customHeight="1">
      <c r="A77" s="1"/>
      <c r="B77" s="3" t="s">
        <v>160</v>
      </c>
      <c r="C77" s="53">
        <v>148810</v>
      </c>
      <c r="D77" s="53">
        <v>150132</v>
      </c>
      <c r="E77" s="53">
        <v>151975</v>
      </c>
      <c r="F77" s="38">
        <f t="shared" si="32" ref="F77:I77">F73+F75</f>
        <v>164485</v>
      </c>
      <c r="G77" s="38">
        <f t="shared" si="30"/>
        <v>164485</v>
      </c>
      <c r="H77" s="38">
        <f t="shared" si="32"/>
        <v>181055</v>
      </c>
      <c r="I77" s="38">
        <f t="shared" si="32"/>
        <v>179900</v>
      </c>
      <c r="J77" s="39">
        <f>J83+J84</f>
        <v>184960.96</v>
      </c>
      <c r="K77" s="1"/>
      <c r="L77" s="1"/>
      <c r="M77" s="1"/>
    </row>
    <row r="78" ht="15" customHeight="1">
      <c r="A78" s="1"/>
      <c r="B78" s="1" t="s">
        <v>113</v>
      </c>
      <c r="C78" s="17"/>
      <c r="D78" s="17">
        <f t="shared" si="29"/>
        <v>1322</v>
      </c>
      <c r="E78" s="17">
        <f t="shared" si="29"/>
        <v>1843</v>
      </c>
      <c r="F78" s="17">
        <f t="shared" si="29"/>
        <v>12510</v>
      </c>
      <c r="G78" s="17"/>
      <c r="H78" s="17">
        <f t="shared" si="31"/>
        <v>16570</v>
      </c>
      <c r="I78" s="17">
        <f t="shared" si="29"/>
        <v>-1155</v>
      </c>
      <c r="J78" s="37">
        <f t="shared" si="29"/>
        <v>5060.959999999992</v>
      </c>
      <c r="K78" s="1"/>
      <c r="L78" s="1"/>
      <c r="M78" s="1"/>
    </row>
    <row r="79" ht="15" customHeight="1">
      <c r="A79" s="1"/>
      <c r="B79" s="4" t="s">
        <v>104</v>
      </c>
      <c r="C79" s="18"/>
      <c r="D79" s="18"/>
      <c r="E79" s="18"/>
      <c r="F79" s="18"/>
      <c r="G79" s="18"/>
      <c r="H79" s="18">
        <f t="shared" si="33" ref="H79:J79">IF(AND(ISNUMBER(H77),ISNUMBER(C77)),IF(C77&lt;&gt;0,H77/C77-1,""),"")</f>
        <v>0.21668570660573883</v>
      </c>
      <c r="I79" s="18">
        <f t="shared" si="33"/>
        <v>0.1982788479471398</v>
      </c>
      <c r="J79" s="32">
        <f t="shared" si="33"/>
        <v>0.21704859351867078</v>
      </c>
      <c r="K79" s="1"/>
      <c r="L79" s="1"/>
      <c r="M79" s="1"/>
    </row>
    <row r="80" ht="15" customHeight="1">
      <c r="A80" s="1"/>
      <c r="B80" s="1" t="s">
        <v>161</v>
      </c>
      <c r="C80" s="17"/>
      <c r="D80" s="17">
        <f t="shared" si="34" ref="D80:J80">C77</f>
        <v>148810</v>
      </c>
      <c r="E80" s="17">
        <f t="shared" si="34"/>
        <v>150132</v>
      </c>
      <c r="F80" s="17">
        <f t="shared" si="34"/>
        <v>151975</v>
      </c>
      <c r="G80" s="17"/>
      <c r="H80" s="17">
        <f>F77</f>
        <v>164485</v>
      </c>
      <c r="I80" s="17">
        <f t="shared" si="34"/>
        <v>181055</v>
      </c>
      <c r="J80" s="37">
        <f t="shared" si="34"/>
        <v>179900</v>
      </c>
      <c r="K80" s="1" t="s">
        <v>162</v>
      </c>
      <c r="L80" s="1"/>
      <c r="M80" s="1"/>
    </row>
    <row r="81" ht="15" customHeight="1">
      <c r="A81" s="1"/>
      <c r="B81" s="1" t="s">
        <v>163</v>
      </c>
      <c r="C81" s="17"/>
      <c r="D81" s="17">
        <f t="shared" si="35" ref="D81:J81">D65</f>
        <v>10985</v>
      </c>
      <c r="E81" s="17">
        <f t="shared" si="35"/>
        <v>9645</v>
      </c>
      <c r="F81" s="17">
        <f t="shared" si="35"/>
        <v>22130</v>
      </c>
      <c r="G81" s="17"/>
      <c r="H81" s="17">
        <f t="shared" si="35"/>
        <v>17331</v>
      </c>
      <c r="I81" s="17">
        <f t="shared" si="35"/>
        <v>12932</v>
      </c>
      <c r="J81" s="37">
        <f t="shared" si="35"/>
        <v>15000</v>
      </c>
      <c r="K81" s="1"/>
      <c r="L81" s="1"/>
      <c r="M81" s="1"/>
    </row>
    <row r="82" ht="15" customHeight="1">
      <c r="A82" s="1"/>
      <c r="B82" s="1" t="s">
        <v>164</v>
      </c>
      <c r="C82" s="17"/>
      <c r="D82" s="17">
        <f t="shared" si="36" ref="D82:J82">-D50</f>
        <v>-7646</v>
      </c>
      <c r="E82" s="17">
        <f t="shared" si="36"/>
        <v>-8521</v>
      </c>
      <c r="F82" s="17">
        <f t="shared" si="36"/>
        <v>-9118</v>
      </c>
      <c r="G82" s="17"/>
      <c r="H82" s="17">
        <f t="shared" si="36"/>
        <v>-8919</v>
      </c>
      <c r="I82" s="17">
        <f t="shared" si="36"/>
        <v>-9731</v>
      </c>
      <c r="J82" s="37">
        <f t="shared" si="36"/>
        <v>-9939.039999999999</v>
      </c>
      <c r="K82" s="1"/>
      <c r="L82" s="1"/>
      <c r="M82" s="1"/>
    </row>
    <row r="83" ht="15" customHeight="1">
      <c r="A83" s="1"/>
      <c r="B83" s="3" t="s">
        <v>165</v>
      </c>
      <c r="C83" s="38"/>
      <c r="D83" s="38">
        <f t="shared" si="37" ref="D83:J83">D80+D81+D82</f>
        <v>152149</v>
      </c>
      <c r="E83" s="38">
        <f t="shared" si="37"/>
        <v>151256</v>
      </c>
      <c r="F83" s="38">
        <f t="shared" si="37"/>
        <v>164987</v>
      </c>
      <c r="G83" s="38"/>
      <c r="H83" s="38">
        <f t="shared" si="37"/>
        <v>172897</v>
      </c>
      <c r="I83" s="38">
        <f t="shared" si="37"/>
        <v>184256</v>
      </c>
      <c r="J83" s="39">
        <f t="shared" si="37"/>
        <v>184960.96</v>
      </c>
      <c r="K83" s="1" t="s">
        <v>166</v>
      </c>
      <c r="L83" s="1"/>
      <c r="M83" s="1"/>
    </row>
    <row r="84" ht="15" customHeight="1">
      <c r="A84" s="1"/>
      <c r="B84" s="1" t="s">
        <v>167</v>
      </c>
      <c r="C84" s="17"/>
      <c r="D84" s="17">
        <f t="shared" si="38" ref="D84:I84">D77-D83</f>
        <v>-2017</v>
      </c>
      <c r="E84" s="17">
        <f t="shared" si="38"/>
        <v>719</v>
      </c>
      <c r="F84" s="17">
        <f t="shared" si="38"/>
        <v>-502</v>
      </c>
      <c r="G84" s="17"/>
      <c r="H84" s="17">
        <f t="shared" si="38"/>
        <v>8158</v>
      </c>
      <c r="I84" s="17">
        <f t="shared" si="38"/>
        <v>-4356</v>
      </c>
      <c r="J84" s="36">
        <v>0</v>
      </c>
      <c r="K84" s="1" t="s">
        <v>168</v>
      </c>
      <c r="L84" s="1"/>
      <c r="M84" s="1"/>
    </row>
    <row r="85" ht="15" customHeight="1">
      <c r="A85" s="1"/>
      <c r="B85" s="3" t="s">
        <v>169</v>
      </c>
      <c r="C85" s="38"/>
      <c r="D85" s="38">
        <f t="shared" si="39" ref="D85:J85">D77</f>
        <v>150132</v>
      </c>
      <c r="E85" s="38">
        <f t="shared" si="39"/>
        <v>151975</v>
      </c>
      <c r="F85" s="38">
        <f t="shared" si="39"/>
        <v>164485</v>
      </c>
      <c r="G85" s="38"/>
      <c r="H85" s="38">
        <f t="shared" si="39"/>
        <v>181055</v>
      </c>
      <c r="I85" s="38">
        <f t="shared" si="39"/>
        <v>179900</v>
      </c>
      <c r="J85" s="39">
        <f t="shared" si="39"/>
        <v>184960.96</v>
      </c>
      <c r="K85" s="1" t="s">
        <v>170</v>
      </c>
      <c r="L85" s="1"/>
      <c r="M85" s="1"/>
    </row>
    <row r="86" ht="15" customHeight="1">
      <c r="A86" s="1"/>
      <c r="B86" s="1" t="s">
        <v>113</v>
      </c>
      <c r="C86" s="17"/>
      <c r="D86" s="17">
        <f t="shared" si="29"/>
      </c>
      <c r="E86" s="17">
        <f t="shared" si="29"/>
        <v>1843</v>
      </c>
      <c r="F86" s="17">
        <f t="shared" si="29"/>
        <v>12510</v>
      </c>
      <c r="G86" s="17"/>
      <c r="H86" s="17">
        <f t="shared" si="31"/>
        <v>16570</v>
      </c>
      <c r="I86" s="17">
        <f t="shared" si="29"/>
        <v>-1155</v>
      </c>
      <c r="J86" s="37">
        <f t="shared" si="29"/>
        <v>5060.959999999992</v>
      </c>
      <c r="K86" s="1"/>
      <c r="L86" s="1"/>
      <c r="M86" s="1"/>
    </row>
    <row r="87" ht="15" customHeight="1">
      <c r="A87" s="1"/>
      <c r="B87" s="1" t="s">
        <v>171</v>
      </c>
      <c r="C87" s="17"/>
      <c r="D87" s="17">
        <f t="shared" si="40" ref="D87:J87">AVERAGE(D80,D85)</f>
        <v>149471</v>
      </c>
      <c r="E87" s="17">
        <f t="shared" si="40"/>
        <v>151053.5</v>
      </c>
      <c r="F87" s="17">
        <f t="shared" si="40"/>
        <v>158230</v>
      </c>
      <c r="G87" s="17"/>
      <c r="H87" s="17">
        <f t="shared" si="40"/>
        <v>172770</v>
      </c>
      <c r="I87" s="17">
        <f t="shared" si="40"/>
        <v>180477.5</v>
      </c>
      <c r="J87" s="37">
        <f t="shared" si="40"/>
        <v>182430.47999999998</v>
      </c>
      <c r="K87" s="1"/>
      <c r="L87" s="1"/>
      <c r="M87" s="1"/>
    </row>
    <row r="88" ht="15" customHeight="1">
      <c r="A88" s="1"/>
      <c r="B88" s="1" t="s">
        <v>113</v>
      </c>
      <c r="C88" s="17"/>
      <c r="D88" s="17">
        <f t="shared" si="29"/>
      </c>
      <c r="E88" s="17">
        <f t="shared" si="29"/>
        <v>1582.5</v>
      </c>
      <c r="F88" s="17">
        <f t="shared" si="29"/>
        <v>7176.5</v>
      </c>
      <c r="G88" s="17"/>
      <c r="H88" s="17">
        <f t="shared" si="31"/>
        <v>14540</v>
      </c>
      <c r="I88" s="17">
        <f t="shared" si="29"/>
        <v>7707.5</v>
      </c>
      <c r="J88" s="37">
        <f t="shared" si="29"/>
        <v>1952.9799999999814</v>
      </c>
      <c r="K88" s="1"/>
      <c r="L88" s="1"/>
      <c r="M88" s="1"/>
    </row>
    <row r="89" ht="15" customHeight="1">
      <c r="A89" s="1"/>
      <c r="B89" s="1" t="s">
        <v>172</v>
      </c>
      <c r="C89" s="55"/>
      <c r="D89" s="55">
        <f t="shared" si="41" ref="D89:J89">_xlfn.IFERROR(D85/D50,"")</f>
        <v>19.635364896678002</v>
      </c>
      <c r="E89" s="55">
        <f t="shared" si="41"/>
        <v>17.83534796385401</v>
      </c>
      <c r="F89" s="55">
        <f t="shared" si="41"/>
        <v>18.039592015792937</v>
      </c>
      <c r="G89" s="55"/>
      <c r="H89" s="55">
        <f t="shared" si="41"/>
        <v>20.29992151586501</v>
      </c>
      <c r="I89" s="55">
        <f t="shared" si="41"/>
        <v>18.48730860137704</v>
      </c>
      <c r="J89" s="56">
        <f t="shared" si="41"/>
        <v>18.60953975434247</v>
      </c>
      <c r="K89" s="1" t="s">
        <v>173</v>
      </c>
      <c r="L89" s="1"/>
      <c r="M89" s="1"/>
    </row>
    <row r="90" ht="15" customHeight="1">
      <c r="A90" s="1"/>
      <c r="B90" s="1" t="s">
        <v>113</v>
      </c>
      <c r="C90" s="55"/>
      <c r="D90" s="55">
        <f t="shared" si="29"/>
      </c>
      <c r="E90" s="55">
        <f t="shared" si="29"/>
        <v>-1.8000169328239934</v>
      </c>
      <c r="F90" s="55">
        <f t="shared" si="29"/>
        <v>0.2042440519389288</v>
      </c>
      <c r="G90" s="55"/>
      <c r="H90" s="55">
        <f t="shared" si="31"/>
        <v>2.2603295000720713</v>
      </c>
      <c r="I90" s="55">
        <f t="shared" si="29"/>
        <v>-1.8126129144879677</v>
      </c>
      <c r="J90" s="56">
        <f t="shared" si="29"/>
        <v>0.12223115296542986</v>
      </c>
      <c r="K90" s="1"/>
      <c r="L90" s="1"/>
      <c r="M90" s="1"/>
    </row>
    <row r="91" ht="15" customHeight="1">
      <c r="A91" s="1"/>
      <c r="B91" s="28" t="s">
        <v>174</v>
      </c>
      <c r="C91" s="29"/>
      <c r="D91" s="29"/>
      <c r="E91" s="29"/>
      <c r="F91" s="29"/>
      <c r="G91" s="29"/>
      <c r="H91" s="29"/>
      <c r="I91" s="29"/>
      <c r="J91" s="30"/>
      <c r="K91" s="29"/>
      <c r="L91" s="1"/>
      <c r="M91" s="1"/>
    </row>
    <row r="92" ht="15" customHeight="1">
      <c r="A92" s="1"/>
      <c r="B92" s="3" t="s">
        <v>103</v>
      </c>
      <c r="C92" s="53">
        <v>1910</v>
      </c>
      <c r="D92" s="53">
        <v>2208</v>
      </c>
      <c r="E92" s="53">
        <v>2384</v>
      </c>
      <c r="F92" s="53">
        <v>2160</v>
      </c>
      <c r="G92" s="38">
        <f t="shared" si="12"/>
        <v>8662</v>
      </c>
      <c r="H92" s="53">
        <v>2356</v>
      </c>
      <c r="I92" s="53">
        <v>2657</v>
      </c>
      <c r="J92" s="39">
        <f>J50*J95</f>
        <v>2723.29696</v>
      </c>
      <c r="K92" s="1" t="s">
        <v>175</v>
      </c>
      <c r="L92" s="1"/>
      <c r="M92" s="1"/>
    </row>
    <row r="93" ht="15" customHeight="1">
      <c r="A93" s="1"/>
      <c r="B93" s="4" t="s">
        <v>104</v>
      </c>
      <c r="C93" s="18"/>
      <c r="D93" s="18"/>
      <c r="E93" s="18"/>
      <c r="F93" s="18"/>
      <c r="G93" s="18"/>
      <c r="H93" s="18">
        <f t="shared" si="13"/>
        <v>0.2335078534031414</v>
      </c>
      <c r="I93" s="18">
        <f t="shared" si="13"/>
        <v>0.2033514492753623</v>
      </c>
      <c r="J93" s="32">
        <f t="shared" si="13"/>
        <v>0.1423225503355705</v>
      </c>
      <c r="K93" s="1"/>
      <c r="L93" s="1"/>
      <c r="M93" s="1"/>
    </row>
    <row r="94" ht="15" customHeight="1">
      <c r="A94" s="1"/>
      <c r="B94" s="4" t="s">
        <v>67</v>
      </c>
      <c r="C94" s="18"/>
      <c r="D94" s="18">
        <f t="shared" si="14"/>
        <v>0.15602094240837694</v>
      </c>
      <c r="E94" s="18">
        <f t="shared" si="14"/>
        <v>0.07971014492753614</v>
      </c>
      <c r="F94" s="18">
        <f t="shared" si="14"/>
        <v>-0.09395973154362414</v>
      </c>
      <c r="G94" s="18"/>
      <c r="H94" s="18">
        <f t="shared" si="19"/>
        <v>0.09074074074074079</v>
      </c>
      <c r="I94" s="18">
        <f t="shared" si="14"/>
        <v>0.12775891341256362</v>
      </c>
      <c r="J94" s="32">
        <f t="shared" si="14"/>
        <v>0.024951810312382472</v>
      </c>
      <c r="K94" s="1"/>
      <c r="L94" s="1"/>
      <c r="M94" s="1"/>
    </row>
    <row r="95" ht="15" customHeight="1">
      <c r="A95" s="1"/>
      <c r="B95" s="4" t="s">
        <v>176</v>
      </c>
      <c r="C95" s="18">
        <f t="shared" si="42" ref="C95:I95">_xlfn.IFERROR(C92/C50,"")</f>
        <v>0.28661464585834334</v>
      </c>
      <c r="D95" s="18">
        <f t="shared" si="42"/>
        <v>0.28877844624640336</v>
      </c>
      <c r="E95" s="18">
        <f t="shared" si="42"/>
        <v>0.2797793686187067</v>
      </c>
      <c r="F95" s="18">
        <f t="shared" si="42"/>
        <v>0.23689405571397237</v>
      </c>
      <c r="G95" s="18">
        <f t="shared" si="42"/>
        <v>0.27111959685749165</v>
      </c>
      <c r="H95" s="18">
        <f t="shared" si="42"/>
        <v>0.2641551743468999</v>
      </c>
      <c r="I95" s="18">
        <f t="shared" si="42"/>
        <v>0.2730449080258966</v>
      </c>
      <c r="J95" s="52">
        <v>0.274</v>
      </c>
      <c r="K95" s="1" t="s">
        <v>177</v>
      </c>
      <c r="L95" s="1"/>
      <c r="M95" s="1"/>
    </row>
    <row r="96" ht="15" customHeight="1">
      <c r="A96" s="1"/>
      <c r="B96" s="1" t="s">
        <v>106</v>
      </c>
      <c r="C96" s="33"/>
      <c r="D96" s="33"/>
      <c r="E96" s="33"/>
      <c r="F96" s="33"/>
      <c r="G96" s="33"/>
      <c r="H96" s="33">
        <f t="shared" si="9"/>
        <v>-224.5947151144345</v>
      </c>
      <c r="I96" s="33">
        <f t="shared" si="9"/>
        <v>-157.3353822050677</v>
      </c>
      <c r="J96" s="34">
        <f t="shared" si="9"/>
        <v>-57.79368618706704</v>
      </c>
      <c r="K96" s="1"/>
      <c r="L96" s="1"/>
      <c r="M96" s="1"/>
    </row>
    <row r="97" ht="15" customHeight="1">
      <c r="A97" s="1"/>
      <c r="B97" s="1" t="s">
        <v>107</v>
      </c>
      <c r="C97" s="33"/>
      <c r="D97" s="33">
        <f t="shared" si="10"/>
        <v>21.63800388060022</v>
      </c>
      <c r="E97" s="33">
        <f t="shared" si="10"/>
        <v>-89.99077627696639</v>
      </c>
      <c r="F97" s="33">
        <f t="shared" si="10"/>
        <v>-428.85312904734354</v>
      </c>
      <c r="G97" s="33"/>
      <c r="H97" s="33">
        <f t="shared" si="16"/>
        <v>272.61118632927514</v>
      </c>
      <c r="I97" s="33">
        <f t="shared" si="10"/>
        <v>88.89733678996703</v>
      </c>
      <c r="J97" s="34">
        <f t="shared" si="10"/>
        <v>9.550919741034281</v>
      </c>
      <c r="K97" s="1"/>
      <c r="L97" s="1"/>
      <c r="M97" s="1"/>
    </row>
    <row r="98" ht="15" customHeight="1">
      <c r="A98" s="1"/>
      <c r="B98" s="28" t="s">
        <v>178</v>
      </c>
      <c r="C98" s="29"/>
      <c r="D98" s="29"/>
      <c r="E98" s="29"/>
      <c r="F98" s="29"/>
      <c r="G98" s="29"/>
      <c r="H98" s="29"/>
      <c r="I98" s="29"/>
      <c r="J98" s="30"/>
      <c r="K98" s="29"/>
      <c r="L98" s="1"/>
      <c r="M98" s="1"/>
    </row>
    <row r="99" ht="15" customHeight="1">
      <c r="A99" s="1"/>
      <c r="B99" s="1" t="s">
        <v>179</v>
      </c>
      <c r="C99" s="35">
        <v>4215</v>
      </c>
      <c r="D99" s="35">
        <v>4925</v>
      </c>
      <c r="E99" s="17"/>
      <c r="F99" s="17"/>
      <c r="G99" s="17"/>
      <c r="H99" s="35">
        <v>5890</v>
      </c>
      <c r="I99" s="35">
        <v>6398</v>
      </c>
      <c r="J99" s="37"/>
      <c r="K99" s="1"/>
      <c r="L99" s="1"/>
      <c r="M99" s="1"/>
    </row>
    <row r="100" ht="15" customHeight="1">
      <c r="A100" s="1"/>
      <c r="B100" s="4" t="s">
        <v>180</v>
      </c>
      <c r="C100" s="18">
        <f t="shared" si="43" ref="C100:I100">_xlfn.IFERROR(C99/C56,"")</f>
        <v>0.6325979288608735</v>
      </c>
      <c r="D100" s="18">
        <f t="shared" si="43"/>
        <v>0.6441276484436307</v>
      </c>
      <c r="E100" s="18"/>
      <c r="F100" s="18"/>
      <c r="G100" s="18"/>
      <c r="H100" s="18">
        <f t="shared" si="43"/>
        <v>0.6603139013452914</v>
      </c>
      <c r="I100" s="18">
        <f t="shared" si="43"/>
        <v>0.6574863837221252</v>
      </c>
      <c r="J100" s="32"/>
      <c r="K100" s="1"/>
      <c r="L100" s="1"/>
      <c r="M100" s="1"/>
    </row>
    <row r="101" ht="15" customHeight="1">
      <c r="A101" s="1"/>
      <c r="B101" s="1" t="s">
        <v>106</v>
      </c>
      <c r="C101" s="33"/>
      <c r="D101" s="33"/>
      <c r="E101" s="33"/>
      <c r="F101" s="33"/>
      <c r="G101" s="33"/>
      <c r="H101" s="33">
        <f t="shared" si="9"/>
        <v>277.15972484417927</v>
      </c>
      <c r="I101" s="33">
        <f t="shared" si="9"/>
        <v>133.58735278494515</v>
      </c>
      <c r="J101" s="34">
        <f t="shared" si="9"/>
      </c>
      <c r="K101" s="1"/>
      <c r="L101" s="1"/>
      <c r="M101" s="1"/>
    </row>
    <row r="102" ht="15" customHeight="1">
      <c r="A102" s="1"/>
      <c r="B102" s="1" t="s">
        <v>107</v>
      </c>
      <c r="C102" s="33"/>
      <c r="D102" s="33">
        <f t="shared" si="10"/>
        <v>115.2971958275717</v>
      </c>
      <c r="E102" s="33">
        <f t="shared" si="10"/>
      </c>
      <c r="F102" s="33">
        <f t="shared" si="10"/>
      </c>
      <c r="G102" s="33"/>
      <c r="H102" s="33">
        <f t="shared" si="16"/>
      </c>
      <c r="I102" s="33">
        <f t="shared" si="10"/>
        <v>-28.275176231662424</v>
      </c>
      <c r="J102" s="34">
        <f t="shared" si="10"/>
      </c>
      <c r="K102" s="1"/>
      <c r="L102" s="1"/>
      <c r="M102" s="1"/>
    </row>
    <row r="103" ht="15" customHeight="1">
      <c r="A103" s="1"/>
      <c r="B103" s="1" t="s">
        <v>181</v>
      </c>
      <c r="C103" s="35">
        <v>409</v>
      </c>
      <c r="D103" s="35">
        <v>423</v>
      </c>
      <c r="E103" s="17"/>
      <c r="F103" s="17"/>
      <c r="G103" s="17"/>
      <c r="H103" s="35">
        <v>496</v>
      </c>
      <c r="I103" s="35">
        <v>507</v>
      </c>
      <c r="J103" s="37"/>
      <c r="K103" s="1"/>
      <c r="L103" s="1"/>
      <c r="M103" s="1"/>
    </row>
    <row r="104" ht="15" customHeight="1">
      <c r="A104" s="1"/>
      <c r="B104" s="4" t="s">
        <v>180</v>
      </c>
      <c r="C104" s="18">
        <f t="shared" si="44" ref="C104:I104">_xlfn.IFERROR(C103/C56,"")</f>
        <v>0.06138376106858772</v>
      </c>
      <c r="D104" s="18">
        <f t="shared" si="44"/>
        <v>0.05532304472927021</v>
      </c>
      <c r="E104" s="18"/>
      <c r="F104" s="18"/>
      <c r="G104" s="18"/>
      <c r="H104" s="18">
        <f t="shared" si="44"/>
        <v>0.05560538116591928</v>
      </c>
      <c r="I104" s="18">
        <f t="shared" si="44"/>
        <v>0.05210153118898366</v>
      </c>
      <c r="J104" s="32"/>
      <c r="K104" s="1"/>
      <c r="L104" s="1"/>
      <c r="M104" s="1"/>
    </row>
    <row r="105" ht="15" customHeight="1">
      <c r="A105" s="1"/>
      <c r="B105" s="1" t="s">
        <v>106</v>
      </c>
      <c r="C105" s="33"/>
      <c r="D105" s="33"/>
      <c r="E105" s="33"/>
      <c r="F105" s="33"/>
      <c r="G105" s="33"/>
      <c r="H105" s="33">
        <f t="shared" si="9"/>
        <v>-57.7837990266844</v>
      </c>
      <c r="I105" s="33">
        <f t="shared" si="9"/>
        <v>-32.21513540286547</v>
      </c>
      <c r="J105" s="34">
        <f t="shared" si="9"/>
      </c>
      <c r="K105" s="1"/>
      <c r="L105" s="1"/>
      <c r="M105" s="1"/>
    </row>
    <row r="106" ht="15" customHeight="1">
      <c r="A106" s="1"/>
      <c r="B106" s="1" t="s">
        <v>107</v>
      </c>
      <c r="C106" s="33"/>
      <c r="D106" s="33">
        <f t="shared" si="10"/>
        <v>-60.60716339317512</v>
      </c>
      <c r="E106" s="33">
        <f t="shared" si="10"/>
      </c>
      <c r="F106" s="33">
        <f t="shared" si="10"/>
      </c>
      <c r="G106" s="33"/>
      <c r="H106" s="33">
        <f t="shared" si="16"/>
      </c>
      <c r="I106" s="33">
        <f t="shared" si="10"/>
        <v>-35.03849976935619</v>
      </c>
      <c r="J106" s="34">
        <f t="shared" si="10"/>
      </c>
      <c r="K106" s="1"/>
      <c r="L106" s="1"/>
      <c r="M106" s="1"/>
    </row>
    <row r="107" ht="15" customHeight="1">
      <c r="A107" s="1"/>
      <c r="B107" s="1" t="s">
        <v>182</v>
      </c>
      <c r="C107" s="35">
        <v>285</v>
      </c>
      <c r="D107" s="35">
        <v>297</v>
      </c>
      <c r="E107" s="17"/>
      <c r="F107" s="17"/>
      <c r="G107" s="17"/>
      <c r="H107" s="35">
        <v>349</v>
      </c>
      <c r="I107" s="35">
        <v>386</v>
      </c>
      <c r="J107" s="37"/>
      <c r="K107" s="1"/>
      <c r="L107" s="1"/>
      <c r="M107" s="1"/>
    </row>
    <row r="108" ht="15" customHeight="1">
      <c r="A108" s="1"/>
      <c r="B108" s="4" t="s">
        <v>180</v>
      </c>
      <c r="C108" s="18">
        <f t="shared" si="45" ref="C108:I108">_xlfn.IFERROR(C107/C56,"")</f>
        <v>0.04277352543899145</v>
      </c>
      <c r="D108" s="18">
        <f t="shared" si="45"/>
        <v>0.0388438399162961</v>
      </c>
      <c r="E108" s="18"/>
      <c r="F108" s="18"/>
      <c r="G108" s="18"/>
      <c r="H108" s="18">
        <f t="shared" si="45"/>
        <v>0.03912556053811659</v>
      </c>
      <c r="I108" s="18">
        <f t="shared" si="45"/>
        <v>0.039667043469324835</v>
      </c>
      <c r="J108" s="32"/>
      <c r="K108" s="1"/>
      <c r="L108" s="1"/>
      <c r="M108" s="1"/>
    </row>
    <row r="109" ht="15" customHeight="1">
      <c r="A109" s="1"/>
      <c r="B109" s="1" t="s">
        <v>106</v>
      </c>
      <c r="C109" s="33"/>
      <c r="D109" s="33"/>
      <c r="E109" s="33"/>
      <c r="F109" s="33"/>
      <c r="G109" s="33"/>
      <c r="H109" s="33">
        <f t="shared" si="9"/>
        <v>-36.479649008748574</v>
      </c>
      <c r="I109" s="33">
        <f t="shared" si="9"/>
        <v>8.232035530287355</v>
      </c>
      <c r="J109" s="34">
        <f t="shared" si="9"/>
      </c>
      <c r="K109" s="1"/>
      <c r="L109" s="1"/>
      <c r="M109" s="1"/>
    </row>
    <row r="110" ht="15" customHeight="1">
      <c r="A110" s="1"/>
      <c r="B110" s="1" t="s">
        <v>107</v>
      </c>
      <c r="C110" s="33"/>
      <c r="D110" s="33">
        <f t="shared" si="10"/>
        <v>-39.296855226953475</v>
      </c>
      <c r="E110" s="33">
        <f t="shared" si="10"/>
      </c>
      <c r="F110" s="33">
        <f t="shared" si="10"/>
      </c>
      <c r="G110" s="33"/>
      <c r="H110" s="33">
        <f t="shared" si="16"/>
      </c>
      <c r="I110" s="33">
        <f t="shared" si="10"/>
        <v>5.414829312082453</v>
      </c>
      <c r="J110" s="34">
        <f t="shared" si="10"/>
      </c>
      <c r="K110" s="1"/>
      <c r="L110" s="1"/>
      <c r="M110" s="1"/>
    </row>
    <row r="111" ht="15" customHeight="1">
      <c r="A111" s="1"/>
      <c r="B111" s="1" t="s">
        <v>183</v>
      </c>
      <c r="C111" s="35">
        <v>-156</v>
      </c>
      <c r="D111" s="35">
        <v>-207</v>
      </c>
      <c r="E111" s="17"/>
      <c r="F111" s="17"/>
      <c r="G111" s="17"/>
      <c r="H111" s="35">
        <v>-171</v>
      </c>
      <c r="I111" s="35">
        <v>-218</v>
      </c>
      <c r="J111" s="37"/>
      <c r="K111" s="1"/>
      <c r="L111" s="1"/>
      <c r="M111" s="1"/>
    </row>
    <row r="112" ht="15" customHeight="1">
      <c r="A112" s="1"/>
      <c r="B112" s="4" t="s">
        <v>180</v>
      </c>
      <c r="C112" s="18">
        <f t="shared" si="46" ref="C112:I112">_xlfn.IFERROR(C111/C56,"")</f>
        <v>-0.02341287708239532</v>
      </c>
      <c r="D112" s="18">
        <f t="shared" si="46"/>
        <v>-0.027072979335600315</v>
      </c>
      <c r="E112" s="18"/>
      <c r="F112" s="18"/>
      <c r="G112" s="18"/>
      <c r="H112" s="18">
        <f t="shared" si="46"/>
        <v>-0.019170403587443947</v>
      </c>
      <c r="I112" s="18">
        <f t="shared" si="46"/>
        <v>-0.02240263076764978</v>
      </c>
      <c r="J112" s="32"/>
      <c r="K112" s="1"/>
      <c r="L112" s="1"/>
      <c r="M112" s="1"/>
    </row>
    <row r="113" ht="15" customHeight="1">
      <c r="A113" s="1"/>
      <c r="B113" s="1" t="s">
        <v>106</v>
      </c>
      <c r="C113" s="33"/>
      <c r="D113" s="33"/>
      <c r="E113" s="33"/>
      <c r="F113" s="33"/>
      <c r="G113" s="33"/>
      <c r="H113" s="33">
        <f t="shared" si="9"/>
        <v>42.42473494951371</v>
      </c>
      <c r="I113" s="33">
        <f t="shared" si="9"/>
        <v>46.70348567950535</v>
      </c>
      <c r="J113" s="34">
        <f t="shared" si="9"/>
      </c>
      <c r="K113" s="1"/>
      <c r="L113" s="1"/>
      <c r="M113" s="1"/>
    </row>
    <row r="114" ht="15" customHeight="1">
      <c r="A114" s="1"/>
      <c r="B114" s="1" t="s">
        <v>107</v>
      </c>
      <c r="C114" s="33"/>
      <c r="D114" s="33">
        <f t="shared" si="10"/>
        <v>-36.60102253204997</v>
      </c>
      <c r="E114" s="33">
        <f t="shared" si="10"/>
      </c>
      <c r="F114" s="33">
        <f t="shared" si="10"/>
      </c>
      <c r="G114" s="33"/>
      <c r="H114" s="33">
        <f t="shared" si="16"/>
      </c>
      <c r="I114" s="33">
        <f t="shared" si="10"/>
        <v>-32.32227180205834</v>
      </c>
      <c r="J114" s="34">
        <f t="shared" si="10"/>
      </c>
      <c r="K114" s="1"/>
      <c r="L114" s="1"/>
      <c r="M114" s="1"/>
    </row>
    <row r="115" ht="15" customHeight="1">
      <c r="A115" s="1"/>
      <c r="B115" s="3" t="s">
        <v>184</v>
      </c>
      <c r="C115" s="38">
        <f t="shared" si="47" ref="C115:I115">C99+C103+C107+C111</f>
        <v>4753</v>
      </c>
      <c r="D115" s="38">
        <f t="shared" si="47"/>
        <v>5438</v>
      </c>
      <c r="E115" s="38"/>
      <c r="F115" s="38"/>
      <c r="G115" s="38"/>
      <c r="H115" s="38">
        <f t="shared" si="47"/>
        <v>6564</v>
      </c>
      <c r="I115" s="38">
        <f t="shared" si="47"/>
        <v>7073</v>
      </c>
      <c r="J115" s="39"/>
      <c r="K115" s="1"/>
      <c r="L115" s="1"/>
      <c r="M115" s="1"/>
    </row>
    <row r="116" ht="15" customHeight="1">
      <c r="A116" s="1"/>
      <c r="B116" s="1" t="s">
        <v>185</v>
      </c>
      <c r="C116" s="40" t="b">
        <f t="shared" si="48" ref="C116:I116">ABS(C56-C115-C92)&lt;=1</f>
        <v>1</v>
      </c>
      <c r="D116" s="40" t="b">
        <f t="shared" si="48"/>
        <v>1</v>
      </c>
      <c r="E116" s="40"/>
      <c r="F116" s="40"/>
      <c r="G116" s="40"/>
      <c r="H116" s="40" t="b">
        <f t="shared" si="48"/>
        <v>1</v>
      </c>
      <c r="I116" s="40" t="b">
        <f t="shared" si="48"/>
        <v>1</v>
      </c>
      <c r="J116" s="27"/>
      <c r="K116" s="1" t="s">
        <v>186</v>
      </c>
      <c r="L116" s="1"/>
      <c r="M116" s="1"/>
    </row>
    <row r="117" ht="1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ht="1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ht="1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0F6F328-FB78-41C8-D4CD-C515E2005F1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46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187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52</v>
      </c>
      <c r="C5" s="6" t="s">
        <v>53</v>
      </c>
      <c r="D5" s="6" t="s">
        <v>54</v>
      </c>
      <c r="E5" s="6" t="s">
        <v>55</v>
      </c>
      <c r="F5" s="6" t="s">
        <v>56</v>
      </c>
      <c r="G5" s="6" t="s">
        <v>57</v>
      </c>
      <c r="H5" s="6" t="s">
        <v>58</v>
      </c>
      <c r="I5" s="6" t="s">
        <v>59</v>
      </c>
      <c r="J5" s="26" t="s">
        <v>60</v>
      </c>
      <c r="K5" s="5" t="s">
        <v>3</v>
      </c>
      <c r="L5" s="1"/>
      <c r="M5" s="1"/>
    </row>
    <row r="6" ht="15" customHeight="1">
      <c r="A6" s="1"/>
      <c r="B6" s="8" t="s">
        <v>61</v>
      </c>
      <c r="C6" s="9">
        <f>DATE(2025,3,31)</f>
        <v>45747</v>
      </c>
      <c r="D6" s="9">
        <f>DATE(2025,6,30)</f>
        <v>45838</v>
      </c>
      <c r="E6" s="9">
        <f>DATE(2025,9,30)</f>
        <v>45930</v>
      </c>
      <c r="F6" s="9">
        <f t="shared" si="0" ref="F6:G6">DATE(2025,12,31)</f>
        <v>46022</v>
      </c>
      <c r="G6" s="9">
        <f t="shared" si="0"/>
        <v>46022</v>
      </c>
      <c r="H6" s="9">
        <f>DATE(2026,3,31)</f>
        <v>46112</v>
      </c>
      <c r="I6" s="9">
        <f>DATE(2026,6,30)</f>
        <v>46203</v>
      </c>
      <c r="J6" s="9">
        <f>DATE(2026,9,30)</f>
        <v>46295</v>
      </c>
      <c r="K6" s="8"/>
      <c r="L6" s="1"/>
      <c r="M6" s="1"/>
    </row>
    <row r="7" ht="15" customHeight="1">
      <c r="A7" s="1"/>
      <c r="B7" s="10" t="s">
        <v>62</v>
      </c>
      <c r="C7" s="11">
        <f t="shared" si="2" ref="C7:G7">C6-DATE(2024,12,31)</f>
        <v>90</v>
      </c>
      <c r="D7" s="11">
        <f t="shared" si="1" ref="D7:J7">D6-C6</f>
        <v>91</v>
      </c>
      <c r="E7" s="11">
        <f t="shared" si="1"/>
        <v>92</v>
      </c>
      <c r="F7" s="11">
        <f t="shared" si="1"/>
        <v>92</v>
      </c>
      <c r="G7" s="11">
        <f t="shared" si="2"/>
        <v>365</v>
      </c>
      <c r="H7" s="11">
        <f>H6-F6</f>
        <v>90</v>
      </c>
      <c r="I7" s="11">
        <f t="shared" si="1"/>
        <v>91</v>
      </c>
      <c r="J7" s="11">
        <f t="shared" si="1"/>
        <v>92</v>
      </c>
      <c r="K7" s="10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27"/>
      <c r="K8" s="1"/>
      <c r="L8" s="1"/>
      <c r="M8" s="1"/>
    </row>
    <row r="9" ht="15" customHeight="1">
      <c r="A9" s="1"/>
      <c r="B9" s="28" t="s">
        <v>121</v>
      </c>
      <c r="C9" s="29"/>
      <c r="D9" s="29"/>
      <c r="E9" s="29"/>
      <c r="F9" s="29"/>
      <c r="G9" s="29"/>
      <c r="H9" s="29"/>
      <c r="I9" s="29"/>
      <c r="J9" s="30"/>
      <c r="K9" s="29"/>
      <c r="L9" s="1"/>
      <c r="M9" s="1"/>
    </row>
    <row r="10" ht="15" customHeight="1">
      <c r="A10" s="1"/>
      <c r="B10" s="1" t="s">
        <v>188</v>
      </c>
      <c r="C10" s="46">
        <v>149</v>
      </c>
      <c r="D10" s="46">
        <v>186</v>
      </c>
      <c r="E10" s="46">
        <v>195</v>
      </c>
      <c r="F10" s="46">
        <v>199</v>
      </c>
      <c r="G10" s="33">
        <f t="shared" si="16" ref="G10:G92">SUM(C10:F10)</f>
        <v>729</v>
      </c>
      <c r="H10" s="46">
        <v>185</v>
      </c>
      <c r="I10" s="46">
        <v>199</v>
      </c>
      <c r="J10" s="47">
        <v>205</v>
      </c>
      <c r="K10" s="1" t="s">
        <v>189</v>
      </c>
      <c r="L10" s="1"/>
      <c r="M10" s="1"/>
    </row>
    <row r="11" ht="15" customHeight="1">
      <c r="A11" s="1"/>
      <c r="B11" s="1" t="s">
        <v>112</v>
      </c>
      <c r="C11" s="33"/>
      <c r="D11" s="33"/>
      <c r="E11" s="33"/>
      <c r="F11" s="33"/>
      <c r="G11" s="33"/>
      <c r="H11" s="33">
        <f t="shared" si="3" ref="H11:J71">IF(AND(ISNUMBER(H10),ISNUMBER(C10)),H10-C10,"")</f>
        <v>36</v>
      </c>
      <c r="I11" s="33">
        <f t="shared" si="3"/>
        <v>13</v>
      </c>
      <c r="J11" s="34">
        <f t="shared" si="3"/>
        <v>10</v>
      </c>
      <c r="K11" s="1"/>
      <c r="L11" s="1"/>
      <c r="M11" s="1"/>
    </row>
    <row r="12" ht="15" customHeight="1">
      <c r="A12" s="1"/>
      <c r="B12" s="1" t="s">
        <v>113</v>
      </c>
      <c r="C12" s="33"/>
      <c r="D12" s="33">
        <f t="shared" si="4" ref="D12:J72">IF(AND(ISNUMBER(D10),ISNUMBER(C10)),D10-C10,"")</f>
        <v>37</v>
      </c>
      <c r="E12" s="33">
        <f t="shared" si="4"/>
        <v>9</v>
      </c>
      <c r="F12" s="33">
        <f t="shared" si="4"/>
        <v>4</v>
      </c>
      <c r="G12" s="33"/>
      <c r="H12" s="33">
        <f t="shared" si="7" ref="H12:H72">IF(AND(ISNUMBER(H10),ISNUMBER(F10)),H10-F10,"")</f>
        <v>-14</v>
      </c>
      <c r="I12" s="33">
        <f t="shared" si="4"/>
        <v>14</v>
      </c>
      <c r="J12" s="34">
        <f t="shared" si="4"/>
        <v>6</v>
      </c>
      <c r="K12" s="1"/>
      <c r="L12" s="1"/>
      <c r="M12" s="1"/>
    </row>
    <row r="13" ht="15" customHeight="1">
      <c r="A13" s="1"/>
      <c r="B13" s="4" t="s">
        <v>104</v>
      </c>
      <c r="C13" s="18"/>
      <c r="D13" s="18"/>
      <c r="E13" s="18"/>
      <c r="F13" s="18"/>
      <c r="G13" s="18"/>
      <c r="H13" s="18">
        <f t="shared" si="5" ref="H13:J13">IF(AND(ISNUMBER(H10),ISNUMBER(C10)),IF(C10&lt;&gt;0,H10/C10-1,""),"")</f>
        <v>0.24161073825503365</v>
      </c>
      <c r="I13" s="18">
        <f t="shared" si="5"/>
        <v>0.06989247311827951</v>
      </c>
      <c r="J13" s="32">
        <f t="shared" si="5"/>
        <v>0.05128205128205132</v>
      </c>
      <c r="K13" s="1"/>
      <c r="L13" s="1"/>
      <c r="M13" s="1"/>
    </row>
    <row r="14" ht="15" customHeight="1">
      <c r="A14" s="1"/>
      <c r="B14" s="28" t="s">
        <v>190</v>
      </c>
      <c r="C14" s="29"/>
      <c r="D14" s="29"/>
      <c r="E14" s="29"/>
      <c r="F14" s="29"/>
      <c r="G14" s="29"/>
      <c r="H14" s="29"/>
      <c r="I14" s="29"/>
      <c r="J14" s="30"/>
      <c r="K14" s="29"/>
      <c r="L14" s="1"/>
      <c r="M14" s="1"/>
    </row>
    <row r="15" ht="15" customHeight="1">
      <c r="A15" s="1"/>
      <c r="B15" s="1" t="s">
        <v>191</v>
      </c>
      <c r="C15" s="48">
        <f t="shared" si="6" ref="C15:I15">_xlfn.IFERROR(C18/C10,"")</f>
        <v>12.25503355704698</v>
      </c>
      <c r="D15" s="48">
        <f t="shared" si="6"/>
        <v>10.650537634408602</v>
      </c>
      <c r="E15" s="48"/>
      <c r="F15" s="48"/>
      <c r="G15" s="48"/>
      <c r="H15" s="48">
        <f t="shared" si="6"/>
        <v>11.297297297297296</v>
      </c>
      <c r="I15" s="48">
        <f t="shared" si="6"/>
        <v>11.120603015075377</v>
      </c>
      <c r="J15" s="49">
        <v>11</v>
      </c>
      <c r="K15" s="1" t="s">
        <v>192</v>
      </c>
      <c r="L15" s="1"/>
      <c r="M15" s="1"/>
    </row>
    <row r="16" ht="15" customHeight="1">
      <c r="A16" s="1"/>
      <c r="B16" s="1" t="s">
        <v>112</v>
      </c>
      <c r="C16" s="48"/>
      <c r="D16" s="48"/>
      <c r="E16" s="48"/>
      <c r="F16" s="48"/>
      <c r="G16" s="48"/>
      <c r="H16" s="48">
        <f t="shared" si="3"/>
        <v>-0.9577362597496837</v>
      </c>
      <c r="I16" s="48">
        <f t="shared" si="3"/>
        <v>0.4700653806667745</v>
      </c>
      <c r="J16" s="50">
        <f t="shared" si="3"/>
      </c>
      <c r="K16" s="1"/>
      <c r="L16" s="1"/>
      <c r="M16" s="1"/>
    </row>
    <row r="17" ht="15" customHeight="1">
      <c r="A17" s="1"/>
      <c r="B17" s="1" t="s">
        <v>113</v>
      </c>
      <c r="C17" s="48"/>
      <c r="D17" s="48">
        <f t="shared" si="4"/>
        <v>-1.6044959226383781</v>
      </c>
      <c r="E17" s="48">
        <f t="shared" si="4"/>
      </c>
      <c r="F17" s="48">
        <f t="shared" si="4"/>
      </c>
      <c r="G17" s="48"/>
      <c r="H17" s="48">
        <f t="shared" si="7"/>
      </c>
      <c r="I17" s="48">
        <f t="shared" si="4"/>
        <v>-0.17669428222191996</v>
      </c>
      <c r="J17" s="50">
        <f t="shared" si="4"/>
        <v>-0.12060301507537652</v>
      </c>
      <c r="K17" s="1"/>
      <c r="L17" s="1"/>
      <c r="M17" s="1"/>
    </row>
    <row r="18" ht="15" customHeight="1">
      <c r="A18" s="1"/>
      <c r="B18" s="1" t="s">
        <v>193</v>
      </c>
      <c r="C18" s="35">
        <v>1826</v>
      </c>
      <c r="D18" s="35">
        <v>1981</v>
      </c>
      <c r="E18" s="17"/>
      <c r="F18" s="17"/>
      <c r="G18" s="17"/>
      <c r="H18" s="35">
        <v>2090</v>
      </c>
      <c r="I18" s="35">
        <v>2213</v>
      </c>
      <c r="J18" s="37">
        <f>J10*J15</f>
        <v>2255</v>
      </c>
      <c r="K18" s="1" t="s">
        <v>194</v>
      </c>
      <c r="L18" s="1"/>
      <c r="M18" s="1"/>
    </row>
    <row r="19" ht="15" customHeight="1">
      <c r="A19" s="1"/>
      <c r="B19" s="4" t="s">
        <v>66</v>
      </c>
      <c r="C19" s="18"/>
      <c r="D19" s="18"/>
      <c r="E19" s="18"/>
      <c r="F19" s="18"/>
      <c r="G19" s="18"/>
      <c r="H19" s="18">
        <f t="shared" si="8" ref="H19:J93">IF(AND(ISNUMBER(H18),ISNUMBER(C18)),IF(C18&lt;&gt;0,H18/C18-1,""),"")</f>
        <v>0.14457831325301207</v>
      </c>
      <c r="I19" s="18">
        <f t="shared" si="8"/>
        <v>0.1171125694093893</v>
      </c>
      <c r="J19" s="32">
        <f t="shared" si="8"/>
      </c>
      <c r="K19" s="1"/>
      <c r="L19" s="1"/>
      <c r="M19" s="1"/>
    </row>
    <row r="20" ht="15" customHeight="1">
      <c r="A20" s="1"/>
      <c r="B20" s="4" t="s">
        <v>67</v>
      </c>
      <c r="C20" s="18"/>
      <c r="D20" s="18">
        <f t="shared" si="9" ref="D20:J94">IF(AND(ISNUMBER(D18),ISNUMBER(C18)),IF(C18&lt;&gt;0,D18/C18-1,""),"")</f>
        <v>0.0848849945235488</v>
      </c>
      <c r="E20" s="18">
        <f t="shared" si="9"/>
      </c>
      <c r="F20" s="18">
        <f t="shared" si="9"/>
      </c>
      <c r="G20" s="18"/>
      <c r="H20" s="18">
        <f t="shared" si="11" ref="H20:H94">IF(AND(ISNUMBER(H18),ISNUMBER(F18)),IF(F18&lt;&gt;0,H18/F18-1,""),"")</f>
      </c>
      <c r="I20" s="18">
        <f t="shared" si="9"/>
        <v>0.058851674641148266</v>
      </c>
      <c r="J20" s="32">
        <f t="shared" si="9"/>
        <v>0.01897876186172609</v>
      </c>
      <c r="K20" s="1"/>
      <c r="L20" s="1"/>
      <c r="M20" s="1"/>
    </row>
    <row r="21" ht="15" customHeight="1">
      <c r="A21" s="1"/>
      <c r="B21" s="4" t="s">
        <v>71</v>
      </c>
      <c r="C21" s="18"/>
      <c r="D21" s="18"/>
      <c r="E21" s="18"/>
      <c r="F21" s="18"/>
      <c r="G21" s="18"/>
      <c r="H21" s="18" t="s">
        <v>72</v>
      </c>
      <c r="I21" s="18" t="s">
        <v>72</v>
      </c>
      <c r="J21" s="32" t="s">
        <v>72</v>
      </c>
      <c r="K21" s="1" t="s">
        <v>141</v>
      </c>
      <c r="L21" s="1"/>
      <c r="M21" s="1"/>
    </row>
    <row r="22" ht="15" customHeight="1">
      <c r="A22" s="1"/>
      <c r="B22" s="4" t="s">
        <v>74</v>
      </c>
      <c r="C22" s="18"/>
      <c r="D22" s="18"/>
      <c r="E22" s="18"/>
      <c r="F22" s="18"/>
      <c r="G22" s="18"/>
      <c r="H22" s="18" t="s">
        <v>72</v>
      </c>
      <c r="I22" s="18" t="s">
        <v>72</v>
      </c>
      <c r="J22" s="32" t="s">
        <v>72</v>
      </c>
      <c r="K22" s="1" t="s">
        <v>141</v>
      </c>
      <c r="L22" s="1"/>
      <c r="M22" s="1"/>
    </row>
    <row r="23" ht="15" customHeight="1">
      <c r="A23" s="1"/>
      <c r="B23" s="4" t="s">
        <v>75</v>
      </c>
      <c r="C23" s="18"/>
      <c r="D23" s="18"/>
      <c r="E23" s="18"/>
      <c r="F23" s="18"/>
      <c r="G23" s="18"/>
      <c r="H23" s="18" t="str">
        <f t="shared" si="10" ref="H23:J54">IF(AND(ISNUMBER(H19),ISNUMBER(H21),ISNUMBER(H22)),(1+H19)/((1+H21)*(1+H22))-1,"n.a.")</f>
        <v>n.a.</v>
      </c>
      <c r="I23" s="18" t="str">
        <f t="shared" si="10"/>
        <v>n.a.</v>
      </c>
      <c r="J23" s="32" t="str">
        <f t="shared" si="10"/>
        <v>n.a.</v>
      </c>
      <c r="K23" s="1" t="s">
        <v>142</v>
      </c>
      <c r="L23" s="1"/>
      <c r="M23" s="1"/>
    </row>
    <row r="24" ht="15" customHeight="1">
      <c r="A24" s="1"/>
      <c r="B24" s="1" t="s">
        <v>195</v>
      </c>
      <c r="C24" s="35">
        <v>872</v>
      </c>
      <c r="D24" s="35">
        <v>997</v>
      </c>
      <c r="E24" s="17"/>
      <c r="F24" s="17"/>
      <c r="G24" s="17"/>
      <c r="H24" s="35">
        <v>1124</v>
      </c>
      <c r="I24" s="35">
        <v>1230</v>
      </c>
      <c r="J24" s="37">
        <f>I24*(1+J26)</f>
        <v>1260.75</v>
      </c>
      <c r="K24" s="1" t="s">
        <v>196</v>
      </c>
      <c r="L24" s="1"/>
      <c r="M24" s="1"/>
    </row>
    <row r="25" ht="15" customHeight="1">
      <c r="A25" s="1"/>
      <c r="B25" s="4" t="s">
        <v>66</v>
      </c>
      <c r="C25" s="18"/>
      <c r="D25" s="18"/>
      <c r="E25" s="18"/>
      <c r="F25" s="18"/>
      <c r="G25" s="18"/>
      <c r="H25" s="18">
        <f t="shared" si="8"/>
        <v>0.2889908256880733</v>
      </c>
      <c r="I25" s="18">
        <f t="shared" si="8"/>
        <v>0.23370110330992988</v>
      </c>
      <c r="J25" s="32">
        <f t="shared" si="8"/>
      </c>
      <c r="K25" s="1"/>
      <c r="L25" s="1"/>
      <c r="M25" s="1"/>
    </row>
    <row r="26" ht="15" customHeight="1">
      <c r="A26" s="1"/>
      <c r="B26" s="4" t="s">
        <v>197</v>
      </c>
      <c r="C26" s="18"/>
      <c r="D26" s="18">
        <f t="shared" si="9"/>
        <v>0.1433486238532109</v>
      </c>
      <c r="E26" s="18">
        <f t="shared" si="9"/>
      </c>
      <c r="F26" s="18">
        <f t="shared" si="9"/>
      </c>
      <c r="G26" s="18"/>
      <c r="H26" s="18">
        <f t="shared" si="11"/>
      </c>
      <c r="I26" s="18">
        <f t="shared" si="9"/>
        <v>0.09430604982206403</v>
      </c>
      <c r="J26" s="52">
        <v>0.025</v>
      </c>
      <c r="K26" s="1" t="s">
        <v>198</v>
      </c>
      <c r="L26" s="1"/>
      <c r="M26" s="1"/>
    </row>
    <row r="27" ht="15" customHeight="1">
      <c r="A27" s="1"/>
      <c r="B27" s="1" t="s">
        <v>199</v>
      </c>
      <c r="C27" s="33"/>
      <c r="D27" s="33">
        <f t="shared" si="12" ref="D27:J27">IF(AND(ISNUMBER(D26),ISNUMBER(C26)),(D26-C26)*10000,"")</f>
      </c>
      <c r="E27" s="33">
        <f t="shared" si="12"/>
      </c>
      <c r="F27" s="33">
        <f t="shared" si="12"/>
      </c>
      <c r="G27" s="33"/>
      <c r="H27" s="33">
        <f>IF(AND(ISNUMBER(H26),ISNUMBER(F26)),(H26-F26)*10000,"")</f>
      </c>
      <c r="I27" s="33">
        <f t="shared" si="12"/>
      </c>
      <c r="J27" s="34">
        <f t="shared" si="12"/>
        <v>-693.0604982206404</v>
      </c>
      <c r="K27" s="1"/>
      <c r="L27" s="1"/>
      <c r="M27" s="1"/>
    </row>
    <row r="28" ht="15" customHeight="1">
      <c r="A28" s="1"/>
      <c r="B28" s="4" t="s">
        <v>71</v>
      </c>
      <c r="C28" s="18"/>
      <c r="D28" s="18"/>
      <c r="E28" s="18"/>
      <c r="F28" s="18"/>
      <c r="G28" s="18"/>
      <c r="H28" s="18" t="s">
        <v>72</v>
      </c>
      <c r="I28" s="18" t="s">
        <v>72</v>
      </c>
      <c r="J28" s="32" t="s">
        <v>72</v>
      </c>
      <c r="K28" s="1" t="s">
        <v>141</v>
      </c>
      <c r="L28" s="1"/>
      <c r="M28" s="1"/>
    </row>
    <row r="29" ht="15" customHeight="1">
      <c r="A29" s="1"/>
      <c r="B29" s="4" t="s">
        <v>74</v>
      </c>
      <c r="C29" s="18"/>
      <c r="D29" s="18"/>
      <c r="E29" s="18"/>
      <c r="F29" s="18"/>
      <c r="G29" s="18"/>
      <c r="H29" s="18" t="s">
        <v>72</v>
      </c>
      <c r="I29" s="18" t="s">
        <v>72</v>
      </c>
      <c r="J29" s="32" t="s">
        <v>72</v>
      </c>
      <c r="K29" s="1" t="s">
        <v>141</v>
      </c>
      <c r="L29" s="1"/>
      <c r="M29" s="1"/>
    </row>
    <row r="30" ht="15" customHeight="1">
      <c r="A30" s="1"/>
      <c r="B30" s="4" t="s">
        <v>75</v>
      </c>
      <c r="C30" s="18"/>
      <c r="D30" s="18"/>
      <c r="E30" s="18"/>
      <c r="F30" s="18"/>
      <c r="G30" s="18"/>
      <c r="H30" s="18" t="str">
        <f t="shared" si="13" ref="H30:J30">IF(AND(ISNUMBER(H25),ISNUMBER(H28),ISNUMBER(H29)),(1+H25)/((1+H28)*(1+H29))-1,"n.a.")</f>
        <v>n.a.</v>
      </c>
      <c r="I30" s="18" t="str">
        <f t="shared" si="13"/>
        <v>n.a.</v>
      </c>
      <c r="J30" s="32" t="str">
        <f t="shared" si="13"/>
        <v>n.a.</v>
      </c>
      <c r="K30" s="1" t="s">
        <v>142</v>
      </c>
      <c r="L30" s="1"/>
      <c r="M30" s="1"/>
    </row>
    <row r="31" ht="15" customHeight="1">
      <c r="A31" s="1"/>
      <c r="B31" s="3" t="s">
        <v>200</v>
      </c>
      <c r="C31" s="38">
        <f t="shared" si="14" ref="C31:J31">C18+C24</f>
        <v>2698</v>
      </c>
      <c r="D31" s="38">
        <f t="shared" si="14"/>
        <v>2978</v>
      </c>
      <c r="E31" s="38">
        <f t="shared" si="15" ref="E31:F31">E37</f>
        <v>3251</v>
      </c>
      <c r="F31" s="38">
        <f t="shared" si="15"/>
        <v>3270</v>
      </c>
      <c r="G31" s="38">
        <f t="shared" si="16"/>
        <v>12197</v>
      </c>
      <c r="H31" s="38">
        <f t="shared" si="14"/>
        <v>3214</v>
      </c>
      <c r="I31" s="38">
        <f t="shared" si="14"/>
        <v>3443</v>
      </c>
      <c r="J31" s="39">
        <f t="shared" si="14"/>
        <v>3515.75</v>
      </c>
      <c r="K31" s="1" t="s">
        <v>201</v>
      </c>
      <c r="L31" s="1"/>
      <c r="M31" s="1"/>
    </row>
    <row r="32" ht="15" customHeight="1">
      <c r="A32" s="1"/>
      <c r="B32" s="4" t="s">
        <v>66</v>
      </c>
      <c r="C32" s="18"/>
      <c r="D32" s="18"/>
      <c r="E32" s="18"/>
      <c r="F32" s="18"/>
      <c r="G32" s="18"/>
      <c r="H32" s="18">
        <f t="shared" si="8"/>
        <v>0.19125277983691613</v>
      </c>
      <c r="I32" s="18">
        <f t="shared" si="8"/>
        <v>0.15614506380120896</v>
      </c>
      <c r="J32" s="32">
        <f t="shared" si="8"/>
        <v>0.0814364810827437</v>
      </c>
      <c r="K32" s="1"/>
      <c r="L32" s="1"/>
      <c r="M32" s="1"/>
    </row>
    <row r="33" ht="15" customHeight="1">
      <c r="A33" s="1"/>
      <c r="B33" s="4" t="s">
        <v>67</v>
      </c>
      <c r="C33" s="18"/>
      <c r="D33" s="18">
        <f t="shared" si="9"/>
        <v>0.10378057820607856</v>
      </c>
      <c r="E33" s="18">
        <f t="shared" si="9"/>
        <v>0.09167226326393552</v>
      </c>
      <c r="F33" s="18">
        <f t="shared" si="9"/>
        <v>0.005844355582897531</v>
      </c>
      <c r="G33" s="18"/>
      <c r="H33" s="18">
        <f t="shared" si="11"/>
        <v>-0.01712538226299698</v>
      </c>
      <c r="I33" s="18">
        <f t="shared" si="9"/>
        <v>0.0712507778469198</v>
      </c>
      <c r="J33" s="32">
        <f t="shared" si="9"/>
        <v>0.021129828637815873</v>
      </c>
      <c r="K33" s="1"/>
      <c r="L33" s="1"/>
      <c r="M33" s="1"/>
    </row>
    <row r="34" ht="15" customHeight="1">
      <c r="A34" s="1"/>
      <c r="B34" s="4" t="s">
        <v>71</v>
      </c>
      <c r="C34" s="18"/>
      <c r="D34" s="18"/>
      <c r="E34" s="18"/>
      <c r="F34" s="18"/>
      <c r="G34" s="18"/>
      <c r="H34" s="18" t="s">
        <v>72</v>
      </c>
      <c r="I34" s="18" t="s">
        <v>72</v>
      </c>
      <c r="J34" s="32" t="s">
        <v>72</v>
      </c>
      <c r="K34" s="1" t="s">
        <v>73</v>
      </c>
      <c r="L34" s="1"/>
      <c r="M34" s="1"/>
    </row>
    <row r="35" ht="15" customHeight="1">
      <c r="A35" s="1"/>
      <c r="B35" s="4" t="s">
        <v>74</v>
      </c>
      <c r="C35" s="18"/>
      <c r="D35" s="18"/>
      <c r="E35" s="18"/>
      <c r="F35" s="18"/>
      <c r="G35" s="18"/>
      <c r="H35" s="18" t="s">
        <v>72</v>
      </c>
      <c r="I35" s="18" t="s">
        <v>72</v>
      </c>
      <c r="J35" s="32" t="s">
        <v>72</v>
      </c>
      <c r="K35" s="1" t="s">
        <v>73</v>
      </c>
      <c r="L35" s="1"/>
      <c r="M35" s="1"/>
    </row>
    <row r="36" ht="15" customHeight="1">
      <c r="A36" s="1"/>
      <c r="B36" s="4" t="s">
        <v>75</v>
      </c>
      <c r="C36" s="18"/>
      <c r="D36" s="18"/>
      <c r="E36" s="18"/>
      <c r="F36" s="18"/>
      <c r="G36" s="18"/>
      <c r="H36" s="18" t="str">
        <f t="shared" si="10"/>
        <v>n.a.</v>
      </c>
      <c r="I36" s="18" t="str">
        <f t="shared" si="10"/>
        <v>n.a.</v>
      </c>
      <c r="J36" s="32" t="str">
        <f t="shared" si="10"/>
        <v>n.a.</v>
      </c>
      <c r="K36" s="1" t="s">
        <v>76</v>
      </c>
      <c r="L36" s="1"/>
      <c r="M36" s="1"/>
    </row>
    <row r="37" ht="15" customHeight="1">
      <c r="A37" s="1"/>
      <c r="B37" s="1" t="s">
        <v>202</v>
      </c>
      <c r="C37" s="35">
        <v>2698</v>
      </c>
      <c r="D37" s="35">
        <v>2978</v>
      </c>
      <c r="E37" s="35">
        <v>3251</v>
      </c>
      <c r="F37" s="35">
        <v>3270</v>
      </c>
      <c r="G37" s="35">
        <v>12197</v>
      </c>
      <c r="H37" s="35">
        <v>3214</v>
      </c>
      <c r="I37" s="35">
        <v>3443</v>
      </c>
      <c r="J37" s="37"/>
      <c r="K37" s="1" t="s">
        <v>203</v>
      </c>
      <c r="L37" s="1"/>
      <c r="M37" s="1"/>
    </row>
    <row r="38" ht="15" customHeight="1">
      <c r="A38" s="1"/>
      <c r="B38" s="1" t="s">
        <v>149</v>
      </c>
      <c r="C38" s="40" t="b">
        <f t="shared" si="17" ref="C38:I38">ABS(C31-C37)&lt;=2</f>
        <v>1</v>
      </c>
      <c r="D38" s="40" t="b">
        <f t="shared" si="17"/>
        <v>1</v>
      </c>
      <c r="E38" s="40" t="b">
        <f t="shared" si="17"/>
        <v>1</v>
      </c>
      <c r="F38" s="40" t="b">
        <f t="shared" si="17"/>
        <v>1</v>
      </c>
      <c r="G38" s="40" t="b">
        <f t="shared" si="17"/>
        <v>1</v>
      </c>
      <c r="H38" s="40" t="b">
        <f t="shared" si="17"/>
        <v>1</v>
      </c>
      <c r="I38" s="40" t="b">
        <f t="shared" si="17"/>
        <v>1</v>
      </c>
      <c r="J38" s="27"/>
      <c r="K38" s="1" t="s">
        <v>150</v>
      </c>
      <c r="L38" s="1"/>
      <c r="M38" s="1"/>
    </row>
    <row r="39" ht="15" customHeight="1">
      <c r="A39" s="1"/>
      <c r="B39" s="4" t="s">
        <v>204</v>
      </c>
      <c r="C39" s="18">
        <f t="shared" si="18" ref="C39:J39">_xlfn.IFERROR(C18/C31,"")</f>
        <v>0.6767976278724982</v>
      </c>
      <c r="D39" s="18">
        <f t="shared" si="18"/>
        <v>0.6652115513767629</v>
      </c>
      <c r="E39" s="18"/>
      <c r="F39" s="18"/>
      <c r="G39" s="18"/>
      <c r="H39" s="18">
        <f t="shared" si="18"/>
        <v>0.6502800248911015</v>
      </c>
      <c r="I39" s="18">
        <f t="shared" si="18"/>
        <v>0.6427534127214638</v>
      </c>
      <c r="J39" s="32">
        <f t="shared" si="18"/>
        <v>0.641399416909621</v>
      </c>
      <c r="K39" s="1"/>
      <c r="L39" s="1"/>
      <c r="M39" s="1"/>
    </row>
    <row r="40" ht="15" customHeight="1">
      <c r="A40" s="1"/>
      <c r="B40" s="1" t="s">
        <v>106</v>
      </c>
      <c r="C40" s="33"/>
      <c r="D40" s="33"/>
      <c r="E40" s="33"/>
      <c r="F40" s="33"/>
      <c r="G40" s="33"/>
      <c r="H40" s="33">
        <f t="shared" si="19" ref="H40:J113">IF(AND(ISNUMBER(H39),ISNUMBER(C39)),(H39-C39)*10000,"")</f>
        <v>-265.17602981396715</v>
      </c>
      <c r="I40" s="33">
        <f t="shared" si="19"/>
        <v>-224.5813865529911</v>
      </c>
      <c r="J40" s="34">
        <f t="shared" si="19"/>
      </c>
      <c r="K40" s="1"/>
      <c r="L40" s="1"/>
      <c r="M40" s="1"/>
    </row>
    <row r="41" ht="15" customHeight="1">
      <c r="A41" s="1"/>
      <c r="B41" s="1" t="s">
        <v>107</v>
      </c>
      <c r="C41" s="33"/>
      <c r="D41" s="33">
        <f t="shared" si="20" ref="D41:J114">IF(AND(ISNUMBER(D39),ISNUMBER(C39)),(D39-C39)*10000,"")</f>
        <v>-115.86076495735287</v>
      </c>
      <c r="E41" s="33">
        <f t="shared" si="20"/>
      </c>
      <c r="F41" s="33">
        <f t="shared" si="20"/>
      </c>
      <c r="G41" s="33"/>
      <c r="H41" s="33">
        <f t="shared" si="22" ref="H41:H114">IF(AND(ISNUMBER(H39),ISNUMBER(F39)),(H39-F39)*10000,"")</f>
      </c>
      <c r="I41" s="33">
        <f t="shared" si="20"/>
        <v>-75.26612169637681</v>
      </c>
      <c r="J41" s="34">
        <f t="shared" si="20"/>
        <v>-13.53995811842812</v>
      </c>
      <c r="K41" s="1"/>
      <c r="L41" s="1"/>
      <c r="M41" s="1"/>
    </row>
    <row r="42" ht="15" customHeight="1">
      <c r="A42" s="1"/>
      <c r="B42" s="28" t="s">
        <v>205</v>
      </c>
      <c r="C42" s="29"/>
      <c r="D42" s="29"/>
      <c r="E42" s="29"/>
      <c r="F42" s="29"/>
      <c r="G42" s="29"/>
      <c r="H42" s="29"/>
      <c r="I42" s="29"/>
      <c r="J42" s="30"/>
      <c r="K42" s="29"/>
      <c r="L42" s="1"/>
      <c r="M42" s="1"/>
    </row>
    <row r="43" ht="15" customHeight="1">
      <c r="A43" s="1"/>
      <c r="B43" s="1" t="s">
        <v>206</v>
      </c>
      <c r="C43" s="35">
        <v>1223</v>
      </c>
      <c r="D43" s="35">
        <v>1469</v>
      </c>
      <c r="E43" s="17"/>
      <c r="F43" s="17"/>
      <c r="G43" s="17"/>
      <c r="H43" s="35">
        <v>1605</v>
      </c>
      <c r="I43" s="35">
        <v>1744</v>
      </c>
      <c r="J43" s="37">
        <f>J31*J55</f>
        <v>1775.4537500000001</v>
      </c>
      <c r="K43" s="1"/>
      <c r="L43" s="1"/>
      <c r="M43" s="1"/>
    </row>
    <row r="44" ht="15" customHeight="1">
      <c r="A44" s="1"/>
      <c r="B44" s="4" t="s">
        <v>66</v>
      </c>
      <c r="C44" s="18"/>
      <c r="D44" s="18"/>
      <c r="E44" s="18"/>
      <c r="F44" s="18"/>
      <c r="G44" s="18"/>
      <c r="H44" s="18">
        <f t="shared" si="8"/>
        <v>0.3123466884709729</v>
      </c>
      <c r="I44" s="18">
        <f t="shared" si="8"/>
        <v>0.18720217835262076</v>
      </c>
      <c r="J44" s="32">
        <f t="shared" si="8"/>
      </c>
      <c r="K44" s="1"/>
      <c r="L44" s="1"/>
      <c r="M44" s="1"/>
    </row>
    <row r="45" ht="15" customHeight="1">
      <c r="A45" s="1"/>
      <c r="B45" s="4" t="s">
        <v>67</v>
      </c>
      <c r="C45" s="18"/>
      <c r="D45" s="18">
        <f t="shared" si="9"/>
        <v>0.2011447260834014</v>
      </c>
      <c r="E45" s="18">
        <f t="shared" si="9"/>
      </c>
      <c r="F45" s="18">
        <f t="shared" si="9"/>
      </c>
      <c r="G45" s="18"/>
      <c r="H45" s="18">
        <f t="shared" si="11"/>
      </c>
      <c r="I45" s="18">
        <f t="shared" si="9"/>
        <v>0.08660436137071659</v>
      </c>
      <c r="J45" s="32">
        <f t="shared" si="9"/>
        <v>0.018035407110091883</v>
      </c>
      <c r="K45" s="1"/>
      <c r="L45" s="1"/>
      <c r="M45" s="1"/>
    </row>
    <row r="46" ht="15" customHeight="1">
      <c r="A46" s="1"/>
      <c r="B46" s="4" t="s">
        <v>71</v>
      </c>
      <c r="C46" s="18"/>
      <c r="D46" s="18"/>
      <c r="E46" s="18"/>
      <c r="F46" s="18"/>
      <c r="G46" s="18"/>
      <c r="H46" s="18" t="s">
        <v>72</v>
      </c>
      <c r="I46" s="18" t="s">
        <v>72</v>
      </c>
      <c r="J46" s="32" t="s">
        <v>72</v>
      </c>
      <c r="K46" s="1" t="s">
        <v>73</v>
      </c>
      <c r="L46" s="1"/>
      <c r="M46" s="1"/>
    </row>
    <row r="47" ht="15" customHeight="1">
      <c r="A47" s="1"/>
      <c r="B47" s="4" t="s">
        <v>74</v>
      </c>
      <c r="C47" s="18"/>
      <c r="D47" s="18"/>
      <c r="E47" s="18"/>
      <c r="F47" s="18"/>
      <c r="G47" s="18"/>
      <c r="H47" s="18" t="s">
        <v>72</v>
      </c>
      <c r="I47" s="18" t="s">
        <v>72</v>
      </c>
      <c r="J47" s="32" t="s">
        <v>72</v>
      </c>
      <c r="K47" s="1" t="s">
        <v>73</v>
      </c>
      <c r="L47" s="1"/>
      <c r="M47" s="1"/>
    </row>
    <row r="48" ht="15" customHeight="1">
      <c r="A48" s="1"/>
      <c r="B48" s="4" t="s">
        <v>75</v>
      </c>
      <c r="C48" s="18"/>
      <c r="D48" s="18"/>
      <c r="E48" s="18"/>
      <c r="F48" s="18"/>
      <c r="G48" s="18"/>
      <c r="H48" s="18" t="str">
        <f t="shared" si="10"/>
        <v>n.a.</v>
      </c>
      <c r="I48" s="18" t="str">
        <f t="shared" si="10"/>
        <v>n.a.</v>
      </c>
      <c r="J48" s="32" t="str">
        <f t="shared" si="10"/>
        <v>n.a.</v>
      </c>
      <c r="K48" s="1" t="s">
        <v>76</v>
      </c>
      <c r="L48" s="1"/>
      <c r="M48" s="1"/>
    </row>
    <row r="49" ht="15" customHeight="1">
      <c r="A49" s="1"/>
      <c r="B49" s="1" t="s">
        <v>207</v>
      </c>
      <c r="C49" s="35">
        <v>1475</v>
      </c>
      <c r="D49" s="35">
        <v>1509</v>
      </c>
      <c r="E49" s="17"/>
      <c r="F49" s="17"/>
      <c r="G49" s="17"/>
      <c r="H49" s="35">
        <v>1608</v>
      </c>
      <c r="I49" s="35">
        <v>1699</v>
      </c>
      <c r="J49" s="37">
        <f>J31-J43</f>
        <v>1740.2962499999999</v>
      </c>
      <c r="K49" s="1"/>
      <c r="L49" s="1"/>
      <c r="M49" s="1"/>
    </row>
    <row r="50" ht="15" customHeight="1">
      <c r="A50" s="1"/>
      <c r="B50" s="4" t="s">
        <v>66</v>
      </c>
      <c r="C50" s="18"/>
      <c r="D50" s="18"/>
      <c r="E50" s="18"/>
      <c r="F50" s="18"/>
      <c r="G50" s="18"/>
      <c r="H50" s="18">
        <f t="shared" si="8"/>
        <v>0.09016949152542364</v>
      </c>
      <c r="I50" s="18">
        <f t="shared" si="8"/>
        <v>0.12591119946984763</v>
      </c>
      <c r="J50" s="32">
        <f t="shared" si="8"/>
      </c>
      <c r="K50" s="1"/>
      <c r="L50" s="1"/>
      <c r="M50" s="1"/>
    </row>
    <row r="51" ht="15" customHeight="1">
      <c r="A51" s="1"/>
      <c r="B51" s="4" t="s">
        <v>67</v>
      </c>
      <c r="C51" s="18"/>
      <c r="D51" s="18">
        <f t="shared" si="9"/>
        <v>0.0230508474576272</v>
      </c>
      <c r="E51" s="18">
        <f t="shared" si="9"/>
      </c>
      <c r="F51" s="18">
        <f t="shared" si="9"/>
      </c>
      <c r="G51" s="18"/>
      <c r="H51" s="18">
        <f t="shared" si="11"/>
      </c>
      <c r="I51" s="18">
        <f t="shared" si="9"/>
        <v>0.05659203980099492</v>
      </c>
      <c r="J51" s="32">
        <f t="shared" si="9"/>
        <v>0.024306209535020606</v>
      </c>
      <c r="K51" s="1"/>
      <c r="L51" s="1"/>
      <c r="M51" s="1"/>
    </row>
    <row r="52" ht="15" customHeight="1">
      <c r="A52" s="1"/>
      <c r="B52" s="4" t="s">
        <v>71</v>
      </c>
      <c r="C52" s="18"/>
      <c r="D52" s="18"/>
      <c r="E52" s="18"/>
      <c r="F52" s="18"/>
      <c r="G52" s="18"/>
      <c r="H52" s="18" t="s">
        <v>72</v>
      </c>
      <c r="I52" s="18" t="s">
        <v>72</v>
      </c>
      <c r="J52" s="32" t="s">
        <v>72</v>
      </c>
      <c r="K52" s="1" t="s">
        <v>73</v>
      </c>
      <c r="L52" s="1"/>
      <c r="M52" s="1"/>
    </row>
    <row r="53" ht="15" customHeight="1">
      <c r="A53" s="1"/>
      <c r="B53" s="4" t="s">
        <v>74</v>
      </c>
      <c r="C53" s="18"/>
      <c r="D53" s="18"/>
      <c r="E53" s="18"/>
      <c r="F53" s="18"/>
      <c r="G53" s="18"/>
      <c r="H53" s="18" t="s">
        <v>72</v>
      </c>
      <c r="I53" s="18" t="s">
        <v>72</v>
      </c>
      <c r="J53" s="32" t="s">
        <v>72</v>
      </c>
      <c r="K53" s="1" t="s">
        <v>73</v>
      </c>
      <c r="L53" s="1"/>
      <c r="M53" s="1"/>
    </row>
    <row r="54" ht="15" customHeight="1">
      <c r="A54" s="1"/>
      <c r="B54" s="4" t="s">
        <v>75</v>
      </c>
      <c r="C54" s="18"/>
      <c r="D54" s="18"/>
      <c r="E54" s="18"/>
      <c r="F54" s="18"/>
      <c r="G54" s="18"/>
      <c r="H54" s="18" t="str">
        <f t="shared" si="10"/>
        <v>n.a.</v>
      </c>
      <c r="I54" s="18" t="str">
        <f t="shared" si="10"/>
        <v>n.a.</v>
      </c>
      <c r="J54" s="32" t="str">
        <f t="shared" si="10"/>
        <v>n.a.</v>
      </c>
      <c r="K54" s="1" t="s">
        <v>76</v>
      </c>
      <c r="L54" s="1"/>
      <c r="M54" s="1"/>
    </row>
    <row r="55" ht="15" customHeight="1">
      <c r="A55" s="1"/>
      <c r="B55" s="4" t="s">
        <v>208</v>
      </c>
      <c r="C55" s="18">
        <f t="shared" si="21" ref="C55:I55">_xlfn.IFERROR(C43/(C43+C49),"")</f>
        <v>0.45329873980726465</v>
      </c>
      <c r="D55" s="18">
        <f t="shared" si="21"/>
        <v>0.49328408327736734</v>
      </c>
      <c r="E55" s="18"/>
      <c r="F55" s="18"/>
      <c r="G55" s="18"/>
      <c r="H55" s="18">
        <f t="shared" si="21"/>
        <v>0.4995331465919701</v>
      </c>
      <c r="I55" s="18">
        <f t="shared" si="21"/>
        <v>0.5065349985477781</v>
      </c>
      <c r="J55" s="52">
        <v>0.505</v>
      </c>
      <c r="K55" s="1" t="s">
        <v>209</v>
      </c>
      <c r="L55" s="1"/>
      <c r="M55" s="1"/>
    </row>
    <row r="56" ht="15" customHeight="1">
      <c r="A56" s="1"/>
      <c r="B56" s="1" t="s">
        <v>106</v>
      </c>
      <c r="C56" s="33"/>
      <c r="D56" s="33"/>
      <c r="E56" s="33"/>
      <c r="F56" s="33"/>
      <c r="G56" s="33"/>
      <c r="H56" s="33">
        <f t="shared" si="19"/>
        <v>462.3440678470547</v>
      </c>
      <c r="I56" s="33">
        <f t="shared" si="19"/>
        <v>132.50915270410724</v>
      </c>
      <c r="J56" s="34">
        <f t="shared" si="19"/>
      </c>
      <c r="K56" s="1"/>
      <c r="L56" s="1"/>
      <c r="M56" s="1"/>
    </row>
    <row r="57" ht="15" customHeight="1">
      <c r="A57" s="1"/>
      <c r="B57" s="1" t="s">
        <v>107</v>
      </c>
      <c r="C57" s="33"/>
      <c r="D57" s="33">
        <f t="shared" si="20"/>
        <v>399.85343470102686</v>
      </c>
      <c r="E57" s="33">
        <f t="shared" si="20"/>
      </c>
      <c r="F57" s="33">
        <f t="shared" si="20"/>
      </c>
      <c r="G57" s="33"/>
      <c r="H57" s="33">
        <f t="shared" si="22"/>
      </c>
      <c r="I57" s="33">
        <f t="shared" si="20"/>
        <v>70.01851955807936</v>
      </c>
      <c r="J57" s="34">
        <f t="shared" si="20"/>
        <v>-15.349985477780548</v>
      </c>
      <c r="K57" s="1"/>
      <c r="L57" s="1"/>
      <c r="M57" s="1"/>
    </row>
    <row r="58" ht="15" customHeight="1">
      <c r="A58" s="1"/>
      <c r="B58" s="28" t="s">
        <v>151</v>
      </c>
      <c r="C58" s="29"/>
      <c r="D58" s="29"/>
      <c r="E58" s="29"/>
      <c r="F58" s="29"/>
      <c r="G58" s="29"/>
      <c r="H58" s="29"/>
      <c r="I58" s="29"/>
      <c r="J58" s="30"/>
      <c r="K58" s="29"/>
      <c r="L58" s="1"/>
      <c r="M58" s="1"/>
    </row>
    <row r="59" ht="15" customHeight="1">
      <c r="A59" s="1"/>
      <c r="B59" s="1" t="s">
        <v>210</v>
      </c>
      <c r="C59" s="17"/>
      <c r="D59" s="17"/>
      <c r="E59" s="17"/>
      <c r="F59" s="17"/>
      <c r="G59" s="17"/>
      <c r="H59" s="35">
        <v>1814</v>
      </c>
      <c r="I59" s="35">
        <v>1782</v>
      </c>
      <c r="J59" s="37"/>
      <c r="K59" s="1" t="s">
        <v>211</v>
      </c>
      <c r="L59" s="1"/>
      <c r="M59" s="1"/>
    </row>
    <row r="60" ht="15" customHeight="1">
      <c r="A60" s="1"/>
      <c r="B60" s="4" t="s">
        <v>67</v>
      </c>
      <c r="C60" s="18"/>
      <c r="D60" s="18">
        <f t="shared" si="23" ref="D60:J63">IF(AND(ISNUMBER(D59),ISNUMBER(C59)),IF(C59&lt;&gt;0,D59/C59-1,""),"")</f>
      </c>
      <c r="E60" s="18">
        <f t="shared" si="23"/>
      </c>
      <c r="F60" s="18">
        <f t="shared" si="23"/>
      </c>
      <c r="G60" s="18"/>
      <c r="H60" s="18">
        <f t="shared" si="24" ref="H60:H63">IF(AND(ISNUMBER(H59),ISNUMBER(F59)),IF(F59&lt;&gt;0,H59/F59-1,""),"")</f>
      </c>
      <c r="I60" s="18">
        <f t="shared" si="23"/>
        <v>-0.01764057331863289</v>
      </c>
      <c r="J60" s="32">
        <f t="shared" si="23"/>
      </c>
      <c r="K60" s="1"/>
      <c r="L60" s="1"/>
      <c r="M60" s="1"/>
    </row>
    <row r="61" ht="15" customHeight="1">
      <c r="A61" s="1"/>
      <c r="B61" s="1" t="s">
        <v>113</v>
      </c>
      <c r="C61" s="17"/>
      <c r="D61" s="17">
        <f t="shared" si="4"/>
      </c>
      <c r="E61" s="17">
        <f t="shared" si="4"/>
      </c>
      <c r="F61" s="17">
        <f t="shared" si="4"/>
      </c>
      <c r="G61" s="17"/>
      <c r="H61" s="17">
        <f t="shared" si="7"/>
      </c>
      <c r="I61" s="17">
        <f t="shared" si="4"/>
        <v>-32</v>
      </c>
      <c r="J61" s="37">
        <f t="shared" si="4"/>
      </c>
      <c r="K61" s="1"/>
      <c r="L61" s="1"/>
      <c r="M61" s="1"/>
    </row>
    <row r="62" ht="15" customHeight="1">
      <c r="A62" s="1"/>
      <c r="B62" s="1" t="s">
        <v>212</v>
      </c>
      <c r="C62" s="17"/>
      <c r="D62" s="17"/>
      <c r="E62" s="17"/>
      <c r="F62" s="17"/>
      <c r="G62" s="17"/>
      <c r="H62" s="35">
        <v>4360</v>
      </c>
      <c r="I62" s="35">
        <v>2356</v>
      </c>
      <c r="J62" s="37"/>
      <c r="K62" s="1"/>
      <c r="L62" s="1"/>
      <c r="M62" s="1"/>
    </row>
    <row r="63" ht="15" customHeight="1">
      <c r="A63" s="1"/>
      <c r="B63" s="4" t="s">
        <v>67</v>
      </c>
      <c r="C63" s="18"/>
      <c r="D63" s="18">
        <f t="shared" si="23"/>
      </c>
      <c r="E63" s="18">
        <f t="shared" si="23"/>
      </c>
      <c r="F63" s="18">
        <f t="shared" si="23"/>
      </c>
      <c r="G63" s="18"/>
      <c r="H63" s="18">
        <f t="shared" si="24"/>
      </c>
      <c r="I63" s="18">
        <f t="shared" si="23"/>
        <v>-0.4596330275229358</v>
      </c>
      <c r="J63" s="32">
        <f t="shared" si="23"/>
      </c>
      <c r="K63" s="1"/>
      <c r="L63" s="1"/>
      <c r="M63" s="1"/>
    </row>
    <row r="64" ht="15" customHeight="1">
      <c r="A64" s="1"/>
      <c r="B64" s="1" t="s">
        <v>113</v>
      </c>
      <c r="C64" s="17"/>
      <c r="D64" s="17">
        <f t="shared" si="4"/>
      </c>
      <c r="E64" s="17">
        <f t="shared" si="4"/>
      </c>
      <c r="F64" s="17">
        <f t="shared" si="4"/>
      </c>
      <c r="G64" s="17"/>
      <c r="H64" s="17">
        <f t="shared" si="7"/>
      </c>
      <c r="I64" s="17">
        <f t="shared" si="4"/>
        <v>-2004</v>
      </c>
      <c r="J64" s="37">
        <f t="shared" si="4"/>
      </c>
      <c r="K64" s="1"/>
      <c r="L64" s="1"/>
      <c r="M64" s="1"/>
    </row>
    <row r="65" ht="15" customHeight="1">
      <c r="A65" s="1"/>
      <c r="B65" s="3" t="s">
        <v>213</v>
      </c>
      <c r="C65" s="53">
        <v>3693</v>
      </c>
      <c r="D65" s="53">
        <v>3679</v>
      </c>
      <c r="E65" s="53">
        <v>3607</v>
      </c>
      <c r="F65" s="53">
        <v>5372</v>
      </c>
      <c r="G65" s="38">
        <f t="shared" si="16"/>
        <v>16351</v>
      </c>
      <c r="H65" s="38">
        <f t="shared" si="25" ref="H65:I65">H59+H62</f>
        <v>6174</v>
      </c>
      <c r="I65" s="38">
        <f t="shared" si="25"/>
        <v>4138</v>
      </c>
      <c r="J65" s="54">
        <v>3800</v>
      </c>
      <c r="K65" s="1" t="s">
        <v>214</v>
      </c>
      <c r="L65" s="1"/>
      <c r="M65" s="1"/>
    </row>
    <row r="66" ht="15" customHeight="1">
      <c r="A66" s="1"/>
      <c r="B66" s="4" t="s">
        <v>104</v>
      </c>
      <c r="C66" s="18"/>
      <c r="D66" s="18"/>
      <c r="E66" s="18"/>
      <c r="F66" s="18"/>
      <c r="G66" s="18"/>
      <c r="H66" s="18">
        <f t="shared" si="8"/>
        <v>0.6718115353371243</v>
      </c>
      <c r="I66" s="18">
        <f t="shared" si="8"/>
        <v>0.12476216363142156</v>
      </c>
      <c r="J66" s="32">
        <f t="shared" si="8"/>
        <v>0.053507069586914424</v>
      </c>
      <c r="K66" s="1"/>
      <c r="L66" s="1"/>
      <c r="M66" s="1"/>
    </row>
    <row r="67" ht="15" customHeight="1">
      <c r="A67" s="1"/>
      <c r="B67" s="4" t="s">
        <v>67</v>
      </c>
      <c r="C67" s="18"/>
      <c r="D67" s="18">
        <f t="shared" si="9"/>
        <v>-0.003790955862442491</v>
      </c>
      <c r="E67" s="18">
        <f t="shared" si="9"/>
        <v>-0.019570535471595596</v>
      </c>
      <c r="F67" s="18">
        <f t="shared" si="9"/>
        <v>0.4893263099528695</v>
      </c>
      <c r="G67" s="18"/>
      <c r="H67" s="18">
        <f t="shared" si="11"/>
        <v>0.14929262844378255</v>
      </c>
      <c r="I67" s="18">
        <f t="shared" si="9"/>
        <v>-0.329770003239391</v>
      </c>
      <c r="J67" s="32">
        <f t="shared" si="9"/>
        <v>-0.08168197196713389</v>
      </c>
      <c r="K67" s="1"/>
      <c r="L67" s="1"/>
      <c r="M67" s="1"/>
    </row>
    <row r="68" ht="15" customHeight="1">
      <c r="A68" s="1"/>
      <c r="B68" s="1" t="s">
        <v>112</v>
      </c>
      <c r="C68" s="17"/>
      <c r="D68" s="17"/>
      <c r="E68" s="17"/>
      <c r="F68" s="17"/>
      <c r="G68" s="17"/>
      <c r="H68" s="17">
        <f t="shared" si="26" ref="H68:J68">IF(AND(ISNUMBER(H65),ISNUMBER(C65)),H65-C65,"")</f>
        <v>2481</v>
      </c>
      <c r="I68" s="17">
        <f t="shared" si="26"/>
        <v>459</v>
      </c>
      <c r="J68" s="37">
        <f t="shared" si="26"/>
        <v>193</v>
      </c>
      <c r="K68" s="1"/>
      <c r="L68" s="1"/>
      <c r="M68" s="1"/>
    </row>
    <row r="69" ht="15" customHeight="1">
      <c r="A69" s="1"/>
      <c r="B69" s="1" t="s">
        <v>113</v>
      </c>
      <c r="C69" s="17"/>
      <c r="D69" s="17">
        <f t="shared" si="27" ref="D69:J69">IF(AND(ISNUMBER(D65),ISNUMBER(C65)),D65-C65,"")</f>
        <v>-14</v>
      </c>
      <c r="E69" s="17">
        <f t="shared" si="27"/>
        <v>-72</v>
      </c>
      <c r="F69" s="17">
        <f t="shared" si="27"/>
        <v>1765</v>
      </c>
      <c r="G69" s="17"/>
      <c r="H69" s="17">
        <f>IF(AND(ISNUMBER(H65),ISNUMBER(F65)),H65-F65,"")</f>
        <v>802</v>
      </c>
      <c r="I69" s="17">
        <f t="shared" si="27"/>
        <v>-2036</v>
      </c>
      <c r="J69" s="37">
        <f t="shared" si="27"/>
        <v>-338</v>
      </c>
      <c r="K69" s="1"/>
      <c r="L69" s="1"/>
      <c r="M69" s="1"/>
    </row>
    <row r="70" ht="15" customHeight="1">
      <c r="A70" s="1"/>
      <c r="B70" s="1" t="s">
        <v>157</v>
      </c>
      <c r="C70" s="55">
        <f t="shared" si="28" ref="C70:J70">_xlfn.IFERROR(C65/C31,"")</f>
        <v>1.3687916975537435</v>
      </c>
      <c r="D70" s="55">
        <f t="shared" si="28"/>
        <v>1.235392881128274</v>
      </c>
      <c r="E70" s="55">
        <f t="shared" si="28"/>
        <v>1.109504767763765</v>
      </c>
      <c r="F70" s="55">
        <f t="shared" si="28"/>
        <v>1.6428134556574923</v>
      </c>
      <c r="G70" s="55">
        <f t="shared" si="28"/>
        <v>1.3405755513650899</v>
      </c>
      <c r="H70" s="55">
        <f t="shared" si="28"/>
        <v>1.9209707529558182</v>
      </c>
      <c r="I70" s="55">
        <f t="shared" si="28"/>
        <v>1.201858844031368</v>
      </c>
      <c r="J70" s="56">
        <f t="shared" si="28"/>
        <v>1.0808504586503591</v>
      </c>
      <c r="K70" s="1"/>
      <c r="L70" s="1"/>
      <c r="M70" s="1"/>
    </row>
    <row r="71" ht="15" customHeight="1">
      <c r="A71" s="1"/>
      <c r="B71" s="1" t="s">
        <v>112</v>
      </c>
      <c r="C71" s="55"/>
      <c r="D71" s="55"/>
      <c r="E71" s="55"/>
      <c r="F71" s="55"/>
      <c r="G71" s="55"/>
      <c r="H71" s="55">
        <f t="shared" si="3"/>
        <v>0.5521790554020747</v>
      </c>
      <c r="I71" s="55">
        <f t="shared" si="3"/>
        <v>-0.033534037096905944</v>
      </c>
      <c r="J71" s="56">
        <f t="shared" si="3"/>
        <v>-0.02865430911340594</v>
      </c>
      <c r="K71" s="1"/>
      <c r="L71" s="1"/>
      <c r="M71" s="1"/>
    </row>
    <row r="72" ht="15" customHeight="1">
      <c r="A72" s="1"/>
      <c r="B72" s="1" t="s">
        <v>113</v>
      </c>
      <c r="C72" s="55"/>
      <c r="D72" s="55">
        <f t="shared" si="4"/>
        <v>-0.13339881642546958</v>
      </c>
      <c r="E72" s="55">
        <f t="shared" si="4"/>
        <v>-0.1258881133645089</v>
      </c>
      <c r="F72" s="55">
        <f t="shared" si="4"/>
        <v>0.5333086878937272</v>
      </c>
      <c r="G72" s="55"/>
      <c r="H72" s="55">
        <f t="shared" si="7"/>
        <v>0.27815729729832595</v>
      </c>
      <c r="I72" s="55">
        <f t="shared" si="4"/>
        <v>-0.7191119089244502</v>
      </c>
      <c r="J72" s="56">
        <f t="shared" si="4"/>
        <v>-0.12100838538100889</v>
      </c>
      <c r="K72" s="1"/>
      <c r="L72" s="1"/>
      <c r="M72" s="1"/>
    </row>
    <row r="73" ht="15" customHeight="1">
      <c r="A73" s="1"/>
      <c r="B73" s="1" t="s">
        <v>215</v>
      </c>
      <c r="C73" s="17"/>
      <c r="D73" s="17"/>
      <c r="E73" s="17"/>
      <c r="F73" s="35">
        <v>17762</v>
      </c>
      <c r="G73" s="17">
        <f t="shared" si="30" ref="G73:G77">F73</f>
        <v>17762</v>
      </c>
      <c r="H73" s="35">
        <v>21711</v>
      </c>
      <c r="I73" s="35">
        <v>22467</v>
      </c>
      <c r="J73" s="37"/>
      <c r="K73" s="1"/>
      <c r="L73" s="1"/>
      <c r="M73" s="1"/>
    </row>
    <row r="74" ht="15" customHeight="1">
      <c r="A74" s="1"/>
      <c r="B74" s="1" t="s">
        <v>113</v>
      </c>
      <c r="C74" s="17"/>
      <c r="D74" s="17">
        <f t="shared" si="29" ref="D74:J90">IF(AND(ISNUMBER(D73),ISNUMBER(C73)),D73-C73,"")</f>
      </c>
      <c r="E74" s="17">
        <f t="shared" si="29"/>
      </c>
      <c r="F74" s="17">
        <f t="shared" si="29"/>
      </c>
      <c r="G74" s="17"/>
      <c r="H74" s="17">
        <f t="shared" si="31" ref="H74:H90">IF(AND(ISNUMBER(H73),ISNUMBER(F73)),H73-F73,"")</f>
        <v>3949</v>
      </c>
      <c r="I74" s="17">
        <f t="shared" si="29"/>
        <v>756</v>
      </c>
      <c r="J74" s="37">
        <f t="shared" si="29"/>
      </c>
      <c r="K74" s="1"/>
      <c r="L74" s="1"/>
      <c r="M74" s="1"/>
    </row>
    <row r="75" ht="15" customHeight="1">
      <c r="A75" s="1"/>
      <c r="B75" s="1" t="s">
        <v>216</v>
      </c>
      <c r="C75" s="17"/>
      <c r="D75" s="17"/>
      <c r="E75" s="17"/>
      <c r="F75" s="35">
        <v>8094</v>
      </c>
      <c r="G75" s="17">
        <f t="shared" si="30"/>
        <v>8094</v>
      </c>
      <c r="H75" s="35">
        <v>8316</v>
      </c>
      <c r="I75" s="35">
        <v>8197</v>
      </c>
      <c r="J75" s="37"/>
      <c r="K75" s="1"/>
      <c r="L75" s="1"/>
      <c r="M75" s="1"/>
    </row>
    <row r="76" ht="15" customHeight="1">
      <c r="A76" s="1"/>
      <c r="B76" s="1" t="s">
        <v>113</v>
      </c>
      <c r="C76" s="17"/>
      <c r="D76" s="17">
        <f t="shared" si="29"/>
      </c>
      <c r="E76" s="17">
        <f t="shared" si="29"/>
      </c>
      <c r="F76" s="17">
        <f t="shared" si="29"/>
      </c>
      <c r="G76" s="17"/>
      <c r="H76" s="17">
        <f t="shared" si="31"/>
        <v>222</v>
      </c>
      <c r="I76" s="17">
        <f t="shared" si="29"/>
        <v>-119</v>
      </c>
      <c r="J76" s="37">
        <f t="shared" si="29"/>
      </c>
      <c r="K76" s="1"/>
      <c r="L76" s="1"/>
      <c r="M76" s="1"/>
    </row>
    <row r="77" ht="15" customHeight="1">
      <c r="A77" s="1"/>
      <c r="B77" s="3" t="s">
        <v>217</v>
      </c>
      <c r="C77" s="53">
        <v>23600</v>
      </c>
      <c r="D77" s="53">
        <v>24069</v>
      </c>
      <c r="E77" s="53">
        <v>24091</v>
      </c>
      <c r="F77" s="38">
        <f t="shared" si="32" ref="F77:I77">F73+F75</f>
        <v>25856</v>
      </c>
      <c r="G77" s="38">
        <f t="shared" si="30"/>
        <v>25856</v>
      </c>
      <c r="H77" s="38">
        <f t="shared" si="32"/>
        <v>30027</v>
      </c>
      <c r="I77" s="38">
        <f t="shared" si="32"/>
        <v>30664</v>
      </c>
      <c r="J77" s="39">
        <f>J83+J84</f>
        <v>30948.25</v>
      </c>
      <c r="K77" s="1"/>
      <c r="L77" s="1"/>
      <c r="M77" s="1"/>
    </row>
    <row r="78" ht="15" customHeight="1">
      <c r="A78" s="1"/>
      <c r="B78" s="1" t="s">
        <v>113</v>
      </c>
      <c r="C78" s="17"/>
      <c r="D78" s="17">
        <f t="shared" si="29"/>
        <v>469</v>
      </c>
      <c r="E78" s="17">
        <f t="shared" si="29"/>
        <v>22</v>
      </c>
      <c r="F78" s="17">
        <f t="shared" si="29"/>
        <v>1765</v>
      </c>
      <c r="G78" s="17"/>
      <c r="H78" s="17">
        <f t="shared" si="31"/>
        <v>4171</v>
      </c>
      <c r="I78" s="17">
        <f t="shared" si="29"/>
        <v>637</v>
      </c>
      <c r="J78" s="37">
        <f t="shared" si="29"/>
        <v>284.25</v>
      </c>
      <c r="K78" s="1"/>
      <c r="L78" s="1"/>
      <c r="M78" s="1"/>
    </row>
    <row r="79" ht="15" customHeight="1">
      <c r="A79" s="1"/>
      <c r="B79" s="4" t="s">
        <v>104</v>
      </c>
      <c r="C79" s="18"/>
      <c r="D79" s="18"/>
      <c r="E79" s="18"/>
      <c r="F79" s="18"/>
      <c r="G79" s="18"/>
      <c r="H79" s="18">
        <f t="shared" si="33" ref="H79:J79">IF(AND(ISNUMBER(H77),ISNUMBER(C77)),IF(C77&lt;&gt;0,H77/C77-1,""),"")</f>
        <v>0.2723305084745762</v>
      </c>
      <c r="I79" s="18">
        <f t="shared" si="33"/>
        <v>0.2740039054385308</v>
      </c>
      <c r="J79" s="32">
        <f t="shared" si="33"/>
        <v>0.28463949192644566</v>
      </c>
      <c r="K79" s="1"/>
      <c r="L79" s="1"/>
      <c r="M79" s="1"/>
    </row>
    <row r="80" ht="15" customHeight="1">
      <c r="A80" s="1"/>
      <c r="B80" s="1" t="s">
        <v>161</v>
      </c>
      <c r="C80" s="17"/>
      <c r="D80" s="17">
        <f t="shared" si="34" ref="D80:J80">C77</f>
        <v>23600</v>
      </c>
      <c r="E80" s="17">
        <f t="shared" si="34"/>
        <v>24069</v>
      </c>
      <c r="F80" s="17">
        <f t="shared" si="34"/>
        <v>24091</v>
      </c>
      <c r="G80" s="17"/>
      <c r="H80" s="17">
        <f>F77</f>
        <v>25856</v>
      </c>
      <c r="I80" s="17">
        <f t="shared" si="34"/>
        <v>30027</v>
      </c>
      <c r="J80" s="37">
        <f t="shared" si="34"/>
        <v>30664</v>
      </c>
      <c r="K80" s="1" t="s">
        <v>162</v>
      </c>
      <c r="L80" s="1"/>
      <c r="M80" s="1"/>
    </row>
    <row r="81" ht="15" customHeight="1">
      <c r="A81" s="1"/>
      <c r="B81" s="1" t="s">
        <v>163</v>
      </c>
      <c r="C81" s="17"/>
      <c r="D81" s="17">
        <f t="shared" si="35" ref="D81:J81">D65</f>
        <v>3679</v>
      </c>
      <c r="E81" s="17">
        <f t="shared" si="35"/>
        <v>3607</v>
      </c>
      <c r="F81" s="17">
        <f t="shared" si="35"/>
        <v>5372</v>
      </c>
      <c r="G81" s="17"/>
      <c r="H81" s="17">
        <f t="shared" si="35"/>
        <v>6174</v>
      </c>
      <c r="I81" s="17">
        <f t="shared" si="35"/>
        <v>4138</v>
      </c>
      <c r="J81" s="37">
        <f t="shared" si="35"/>
        <v>3800</v>
      </c>
      <c r="K81" s="1"/>
      <c r="L81" s="1"/>
      <c r="M81" s="1"/>
    </row>
    <row r="82" ht="15" customHeight="1">
      <c r="A82" s="1"/>
      <c r="B82" s="1" t="s">
        <v>164</v>
      </c>
      <c r="C82" s="17"/>
      <c r="D82" s="17">
        <f t="shared" si="36" ref="D82:J82">-D31</f>
        <v>-2978</v>
      </c>
      <c r="E82" s="17">
        <f t="shared" si="36"/>
        <v>-3251</v>
      </c>
      <c r="F82" s="17">
        <f t="shared" si="36"/>
        <v>-3270</v>
      </c>
      <c r="G82" s="17"/>
      <c r="H82" s="17">
        <f t="shared" si="36"/>
        <v>-3214</v>
      </c>
      <c r="I82" s="17">
        <f t="shared" si="36"/>
        <v>-3443</v>
      </c>
      <c r="J82" s="37">
        <f t="shared" si="36"/>
        <v>-3515.75</v>
      </c>
      <c r="K82" s="1"/>
      <c r="L82" s="1"/>
      <c r="M82" s="1"/>
    </row>
    <row r="83" ht="15" customHeight="1">
      <c r="A83" s="1"/>
      <c r="B83" s="3" t="s">
        <v>165</v>
      </c>
      <c r="C83" s="38"/>
      <c r="D83" s="38">
        <f t="shared" si="37" ref="D83:J83">D80+D81+D82</f>
        <v>24301</v>
      </c>
      <c r="E83" s="38">
        <f t="shared" si="37"/>
        <v>24425</v>
      </c>
      <c r="F83" s="38">
        <f t="shared" si="37"/>
        <v>26193</v>
      </c>
      <c r="G83" s="38"/>
      <c r="H83" s="38">
        <f t="shared" si="37"/>
        <v>28816</v>
      </c>
      <c r="I83" s="38">
        <f t="shared" si="37"/>
        <v>30722</v>
      </c>
      <c r="J83" s="39">
        <f t="shared" si="37"/>
        <v>30948.25</v>
      </c>
      <c r="K83" s="1" t="s">
        <v>166</v>
      </c>
      <c r="L83" s="1"/>
      <c r="M83" s="1"/>
    </row>
    <row r="84" ht="15" customHeight="1">
      <c r="A84" s="1"/>
      <c r="B84" s="1" t="s">
        <v>167</v>
      </c>
      <c r="C84" s="17"/>
      <c r="D84" s="17">
        <f t="shared" si="38" ref="D84:I84">D77-D83</f>
        <v>-232</v>
      </c>
      <c r="E84" s="17">
        <f t="shared" si="38"/>
        <v>-334</v>
      </c>
      <c r="F84" s="17">
        <f t="shared" si="38"/>
        <v>-337</v>
      </c>
      <c r="G84" s="17"/>
      <c r="H84" s="17">
        <f t="shared" si="38"/>
        <v>1211</v>
      </c>
      <c r="I84" s="17">
        <f t="shared" si="38"/>
        <v>-58</v>
      </c>
      <c r="J84" s="36">
        <v>0</v>
      </c>
      <c r="K84" s="1" t="s">
        <v>168</v>
      </c>
      <c r="L84" s="1"/>
      <c r="M84" s="1"/>
    </row>
    <row r="85" ht="15" customHeight="1">
      <c r="A85" s="1"/>
      <c r="B85" s="3" t="s">
        <v>169</v>
      </c>
      <c r="C85" s="38"/>
      <c r="D85" s="38">
        <f t="shared" si="39" ref="D85:J85">D77</f>
        <v>24069</v>
      </c>
      <c r="E85" s="38">
        <f t="shared" si="39"/>
        <v>24091</v>
      </c>
      <c r="F85" s="38">
        <f t="shared" si="39"/>
        <v>25856</v>
      </c>
      <c r="G85" s="38"/>
      <c r="H85" s="38">
        <f t="shared" si="39"/>
        <v>30027</v>
      </c>
      <c r="I85" s="38">
        <f t="shared" si="39"/>
        <v>30664</v>
      </c>
      <c r="J85" s="39">
        <f t="shared" si="39"/>
        <v>30948.25</v>
      </c>
      <c r="K85" s="1" t="s">
        <v>170</v>
      </c>
      <c r="L85" s="1"/>
      <c r="M85" s="1"/>
    </row>
    <row r="86" ht="15" customHeight="1">
      <c r="A86" s="1"/>
      <c r="B86" s="1" t="s">
        <v>113</v>
      </c>
      <c r="C86" s="17"/>
      <c r="D86" s="17">
        <f t="shared" si="29"/>
      </c>
      <c r="E86" s="17">
        <f t="shared" si="29"/>
        <v>22</v>
      </c>
      <c r="F86" s="17">
        <f t="shared" si="29"/>
        <v>1765</v>
      </c>
      <c r="G86" s="17"/>
      <c r="H86" s="17">
        <f t="shared" si="31"/>
        <v>4171</v>
      </c>
      <c r="I86" s="17">
        <f t="shared" si="29"/>
        <v>637</v>
      </c>
      <c r="J86" s="37">
        <f t="shared" si="29"/>
        <v>284.25</v>
      </c>
      <c r="K86" s="1"/>
      <c r="L86" s="1"/>
      <c r="M86" s="1"/>
    </row>
    <row r="87" ht="15" customHeight="1">
      <c r="A87" s="1"/>
      <c r="B87" s="1" t="s">
        <v>171</v>
      </c>
      <c r="C87" s="17"/>
      <c r="D87" s="17">
        <f t="shared" si="40" ref="D87:J87">AVERAGE(D80,D85)</f>
        <v>23834.5</v>
      </c>
      <c r="E87" s="17">
        <f t="shared" si="40"/>
        <v>24080</v>
      </c>
      <c r="F87" s="17">
        <f t="shared" si="40"/>
        <v>24973.5</v>
      </c>
      <c r="G87" s="17"/>
      <c r="H87" s="17">
        <f t="shared" si="40"/>
        <v>27941.5</v>
      </c>
      <c r="I87" s="17">
        <f t="shared" si="40"/>
        <v>30345.5</v>
      </c>
      <c r="J87" s="37">
        <f t="shared" si="40"/>
        <v>30806.125</v>
      </c>
      <c r="K87" s="1"/>
      <c r="L87" s="1"/>
      <c r="M87" s="1"/>
    </row>
    <row r="88" ht="15" customHeight="1">
      <c r="A88" s="1"/>
      <c r="B88" s="1" t="s">
        <v>113</v>
      </c>
      <c r="C88" s="17"/>
      <c r="D88" s="17">
        <f t="shared" si="29"/>
      </c>
      <c r="E88" s="17">
        <f t="shared" si="29"/>
        <v>245.5</v>
      </c>
      <c r="F88" s="17">
        <f t="shared" si="29"/>
        <v>893.5</v>
      </c>
      <c r="G88" s="17"/>
      <c r="H88" s="17">
        <f t="shared" si="31"/>
        <v>2968</v>
      </c>
      <c r="I88" s="17">
        <f t="shared" si="29"/>
        <v>2404</v>
      </c>
      <c r="J88" s="37">
        <f t="shared" si="29"/>
        <v>460.625</v>
      </c>
      <c r="K88" s="1"/>
      <c r="L88" s="1"/>
      <c r="M88" s="1"/>
    </row>
    <row r="89" ht="15" customHeight="1">
      <c r="A89" s="1"/>
      <c r="B89" s="1" t="s">
        <v>172</v>
      </c>
      <c r="C89" s="55"/>
      <c r="D89" s="55">
        <f t="shared" si="41" ref="D89:J89">_xlfn.IFERROR(D85/D31,"")</f>
        <v>8.08226997985225</v>
      </c>
      <c r="E89" s="55">
        <f t="shared" si="41"/>
        <v>7.410335281451861</v>
      </c>
      <c r="F89" s="55">
        <f t="shared" si="41"/>
        <v>7.907033639143731</v>
      </c>
      <c r="G89" s="55"/>
      <c r="H89" s="55">
        <f t="shared" si="41"/>
        <v>9.342563783447417</v>
      </c>
      <c r="I89" s="55">
        <f t="shared" si="41"/>
        <v>8.906186465291897</v>
      </c>
      <c r="J89" s="56">
        <f t="shared" si="41"/>
        <v>8.802744791296309</v>
      </c>
      <c r="K89" s="1" t="s">
        <v>173</v>
      </c>
      <c r="L89" s="1"/>
      <c r="M89" s="1"/>
    </row>
    <row r="90" ht="15" customHeight="1">
      <c r="A90" s="1"/>
      <c r="B90" s="1" t="s">
        <v>113</v>
      </c>
      <c r="C90" s="55"/>
      <c r="D90" s="55">
        <f t="shared" si="29"/>
      </c>
      <c r="E90" s="55">
        <f t="shared" si="29"/>
        <v>-0.6719346984003884</v>
      </c>
      <c r="F90" s="55">
        <f t="shared" si="29"/>
        <v>0.4966983576918702</v>
      </c>
      <c r="G90" s="55"/>
      <c r="H90" s="55">
        <f t="shared" si="31"/>
        <v>1.4355301443036863</v>
      </c>
      <c r="I90" s="55">
        <f t="shared" si="29"/>
        <v>-0.43637731815551994</v>
      </c>
      <c r="J90" s="56">
        <f t="shared" si="29"/>
        <v>-0.10344167399558835</v>
      </c>
      <c r="K90" s="1"/>
      <c r="L90" s="1"/>
      <c r="M90" s="1"/>
    </row>
    <row r="91" ht="15" customHeight="1">
      <c r="A91" s="1"/>
      <c r="B91" s="28" t="s">
        <v>174</v>
      </c>
      <c r="C91" s="29"/>
      <c r="D91" s="29"/>
      <c r="E91" s="29"/>
      <c r="F91" s="29"/>
      <c r="G91" s="29"/>
      <c r="H91" s="29"/>
      <c r="I91" s="29"/>
      <c r="J91" s="30"/>
      <c r="K91" s="29"/>
      <c r="L91" s="1"/>
      <c r="M91" s="1"/>
    </row>
    <row r="92" ht="15" customHeight="1">
      <c r="A92" s="1"/>
      <c r="B92" s="3" t="s">
        <v>108</v>
      </c>
      <c r="C92" s="53">
        <v>325</v>
      </c>
      <c r="D92" s="53">
        <v>403</v>
      </c>
      <c r="E92" s="53">
        <v>440</v>
      </c>
      <c r="F92" s="53">
        <v>300</v>
      </c>
      <c r="G92" s="38">
        <f t="shared" si="16"/>
        <v>1468</v>
      </c>
      <c r="H92" s="53">
        <v>379</v>
      </c>
      <c r="I92" s="53">
        <v>475</v>
      </c>
      <c r="J92" s="39">
        <f>J31*J95</f>
        <v>478.14200000000005</v>
      </c>
      <c r="K92" s="1" t="s">
        <v>218</v>
      </c>
      <c r="L92" s="1"/>
      <c r="M92" s="1"/>
    </row>
    <row r="93" ht="15" customHeight="1">
      <c r="A93" s="1"/>
      <c r="B93" s="4" t="s">
        <v>104</v>
      </c>
      <c r="C93" s="18"/>
      <c r="D93" s="18"/>
      <c r="E93" s="18"/>
      <c r="F93" s="18"/>
      <c r="G93" s="18"/>
      <c r="H93" s="18">
        <f t="shared" si="8"/>
        <v>0.1661538461538461</v>
      </c>
      <c r="I93" s="18">
        <f t="shared" si="8"/>
        <v>0.17866004962779147</v>
      </c>
      <c r="J93" s="32">
        <f t="shared" si="8"/>
        <v>0.08668636363636373</v>
      </c>
      <c r="K93" s="1"/>
      <c r="L93" s="1"/>
      <c r="M93" s="1"/>
    </row>
    <row r="94" ht="15" customHeight="1">
      <c r="A94" s="1"/>
      <c r="B94" s="4" t="s">
        <v>67</v>
      </c>
      <c r="C94" s="18"/>
      <c r="D94" s="18">
        <f t="shared" si="9"/>
        <v>0.24</v>
      </c>
      <c r="E94" s="18">
        <f t="shared" si="9"/>
        <v>0.09181141439205964</v>
      </c>
      <c r="F94" s="18">
        <f t="shared" si="9"/>
        <v>-0.31818181818181823</v>
      </c>
      <c r="G94" s="18"/>
      <c r="H94" s="18">
        <f t="shared" si="11"/>
        <v>0.2633333333333334</v>
      </c>
      <c r="I94" s="18">
        <f t="shared" si="9"/>
        <v>0.2532981530343008</v>
      </c>
      <c r="J94" s="32">
        <f t="shared" si="9"/>
        <v>0.006614736842105451</v>
      </c>
      <c r="K94" s="1"/>
      <c r="L94" s="1"/>
      <c r="M94" s="1"/>
    </row>
    <row r="95" ht="15" customHeight="1">
      <c r="A95" s="1"/>
      <c r="B95" s="4" t="s">
        <v>219</v>
      </c>
      <c r="C95" s="18">
        <f t="shared" si="42" ref="C95:I95">_xlfn.IFERROR(C92/C31,"")</f>
        <v>0.12045959970348406</v>
      </c>
      <c r="D95" s="18">
        <f t="shared" si="42"/>
        <v>0.1353257219610477</v>
      </c>
      <c r="E95" s="18">
        <f t="shared" si="42"/>
        <v>0.13534297139341742</v>
      </c>
      <c r="F95" s="18">
        <f t="shared" si="42"/>
        <v>0.09174311926605505</v>
      </c>
      <c r="G95" s="18">
        <f t="shared" si="42"/>
        <v>0.12035746495039763</v>
      </c>
      <c r="H95" s="18">
        <f t="shared" si="42"/>
        <v>0.1179215930304916</v>
      </c>
      <c r="I95" s="18">
        <f t="shared" si="42"/>
        <v>0.13796108045309324</v>
      </c>
      <c r="J95" s="52">
        <v>0.136</v>
      </c>
      <c r="K95" s="1" t="s">
        <v>220</v>
      </c>
      <c r="L95" s="1"/>
      <c r="M95" s="1"/>
    </row>
    <row r="96" ht="15" customHeight="1">
      <c r="A96" s="1"/>
      <c r="B96" s="1" t="s">
        <v>106</v>
      </c>
      <c r="C96" s="33"/>
      <c r="D96" s="33"/>
      <c r="E96" s="33"/>
      <c r="F96" s="33"/>
      <c r="G96" s="33"/>
      <c r="H96" s="33">
        <f t="shared" si="19"/>
        <v>-25.38006672992463</v>
      </c>
      <c r="I96" s="33">
        <f t="shared" si="19"/>
        <v>26.353584920455475</v>
      </c>
      <c r="J96" s="34">
        <f t="shared" si="19"/>
        <v>6.570286065825936</v>
      </c>
      <c r="K96" s="1"/>
      <c r="L96" s="1"/>
      <c r="M96" s="1"/>
    </row>
    <row r="97" ht="15" customHeight="1">
      <c r="A97" s="1"/>
      <c r="B97" s="1" t="s">
        <v>107</v>
      </c>
      <c r="C97" s="33"/>
      <c r="D97" s="33">
        <f t="shared" si="20"/>
        <v>148.66122257563632</v>
      </c>
      <c r="E97" s="33">
        <f t="shared" si="20"/>
        <v>0.1724943236972032</v>
      </c>
      <c r="F97" s="33">
        <f t="shared" si="20"/>
        <v>-435.9985212736236</v>
      </c>
      <c r="G97" s="33"/>
      <c r="H97" s="33">
        <f t="shared" si="22"/>
        <v>261.7847376443655</v>
      </c>
      <c r="I97" s="33">
        <f t="shared" si="20"/>
        <v>200.39487422601644</v>
      </c>
      <c r="J97" s="34">
        <f t="shared" si="20"/>
        <v>-19.610804530932334</v>
      </c>
      <c r="K97" s="1"/>
      <c r="L97" s="1"/>
      <c r="M97" s="1"/>
    </row>
    <row r="98" ht="15" customHeight="1">
      <c r="A98" s="1"/>
      <c r="B98" s="28" t="s">
        <v>178</v>
      </c>
      <c r="C98" s="29"/>
      <c r="D98" s="29"/>
      <c r="E98" s="29"/>
      <c r="F98" s="29"/>
      <c r="G98" s="29"/>
      <c r="H98" s="29"/>
      <c r="I98" s="29"/>
      <c r="J98" s="30"/>
      <c r="K98" s="29"/>
      <c r="L98" s="1"/>
      <c r="M98" s="1"/>
    </row>
    <row r="99" ht="15" customHeight="1">
      <c r="A99" s="1"/>
      <c r="B99" s="1" t="s">
        <v>179</v>
      </c>
      <c r="C99" s="35">
        <v>2053</v>
      </c>
      <c r="D99" s="35">
        <v>2244</v>
      </c>
      <c r="E99" s="17"/>
      <c r="F99" s="17"/>
      <c r="G99" s="17"/>
      <c r="H99" s="35">
        <v>2438</v>
      </c>
      <c r="I99" s="35">
        <v>2580</v>
      </c>
      <c r="J99" s="37"/>
      <c r="K99" s="1"/>
      <c r="L99" s="1"/>
      <c r="M99" s="1"/>
    </row>
    <row r="100" ht="15" customHeight="1">
      <c r="A100" s="1"/>
      <c r="B100" s="4" t="s">
        <v>221</v>
      </c>
      <c r="C100" s="18">
        <f t="shared" si="43" ref="C100:I100">_xlfn.IFERROR(C99/C37,"")</f>
        <v>0.7609340252038547</v>
      </c>
      <c r="D100" s="18">
        <f t="shared" si="43"/>
        <v>0.7535258562793822</v>
      </c>
      <c r="E100" s="18"/>
      <c r="F100" s="18"/>
      <c r="G100" s="18"/>
      <c r="H100" s="18">
        <f t="shared" si="43"/>
        <v>0.7585563161169881</v>
      </c>
      <c r="I100" s="18">
        <f t="shared" si="43"/>
        <v>0.7493465001452222</v>
      </c>
      <c r="J100" s="32"/>
      <c r="K100" s="1"/>
      <c r="L100" s="1"/>
      <c r="M100" s="1"/>
    </row>
    <row r="101" ht="15" customHeight="1">
      <c r="A101" s="1"/>
      <c r="B101" s="1" t="s">
        <v>106</v>
      </c>
      <c r="C101" s="33"/>
      <c r="D101" s="33"/>
      <c r="E101" s="33"/>
      <c r="F101" s="33"/>
      <c r="G101" s="33"/>
      <c r="H101" s="33">
        <f t="shared" si="19"/>
        <v>-23.777090868665198</v>
      </c>
      <c r="I101" s="33">
        <f t="shared" si="19"/>
        <v>-41.79356134159984</v>
      </c>
      <c r="J101" s="34">
        <f t="shared" si="19"/>
      </c>
      <c r="K101" s="1"/>
      <c r="L101" s="1"/>
      <c r="M101" s="1"/>
    </row>
    <row r="102" ht="15" customHeight="1">
      <c r="A102" s="1"/>
      <c r="B102" s="1" t="s">
        <v>107</v>
      </c>
      <c r="C102" s="33"/>
      <c r="D102" s="33">
        <f t="shared" si="20"/>
        <v>-74.08168924472491</v>
      </c>
      <c r="E102" s="33">
        <f t="shared" si="20"/>
      </c>
      <c r="F102" s="33">
        <f t="shared" si="20"/>
      </c>
      <c r="G102" s="33"/>
      <c r="H102" s="33">
        <f t="shared" si="22"/>
      </c>
      <c r="I102" s="33">
        <f t="shared" si="20"/>
        <v>-92.09815971765956</v>
      </c>
      <c r="J102" s="34">
        <f t="shared" si="20"/>
      </c>
      <c r="K102" s="1"/>
      <c r="L102" s="1"/>
      <c r="M102" s="1"/>
    </row>
    <row r="103" ht="15" customHeight="1">
      <c r="A103" s="1"/>
      <c r="B103" s="1" t="s">
        <v>181</v>
      </c>
      <c r="C103" s="35">
        <v>259</v>
      </c>
      <c r="D103" s="35">
        <v>271</v>
      </c>
      <c r="E103" s="17"/>
      <c r="F103" s="17"/>
      <c r="G103" s="17"/>
      <c r="H103" s="35">
        <v>319</v>
      </c>
      <c r="I103" s="35">
        <v>307</v>
      </c>
      <c r="J103" s="37"/>
      <c r="K103" s="1"/>
      <c r="L103" s="1"/>
      <c r="M103" s="1"/>
    </row>
    <row r="104" ht="15" customHeight="1">
      <c r="A104" s="1"/>
      <c r="B104" s="4" t="s">
        <v>221</v>
      </c>
      <c r="C104" s="18">
        <f t="shared" si="44" ref="C104:I104">_xlfn.IFERROR(C103/C37,"")</f>
        <v>0.09599703484062268</v>
      </c>
      <c r="D104" s="18">
        <f t="shared" si="44"/>
        <v>0.09100067159167226</v>
      </c>
      <c r="E104" s="18"/>
      <c r="F104" s="18"/>
      <c r="G104" s="18"/>
      <c r="H104" s="18">
        <f t="shared" si="44"/>
        <v>0.09925326695706285</v>
      </c>
      <c r="I104" s="18">
        <f t="shared" si="44"/>
        <v>0.08916642462968341</v>
      </c>
      <c r="J104" s="32"/>
      <c r="K104" s="1"/>
      <c r="L104" s="1"/>
      <c r="M104" s="1"/>
    </row>
    <row r="105" ht="15" customHeight="1">
      <c r="A105" s="1"/>
      <c r="B105" s="1" t="s">
        <v>106</v>
      </c>
      <c r="C105" s="33"/>
      <c r="D105" s="33"/>
      <c r="E105" s="33"/>
      <c r="F105" s="33"/>
      <c r="G105" s="33"/>
      <c r="H105" s="33">
        <f t="shared" si="19"/>
        <v>32.562321164401745</v>
      </c>
      <c r="I105" s="33">
        <f t="shared" si="19"/>
        <v>-18.342469619888472</v>
      </c>
      <c r="J105" s="34">
        <f t="shared" si="19"/>
      </c>
      <c r="K105" s="1"/>
      <c r="L105" s="1"/>
      <c r="M105" s="1"/>
    </row>
    <row r="106" ht="15" customHeight="1">
      <c r="A106" s="1"/>
      <c r="B106" s="1" t="s">
        <v>107</v>
      </c>
      <c r="C106" s="33"/>
      <c r="D106" s="33">
        <f t="shared" si="20"/>
        <v>-49.96363248950419</v>
      </c>
      <c r="E106" s="33">
        <f t="shared" si="20"/>
      </c>
      <c r="F106" s="33">
        <f t="shared" si="20"/>
      </c>
      <c r="G106" s="33"/>
      <c r="H106" s="33">
        <f t="shared" si="22"/>
      </c>
      <c r="I106" s="33">
        <f t="shared" si="20"/>
        <v>-100.86842327379442</v>
      </c>
      <c r="J106" s="34">
        <f t="shared" si="20"/>
      </c>
      <c r="K106" s="1"/>
      <c r="L106" s="1"/>
      <c r="M106" s="1"/>
    </row>
    <row r="107" ht="15" customHeight="1">
      <c r="A107" s="1"/>
      <c r="B107" s="1" t="s">
        <v>182</v>
      </c>
      <c r="C107" s="35">
        <v>72</v>
      </c>
      <c r="D107" s="35">
        <v>72</v>
      </c>
      <c r="E107" s="17"/>
      <c r="F107" s="17"/>
      <c r="G107" s="17"/>
      <c r="H107" s="35">
        <v>86</v>
      </c>
      <c r="I107" s="35">
        <v>88</v>
      </c>
      <c r="J107" s="37"/>
      <c r="K107" s="1"/>
      <c r="L107" s="1"/>
      <c r="M107" s="1"/>
    </row>
    <row r="108" ht="15" customHeight="1">
      <c r="A108" s="1"/>
      <c r="B108" s="4" t="s">
        <v>221</v>
      </c>
      <c r="C108" s="18">
        <f t="shared" si="45" ref="C108:I108">_xlfn.IFERROR(C107/C37,"")</f>
        <v>0.026686434395848776</v>
      </c>
      <c r="D108" s="18">
        <f t="shared" si="45"/>
        <v>0.0241773002014775</v>
      </c>
      <c r="E108" s="18"/>
      <c r="F108" s="18"/>
      <c r="G108" s="18"/>
      <c r="H108" s="18">
        <f t="shared" si="45"/>
        <v>0.026757934038581208</v>
      </c>
      <c r="I108" s="18">
        <f t="shared" si="45"/>
        <v>0.025559105431309903</v>
      </c>
      <c r="J108" s="32"/>
      <c r="K108" s="1"/>
      <c r="L108" s="1"/>
      <c r="M108" s="1"/>
    </row>
    <row r="109" ht="15" customHeight="1">
      <c r="A109" s="1"/>
      <c r="B109" s="1" t="s">
        <v>106</v>
      </c>
      <c r="C109" s="33"/>
      <c r="D109" s="33"/>
      <c r="E109" s="33"/>
      <c r="F109" s="33"/>
      <c r="G109" s="33"/>
      <c r="H109" s="33">
        <f t="shared" si="19"/>
        <v>0.7149964273243242</v>
      </c>
      <c r="I109" s="33">
        <f t="shared" si="19"/>
        <v>13.81805229832403</v>
      </c>
      <c r="J109" s="34">
        <f t="shared" si="19"/>
      </c>
      <c r="K109" s="1"/>
      <c r="L109" s="1"/>
      <c r="M109" s="1"/>
    </row>
    <row r="110" ht="15" customHeight="1">
      <c r="A110" s="1"/>
      <c r="B110" s="1" t="s">
        <v>107</v>
      </c>
      <c r="C110" s="33"/>
      <c r="D110" s="33">
        <f t="shared" si="20"/>
        <v>-25.091341943712756</v>
      </c>
      <c r="E110" s="33">
        <f t="shared" si="20"/>
      </c>
      <c r="F110" s="33">
        <f t="shared" si="20"/>
      </c>
      <c r="G110" s="33"/>
      <c r="H110" s="33">
        <f t="shared" si="22"/>
      </c>
      <c r="I110" s="33">
        <f t="shared" si="20"/>
        <v>-11.988286072713052</v>
      </c>
      <c r="J110" s="34">
        <f t="shared" si="20"/>
      </c>
      <c r="K110" s="1"/>
      <c r="L110" s="1"/>
      <c r="M110" s="1"/>
    </row>
    <row r="111" ht="15" customHeight="1">
      <c r="A111" s="1"/>
      <c r="B111" s="1" t="s">
        <v>183</v>
      </c>
      <c r="C111" s="35">
        <v>-11</v>
      </c>
      <c r="D111" s="35">
        <v>-12</v>
      </c>
      <c r="E111" s="17"/>
      <c r="F111" s="17"/>
      <c r="G111" s="17"/>
      <c r="H111" s="35">
        <v>-9</v>
      </c>
      <c r="I111" s="35">
        <v>-6</v>
      </c>
      <c r="J111" s="37"/>
      <c r="K111" s="1"/>
      <c r="L111" s="1"/>
      <c r="M111" s="1"/>
    </row>
    <row r="112" ht="15" customHeight="1">
      <c r="A112" s="1"/>
      <c r="B112" s="4" t="s">
        <v>221</v>
      </c>
      <c r="C112" s="18">
        <f t="shared" si="46" ref="C112:I112">_xlfn.IFERROR(C111/C37,"")</f>
        <v>-0.00407709414381023</v>
      </c>
      <c r="D112" s="18">
        <f t="shared" si="46"/>
        <v>-0.004029550033579583</v>
      </c>
      <c r="E112" s="18"/>
      <c r="F112" s="18"/>
      <c r="G112" s="18"/>
      <c r="H112" s="18">
        <f t="shared" si="46"/>
        <v>-0.0028002489110143126</v>
      </c>
      <c r="I112" s="18">
        <f t="shared" si="46"/>
        <v>-0.0017426662794074934</v>
      </c>
      <c r="J112" s="32"/>
      <c r="K112" s="1"/>
      <c r="L112" s="1"/>
      <c r="M112" s="1"/>
    </row>
    <row r="113" ht="15" customHeight="1">
      <c r="A113" s="1"/>
      <c r="B113" s="1" t="s">
        <v>106</v>
      </c>
      <c r="C113" s="33"/>
      <c r="D113" s="33"/>
      <c r="E113" s="33"/>
      <c r="F113" s="33"/>
      <c r="G113" s="33"/>
      <c r="H113" s="33">
        <f t="shared" si="19"/>
        <v>12.768452327959174</v>
      </c>
      <c r="I113" s="33">
        <f t="shared" si="19"/>
        <v>22.868837541720904</v>
      </c>
      <c r="J113" s="34">
        <f t="shared" si="19"/>
      </c>
      <c r="K113" s="1"/>
      <c r="L113" s="1"/>
      <c r="M113" s="1"/>
    </row>
    <row r="114" ht="15" customHeight="1">
      <c r="A114" s="1"/>
      <c r="B114" s="1" t="s">
        <v>107</v>
      </c>
      <c r="C114" s="33"/>
      <c r="D114" s="33">
        <f t="shared" si="20"/>
        <v>0.4754411023064672</v>
      </c>
      <c r="E114" s="33">
        <f t="shared" si="20"/>
      </c>
      <c r="F114" s="33">
        <f t="shared" si="20"/>
      </c>
      <c r="G114" s="33"/>
      <c r="H114" s="33">
        <f t="shared" si="22"/>
      </c>
      <c r="I114" s="33">
        <f t="shared" si="20"/>
        <v>10.575826316068191</v>
      </c>
      <c r="J114" s="34">
        <f t="shared" si="20"/>
      </c>
      <c r="K114" s="1"/>
      <c r="L114" s="1"/>
      <c r="M114" s="1"/>
    </row>
    <row r="115" ht="15" customHeight="1">
      <c r="A115" s="1"/>
      <c r="B115" s="3" t="s">
        <v>222</v>
      </c>
      <c r="C115" s="38">
        <f t="shared" si="47" ref="C115:I115">C99+C103+C107+C111</f>
        <v>2373</v>
      </c>
      <c r="D115" s="38">
        <f t="shared" si="47"/>
        <v>2575</v>
      </c>
      <c r="E115" s="38"/>
      <c r="F115" s="38"/>
      <c r="G115" s="38"/>
      <c r="H115" s="38">
        <f t="shared" si="47"/>
        <v>2834</v>
      </c>
      <c r="I115" s="38">
        <f t="shared" si="47"/>
        <v>2969</v>
      </c>
      <c r="J115" s="39"/>
      <c r="K115" s="1"/>
      <c r="L115" s="1"/>
      <c r="M115" s="1"/>
    </row>
    <row r="116" ht="15" customHeight="1">
      <c r="A116" s="1"/>
      <c r="B116" s="1" t="s">
        <v>185</v>
      </c>
      <c r="C116" s="40" t="b">
        <f t="shared" si="48" ref="C116:I116">ABS(C37-C115-C92)&lt;=1</f>
        <v>1</v>
      </c>
      <c r="D116" s="40" t="b">
        <f t="shared" si="48"/>
        <v>1</v>
      </c>
      <c r="E116" s="40"/>
      <c r="F116" s="40"/>
      <c r="G116" s="40"/>
      <c r="H116" s="40" t="b">
        <f t="shared" si="48"/>
        <v>1</v>
      </c>
      <c r="I116" s="40" t="b">
        <f t="shared" si="48"/>
        <v>1</v>
      </c>
      <c r="J116" s="27"/>
      <c r="K116" s="1" t="s">
        <v>186</v>
      </c>
      <c r="L116" s="1"/>
      <c r="M116" s="1"/>
    </row>
    <row r="117" ht="1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ht="1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ht="1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F442AF8-7558-4C38-D856-7C961D84070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46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223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52</v>
      </c>
      <c r="C5" s="6" t="s">
        <v>53</v>
      </c>
      <c r="D5" s="6" t="s">
        <v>54</v>
      </c>
      <c r="E5" s="6" t="s">
        <v>55</v>
      </c>
      <c r="F5" s="6" t="s">
        <v>56</v>
      </c>
      <c r="G5" s="6" t="s">
        <v>57</v>
      </c>
      <c r="H5" s="6" t="s">
        <v>58</v>
      </c>
      <c r="I5" s="6" t="s">
        <v>59</v>
      </c>
      <c r="J5" s="26" t="s">
        <v>60</v>
      </c>
      <c r="K5" s="5" t="s">
        <v>3</v>
      </c>
      <c r="L5" s="1"/>
      <c r="M5" s="1"/>
    </row>
    <row r="6" ht="15" customHeight="1">
      <c r="A6" s="1"/>
      <c r="B6" s="8" t="s">
        <v>61</v>
      </c>
      <c r="C6" s="9">
        <f>DATE(2025,3,31)</f>
        <v>45747</v>
      </c>
      <c r="D6" s="9">
        <f>DATE(2025,6,30)</f>
        <v>45838</v>
      </c>
      <c r="E6" s="9">
        <f>DATE(2025,9,30)</f>
        <v>45930</v>
      </c>
      <c r="F6" s="9">
        <f t="shared" si="0" ref="F6:G6">DATE(2025,12,31)</f>
        <v>46022</v>
      </c>
      <c r="G6" s="9">
        <f t="shared" si="0"/>
        <v>46022</v>
      </c>
      <c r="H6" s="9">
        <f>DATE(2026,3,31)</f>
        <v>46112</v>
      </c>
      <c r="I6" s="9">
        <f>DATE(2026,6,30)</f>
        <v>46203</v>
      </c>
      <c r="J6" s="9">
        <f>DATE(2026,9,30)</f>
        <v>46295</v>
      </c>
      <c r="K6" s="8"/>
      <c r="L6" s="1"/>
      <c r="M6" s="1"/>
    </row>
    <row r="7" ht="15" customHeight="1">
      <c r="A7" s="1"/>
      <c r="B7" s="10" t="s">
        <v>62</v>
      </c>
      <c r="C7" s="11">
        <f t="shared" si="2" ref="C7:G7">C6-DATE(2024,12,31)</f>
        <v>90</v>
      </c>
      <c r="D7" s="11">
        <f t="shared" si="1" ref="D7:J7">D6-C6</f>
        <v>91</v>
      </c>
      <c r="E7" s="11">
        <f t="shared" si="1"/>
        <v>92</v>
      </c>
      <c r="F7" s="11">
        <f t="shared" si="1"/>
        <v>92</v>
      </c>
      <c r="G7" s="11">
        <f t="shared" si="2"/>
        <v>365</v>
      </c>
      <c r="H7" s="11">
        <f>H6-F6</f>
        <v>90</v>
      </c>
      <c r="I7" s="11">
        <f t="shared" si="1"/>
        <v>91</v>
      </c>
      <c r="J7" s="11">
        <f t="shared" si="1"/>
        <v>92</v>
      </c>
      <c r="K7" s="10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27"/>
      <c r="K8" s="1"/>
      <c r="L8" s="1"/>
      <c r="M8" s="1"/>
    </row>
    <row r="9" ht="15" customHeight="1">
      <c r="A9" s="1"/>
      <c r="B9" s="28" t="s">
        <v>224</v>
      </c>
      <c r="C9" s="29"/>
      <c r="D9" s="29"/>
      <c r="E9" s="29"/>
      <c r="F9" s="29"/>
      <c r="G9" s="29"/>
      <c r="H9" s="29"/>
      <c r="I9" s="29"/>
      <c r="J9" s="30"/>
      <c r="K9" s="29"/>
      <c r="L9" s="1"/>
      <c r="M9" s="1"/>
    </row>
    <row r="10" ht="15" customHeight="1">
      <c r="A10" s="1"/>
      <c r="B10" s="1" t="s">
        <v>225</v>
      </c>
      <c r="C10" s="35">
        <v>2653</v>
      </c>
      <c r="D10" s="35">
        <v>2842</v>
      </c>
      <c r="E10" s="35">
        <v>3163</v>
      </c>
      <c r="F10" s="35">
        <v>3500</v>
      </c>
      <c r="G10" s="17">
        <f t="shared" si="3" ref="G10:G180">SUM(C10:F10)</f>
        <v>12158</v>
      </c>
      <c r="H10" s="35">
        <v>3268</v>
      </c>
      <c r="I10" s="35">
        <v>3602</v>
      </c>
      <c r="J10" s="31">
        <f>'Segment - CES'!J28+'Segment - DPT'!J43+'Revenue summary'!J28*J165</f>
        <v>3575.3037499999996</v>
      </c>
      <c r="K10" s="1" t="s">
        <v>226</v>
      </c>
      <c r="L10" s="1"/>
      <c r="M10" s="1"/>
    </row>
    <row r="11" ht="15" customHeight="1">
      <c r="A11" s="1"/>
      <c r="B11" s="1" t="s">
        <v>227</v>
      </c>
      <c r="C11" s="35">
        <v>6347</v>
      </c>
      <c r="D11" s="35">
        <v>7308</v>
      </c>
      <c r="E11" s="35">
        <v>8143</v>
      </c>
      <c r="F11" s="35">
        <v>8365</v>
      </c>
      <c r="G11" s="17">
        <f t="shared" si="3"/>
        <v>30163</v>
      </c>
      <c r="H11" s="35">
        <v>8346</v>
      </c>
      <c r="I11" s="35">
        <v>9031</v>
      </c>
      <c r="J11" s="31">
        <f>'Revenue summary'!J38-J10</f>
        <v>9324.48625</v>
      </c>
      <c r="K11" s="1"/>
      <c r="L11" s="1"/>
      <c r="M11" s="1"/>
    </row>
    <row r="12" ht="15" customHeight="1">
      <c r="A12" s="1"/>
      <c r="B12" s="1" t="s">
        <v>228</v>
      </c>
      <c r="C12" s="35">
        <v>934</v>
      </c>
      <c r="D12" s="35">
        <v>872</v>
      </c>
      <c r="E12" s="35">
        <v>875</v>
      </c>
      <c r="F12" s="35">
        <v>852</v>
      </c>
      <c r="G12" s="17">
        <f t="shared" si="3"/>
        <v>3533</v>
      </c>
      <c r="H12" s="35">
        <v>778</v>
      </c>
      <c r="I12" s="35">
        <v>715</v>
      </c>
      <c r="J12" s="36">
        <v>730</v>
      </c>
      <c r="K12" s="1" t="s">
        <v>229</v>
      </c>
      <c r="L12" s="1"/>
      <c r="M12" s="1"/>
    </row>
    <row r="13" ht="15" customHeight="1">
      <c r="A13" s="1"/>
      <c r="B13" s="1" t="s">
        <v>112</v>
      </c>
      <c r="C13" s="17"/>
      <c r="D13" s="17"/>
      <c r="E13" s="17"/>
      <c r="F13" s="17"/>
      <c r="G13" s="17"/>
      <c r="H13" s="17">
        <f t="shared" si="4" ref="H13:J181">IF(AND(ISNUMBER(H12),ISNUMBER(C12)),H12-C12,"")</f>
        <v>-156</v>
      </c>
      <c r="I13" s="17">
        <f t="shared" si="4"/>
        <v>-157</v>
      </c>
      <c r="J13" s="37">
        <f t="shared" si="4"/>
        <v>-145</v>
      </c>
      <c r="K13" s="1"/>
      <c r="L13" s="1"/>
      <c r="M13" s="1"/>
    </row>
    <row r="14" ht="15" customHeight="1">
      <c r="A14" s="1"/>
      <c r="B14" s="1" t="s">
        <v>113</v>
      </c>
      <c r="C14" s="17"/>
      <c r="D14" s="17">
        <f t="shared" si="5" ref="D14:J182">IF(AND(ISNUMBER(D12),ISNUMBER(C12)),D12-C12,"")</f>
        <v>-62</v>
      </c>
      <c r="E14" s="17">
        <f t="shared" si="5"/>
        <v>3</v>
      </c>
      <c r="F14" s="17">
        <f t="shared" si="5"/>
        <v>-23</v>
      </c>
      <c r="G14" s="17"/>
      <c r="H14" s="17">
        <f t="shared" si="14" ref="H14:H182">IF(AND(ISNUMBER(H12),ISNUMBER(F12)),H12-F12,"")</f>
        <v>-74</v>
      </c>
      <c r="I14" s="17">
        <f t="shared" si="5"/>
        <v>-63</v>
      </c>
      <c r="J14" s="37">
        <f t="shared" si="5"/>
        <v>15</v>
      </c>
      <c r="K14" s="1"/>
      <c r="L14" s="1"/>
      <c r="M14" s="1"/>
    </row>
    <row r="15" ht="15" customHeight="1">
      <c r="A15" s="1"/>
      <c r="B15" s="3" t="s">
        <v>99</v>
      </c>
      <c r="C15" s="38">
        <f t="shared" si="6" ref="C15:J15">C10+C11+C12</f>
        <v>9934</v>
      </c>
      <c r="D15" s="38">
        <f t="shared" si="6"/>
        <v>11022</v>
      </c>
      <c r="E15" s="38">
        <f t="shared" si="6"/>
        <v>12181</v>
      </c>
      <c r="F15" s="38">
        <f t="shared" si="6"/>
        <v>12717</v>
      </c>
      <c r="G15" s="38">
        <f t="shared" si="6"/>
        <v>45854</v>
      </c>
      <c r="H15" s="38">
        <f t="shared" si="6"/>
        <v>12392</v>
      </c>
      <c r="I15" s="38">
        <f t="shared" si="6"/>
        <v>13348</v>
      </c>
      <c r="J15" s="39">
        <f t="shared" si="6"/>
        <v>13629.789999999999</v>
      </c>
      <c r="K15" s="1"/>
      <c r="L15" s="1"/>
      <c r="M15" s="1"/>
    </row>
    <row r="16" ht="15" customHeight="1">
      <c r="A16" s="1"/>
      <c r="B16" s="4" t="s">
        <v>104</v>
      </c>
      <c r="C16" s="18"/>
      <c r="D16" s="18"/>
      <c r="E16" s="18"/>
      <c r="F16" s="18"/>
      <c r="G16" s="18"/>
      <c r="H16" s="18">
        <f t="shared" si="7" ref="H16:J104">IF(AND(ISNUMBER(H15),ISNUMBER(C15)),IF(C15&lt;&gt;0,H15/C15-1,""),"")</f>
        <v>0.2474330581840145</v>
      </c>
      <c r="I16" s="18">
        <f t="shared" si="7"/>
        <v>0.21103248049355838</v>
      </c>
      <c r="J16" s="32">
        <f t="shared" si="7"/>
        <v>0.11893851079550122</v>
      </c>
      <c r="K16" s="1"/>
      <c r="L16" s="1"/>
      <c r="M16" s="1"/>
    </row>
    <row r="17" ht="15" customHeight="1">
      <c r="A17" s="1"/>
      <c r="B17" s="4" t="s">
        <v>67</v>
      </c>
      <c r="C17" s="18"/>
      <c r="D17" s="18">
        <f t="shared" si="8" ref="D17:J105">IF(AND(ISNUMBER(D15),ISNUMBER(C15)),IF(C15&lt;&gt;0,D15/C15-1,""),"")</f>
        <v>0.1095228508153816</v>
      </c>
      <c r="E17" s="18">
        <f t="shared" si="8"/>
        <v>0.10515332970422797</v>
      </c>
      <c r="F17" s="18">
        <f t="shared" si="8"/>
        <v>0.044002955422379086</v>
      </c>
      <c r="G17" s="18"/>
      <c r="H17" s="18">
        <f t="shared" si="30" ref="H17:H105">IF(AND(ISNUMBER(H15),ISNUMBER(F15)),IF(F15&lt;&gt;0,H15/F15-1,""),"")</f>
        <v>-0.02555634190453726</v>
      </c>
      <c r="I17" s="18">
        <f t="shared" si="8"/>
        <v>0.07714654615881211</v>
      </c>
      <c r="J17" s="32">
        <f t="shared" si="8"/>
        <v>0.0211110278693436</v>
      </c>
      <c r="K17" s="1"/>
      <c r="L17" s="1"/>
      <c r="M17" s="1"/>
    </row>
    <row r="18" ht="15" customHeight="1">
      <c r="A18" s="1"/>
      <c r="B18" s="1" t="s">
        <v>230</v>
      </c>
      <c r="C18" s="35">
        <v>9935</v>
      </c>
      <c r="D18" s="35">
        <v>11023</v>
      </c>
      <c r="E18" s="35">
        <v>12181</v>
      </c>
      <c r="F18" s="35">
        <v>12717</v>
      </c>
      <c r="G18" s="35">
        <v>45855</v>
      </c>
      <c r="H18" s="35">
        <v>12392</v>
      </c>
      <c r="I18" s="35">
        <v>13349</v>
      </c>
      <c r="J18" s="37"/>
      <c r="K18" s="1"/>
      <c r="L18" s="1"/>
      <c r="M18" s="1"/>
    </row>
    <row r="19" ht="15" customHeight="1">
      <c r="A19" s="1"/>
      <c r="B19" s="1" t="s">
        <v>231</v>
      </c>
      <c r="C19" s="40" t="b">
        <f t="shared" si="9" ref="C19:I19">ABS(C15-C18)&lt;=2</f>
        <v>1</v>
      </c>
      <c r="D19" s="40" t="b">
        <f t="shared" si="9"/>
        <v>1</v>
      </c>
      <c r="E19" s="40" t="b">
        <f t="shared" si="9"/>
        <v>1</v>
      </c>
      <c r="F19" s="40" t="b">
        <f t="shared" si="9"/>
        <v>1</v>
      </c>
      <c r="G19" s="40" t="b">
        <f t="shared" si="9"/>
        <v>1</v>
      </c>
      <c r="H19" s="40" t="b">
        <f t="shared" si="9"/>
        <v>1</v>
      </c>
      <c r="I19" s="40" t="b">
        <f t="shared" si="9"/>
        <v>1</v>
      </c>
      <c r="J19" s="27"/>
      <c r="K19" s="1" t="s">
        <v>232</v>
      </c>
      <c r="L19" s="1"/>
      <c r="M19" s="1"/>
    </row>
    <row r="20" ht="15" customHeight="1">
      <c r="A20" s="1"/>
      <c r="B20" s="1" t="s">
        <v>233</v>
      </c>
      <c r="C20" s="35">
        <v>2335</v>
      </c>
      <c r="D20" s="35">
        <v>2754</v>
      </c>
      <c r="E20" s="35">
        <v>3361</v>
      </c>
      <c r="F20" s="35">
        <v>3931</v>
      </c>
      <c r="G20" s="17">
        <f t="shared" si="3"/>
        <v>12381</v>
      </c>
      <c r="H20" s="35">
        <v>3281</v>
      </c>
      <c r="I20" s="35">
        <v>3817</v>
      </c>
      <c r="J20" s="37">
        <f>J10*J168</f>
        <v>3754.0689374999997</v>
      </c>
      <c r="K20" s="1"/>
      <c r="L20" s="1"/>
      <c r="M20" s="1"/>
    </row>
    <row r="21" ht="15" customHeight="1">
      <c r="A21" s="1"/>
      <c r="B21" s="1" t="s">
        <v>234</v>
      </c>
      <c r="C21" s="35">
        <v>3660</v>
      </c>
      <c r="D21" s="35">
        <v>4092</v>
      </c>
      <c r="E21" s="35">
        <v>4401</v>
      </c>
      <c r="F21" s="35">
        <v>4432</v>
      </c>
      <c r="G21" s="17">
        <f t="shared" si="3"/>
        <v>16585</v>
      </c>
      <c r="H21" s="35">
        <v>4641</v>
      </c>
      <c r="I21" s="35">
        <v>4856</v>
      </c>
      <c r="J21" s="37">
        <f>J42-(J20+J26+J32+J33+J39+J40+J41)</f>
        <v>5054.382102499998</v>
      </c>
      <c r="K21" s="1" t="s">
        <v>235</v>
      </c>
      <c r="L21" s="1"/>
      <c r="M21" s="1"/>
    </row>
    <row r="22" ht="15" customHeight="1">
      <c r="A22" s="1"/>
      <c r="B22" s="3" t="s">
        <v>236</v>
      </c>
      <c r="C22" s="38">
        <f t="shared" si="10" ref="C22:I22">C10+C11-C20-C21</f>
        <v>3005</v>
      </c>
      <c r="D22" s="38">
        <f t="shared" si="10"/>
        <v>3304</v>
      </c>
      <c r="E22" s="38">
        <f t="shared" si="10"/>
        <v>3544</v>
      </c>
      <c r="F22" s="38">
        <f t="shared" si="10"/>
        <v>3502</v>
      </c>
      <c r="G22" s="38">
        <f t="shared" si="10"/>
        <v>13355</v>
      </c>
      <c r="H22" s="38">
        <f t="shared" si="10"/>
        <v>3692</v>
      </c>
      <c r="I22" s="38">
        <f t="shared" si="10"/>
        <v>3960</v>
      </c>
      <c r="J22" s="39" t="s">
        <v>37</v>
      </c>
      <c r="K22" s="1" t="s">
        <v>237</v>
      </c>
      <c r="L22" s="1"/>
      <c r="M22" s="1"/>
    </row>
    <row r="23" ht="15" customHeight="1">
      <c r="A23" s="1"/>
      <c r="B23" s="4" t="s">
        <v>238</v>
      </c>
      <c r="C23" s="18">
        <f t="shared" si="11" ref="C23:I23">_xlfn.IFERROR(C22/(C10+C11),"")</f>
        <v>0.3338888888888889</v>
      </c>
      <c r="D23" s="18">
        <f t="shared" si="11"/>
        <v>0.3255172413793103</v>
      </c>
      <c r="E23" s="18">
        <f t="shared" si="11"/>
        <v>0.3134618786485052</v>
      </c>
      <c r="F23" s="18">
        <f t="shared" si="11"/>
        <v>0.2951538137378845</v>
      </c>
      <c r="G23" s="18">
        <f t="shared" si="11"/>
        <v>0.31556437702322726</v>
      </c>
      <c r="H23" s="18">
        <f t="shared" si="11"/>
        <v>0.3178921990700878</v>
      </c>
      <c r="I23" s="18">
        <f t="shared" si="11"/>
        <v>0.31346473521728807</v>
      </c>
      <c r="J23" s="32" t="s">
        <v>37</v>
      </c>
      <c r="K23" s="1" t="s">
        <v>239</v>
      </c>
      <c r="L23" s="1"/>
      <c r="M23" s="1"/>
    </row>
    <row r="24" ht="15" customHeight="1">
      <c r="A24" s="1"/>
      <c r="B24" s="1" t="s">
        <v>106</v>
      </c>
      <c r="C24" s="33"/>
      <c r="D24" s="33"/>
      <c r="E24" s="33"/>
      <c r="F24" s="33"/>
      <c r="G24" s="33"/>
      <c r="H24" s="33">
        <f t="shared" si="12" ref="H24:J184">IF(AND(ISNUMBER(H23),ISNUMBER(C23)),(H23-C23)*10000,"")</f>
        <v>-159.9668981880109</v>
      </c>
      <c r="I24" s="33">
        <f t="shared" si="12"/>
        <v>-120.52506162022247</v>
      </c>
      <c r="J24" s="34">
        <f t="shared" si="12"/>
      </c>
      <c r="K24" s="1"/>
      <c r="L24" s="1"/>
      <c r="M24" s="1"/>
    </row>
    <row r="25" ht="15" customHeight="1">
      <c r="A25" s="1"/>
      <c r="B25" s="1" t="s">
        <v>107</v>
      </c>
      <c r="C25" s="33"/>
      <c r="D25" s="33">
        <f t="shared" si="13" ref="D25:J185">IF(AND(ISNUMBER(D23),ISNUMBER(C23)),(D23-C23)*10000,"")</f>
        <v>-83.71647509578584</v>
      </c>
      <c r="E25" s="33">
        <f t="shared" si="13"/>
        <v>-120.55362730805098</v>
      </c>
      <c r="F25" s="33">
        <f t="shared" si="13"/>
        <v>-183.08064910620703</v>
      </c>
      <c r="G25" s="33"/>
      <c r="H25" s="33">
        <f t="shared" si="16" ref="H25:H185">IF(AND(ISNUMBER(H23),ISNUMBER(F23)),(H23-F23)*10000,"")</f>
        <v>227.38385332203293</v>
      </c>
      <c r="I25" s="33">
        <f t="shared" si="13"/>
        <v>-44.2746385279974</v>
      </c>
      <c r="J25" s="34">
        <f t="shared" si="13"/>
      </c>
      <c r="K25" s="1"/>
      <c r="L25" s="1"/>
      <c r="M25" s="1"/>
    </row>
    <row r="26" ht="15" customHeight="1">
      <c r="A26" s="1"/>
      <c r="B26" s="1" t="s">
        <v>240</v>
      </c>
      <c r="C26" s="35">
        <v>876</v>
      </c>
      <c r="D26" s="35">
        <v>1020</v>
      </c>
      <c r="E26" s="35">
        <v>1195</v>
      </c>
      <c r="F26" s="35">
        <v>997</v>
      </c>
      <c r="G26" s="17">
        <f t="shared" si="3"/>
        <v>4088</v>
      </c>
      <c r="H26" s="35">
        <v>1084</v>
      </c>
      <c r="I26" s="35">
        <v>1131</v>
      </c>
      <c r="J26" s="36">
        <v>1130</v>
      </c>
      <c r="K26" s="1" t="s">
        <v>241</v>
      </c>
      <c r="L26" s="1"/>
      <c r="M26" s="1"/>
    </row>
    <row r="27" ht="15" customHeight="1">
      <c r="A27" s="1"/>
      <c r="B27" s="1" t="s">
        <v>112</v>
      </c>
      <c r="C27" s="17"/>
      <c r="D27" s="17"/>
      <c r="E27" s="17"/>
      <c r="F27" s="17"/>
      <c r="G27" s="17"/>
      <c r="H27" s="17">
        <f t="shared" si="4"/>
        <v>208</v>
      </c>
      <c r="I27" s="17">
        <f t="shared" si="4"/>
        <v>111</v>
      </c>
      <c r="J27" s="37">
        <f t="shared" si="4"/>
        <v>-65</v>
      </c>
      <c r="K27" s="1"/>
      <c r="L27" s="1"/>
      <c r="M27" s="1"/>
    </row>
    <row r="28" ht="15" customHeight="1">
      <c r="A28" s="1"/>
      <c r="B28" s="1" t="s">
        <v>113</v>
      </c>
      <c r="C28" s="17"/>
      <c r="D28" s="17">
        <f t="shared" si="5"/>
        <v>144</v>
      </c>
      <c r="E28" s="17">
        <f t="shared" si="5"/>
        <v>175</v>
      </c>
      <c r="F28" s="17">
        <f t="shared" si="5"/>
        <v>-198</v>
      </c>
      <c r="G28" s="17"/>
      <c r="H28" s="17">
        <f t="shared" si="14"/>
        <v>87</v>
      </c>
      <c r="I28" s="17">
        <f t="shared" si="5"/>
        <v>47</v>
      </c>
      <c r="J28" s="37">
        <f t="shared" si="5"/>
        <v>-1</v>
      </c>
      <c r="K28" s="1"/>
      <c r="L28" s="1"/>
      <c r="M28" s="1"/>
    </row>
    <row r="29" ht="15" customHeight="1">
      <c r="A29" s="1"/>
      <c r="B29" s="4" t="s">
        <v>242</v>
      </c>
      <c r="C29" s="18">
        <f t="shared" si="15" ref="C29:J29">_xlfn.IFERROR(C26/C15,"")</f>
        <v>0.08818200120797262</v>
      </c>
      <c r="D29" s="18">
        <f t="shared" si="15"/>
        <v>0.09254218835057158</v>
      </c>
      <c r="E29" s="18">
        <f t="shared" si="15"/>
        <v>0.0981036039734012</v>
      </c>
      <c r="F29" s="18">
        <f t="shared" si="15"/>
        <v>0.07839899347330345</v>
      </c>
      <c r="G29" s="18">
        <f t="shared" si="15"/>
        <v>0.08915252758756052</v>
      </c>
      <c r="H29" s="18">
        <f t="shared" si="15"/>
        <v>0.08747579083279536</v>
      </c>
      <c r="I29" s="18">
        <f t="shared" si="15"/>
        <v>0.08473179502547198</v>
      </c>
      <c r="J29" s="32">
        <f t="shared" si="15"/>
        <v>0.0829066331909736</v>
      </c>
      <c r="K29" s="1"/>
      <c r="L29" s="1"/>
      <c r="M29" s="1"/>
    </row>
    <row r="30" ht="15" customHeight="1">
      <c r="A30" s="1"/>
      <c r="B30" s="1" t="s">
        <v>106</v>
      </c>
      <c r="C30" s="33"/>
      <c r="D30" s="33"/>
      <c r="E30" s="33"/>
      <c r="F30" s="33"/>
      <c r="G30" s="33"/>
      <c r="H30" s="33">
        <f t="shared" si="12"/>
        <v>-7.06210375177263</v>
      </c>
      <c r="I30" s="33">
        <f t="shared" si="12"/>
        <v>-78.103933250996</v>
      </c>
      <c r="J30" s="34">
        <f t="shared" si="12"/>
        <v>-151.96970782427599</v>
      </c>
      <c r="K30" s="1"/>
      <c r="L30" s="1"/>
      <c r="M30" s="1"/>
    </row>
    <row r="31" ht="15" customHeight="1">
      <c r="A31" s="1"/>
      <c r="B31" s="1" t="s">
        <v>107</v>
      </c>
      <c r="C31" s="33"/>
      <c r="D31" s="33">
        <f t="shared" si="13"/>
        <v>43.60187142598962</v>
      </c>
      <c r="E31" s="33">
        <f t="shared" si="13"/>
        <v>55.61415622829621</v>
      </c>
      <c r="F31" s="33">
        <f t="shared" si="13"/>
        <v>-197.04610500097752</v>
      </c>
      <c r="G31" s="33"/>
      <c r="H31" s="33">
        <f t="shared" si="16"/>
        <v>90.76797359491906</v>
      </c>
      <c r="I31" s="33">
        <f t="shared" si="13"/>
        <v>-27.43995807323374</v>
      </c>
      <c r="J31" s="34">
        <f t="shared" si="13"/>
        <v>-18.25161834498379</v>
      </c>
      <c r="K31" s="1"/>
      <c r="L31" s="1"/>
      <c r="M31" s="1"/>
    </row>
    <row r="32" ht="15" customHeight="1">
      <c r="A32" s="1"/>
      <c r="B32" s="1" t="s">
        <v>243</v>
      </c>
      <c r="C32" s="35">
        <v>51</v>
      </c>
      <c r="D32" s="35">
        <v>47</v>
      </c>
      <c r="E32" s="35">
        <v>53</v>
      </c>
      <c r="F32" s="35">
        <v>52</v>
      </c>
      <c r="G32" s="17">
        <f t="shared" si="3"/>
        <v>203</v>
      </c>
      <c r="H32" s="35">
        <v>55</v>
      </c>
      <c r="I32" s="35">
        <v>34</v>
      </c>
      <c r="J32" s="37">
        <f>-J153</f>
        <v>15</v>
      </c>
      <c r="K32" s="1"/>
      <c r="L32" s="1"/>
      <c r="M32" s="1"/>
    </row>
    <row r="33" ht="15" customHeight="1">
      <c r="A33" s="1"/>
      <c r="B33" s="1" t="s">
        <v>244</v>
      </c>
      <c r="C33" s="35">
        <v>359</v>
      </c>
      <c r="D33" s="35">
        <v>359</v>
      </c>
      <c r="E33" s="35">
        <v>415</v>
      </c>
      <c r="F33" s="35">
        <v>448</v>
      </c>
      <c r="G33" s="17">
        <f t="shared" si="3"/>
        <v>1581</v>
      </c>
      <c r="H33" s="35">
        <v>440</v>
      </c>
      <c r="I33" s="35">
        <v>460</v>
      </c>
      <c r="J33" s="36">
        <v>470</v>
      </c>
      <c r="K33" s="1" t="s">
        <v>245</v>
      </c>
      <c r="L33" s="1"/>
      <c r="M33" s="1"/>
    </row>
    <row r="34" ht="15" customHeight="1">
      <c r="A34" s="1"/>
      <c r="B34" s="1" t="s">
        <v>112</v>
      </c>
      <c r="C34" s="17"/>
      <c r="D34" s="17"/>
      <c r="E34" s="17"/>
      <c r="F34" s="17"/>
      <c r="G34" s="17"/>
      <c r="H34" s="17">
        <f t="shared" si="4"/>
        <v>81</v>
      </c>
      <c r="I34" s="17">
        <f t="shared" si="4"/>
        <v>101</v>
      </c>
      <c r="J34" s="37">
        <f t="shared" si="4"/>
        <v>55</v>
      </c>
      <c r="K34" s="1"/>
      <c r="L34" s="1"/>
      <c r="M34" s="1"/>
    </row>
    <row r="35" ht="15" customHeight="1">
      <c r="A35" s="1"/>
      <c r="B35" s="1" t="s">
        <v>113</v>
      </c>
      <c r="C35" s="17"/>
      <c r="D35" s="17">
        <f t="shared" si="5"/>
        <v>0</v>
      </c>
      <c r="E35" s="17">
        <f t="shared" si="5"/>
        <v>56</v>
      </c>
      <c r="F35" s="17">
        <f t="shared" si="5"/>
        <v>33</v>
      </c>
      <c r="G35" s="17"/>
      <c r="H35" s="17">
        <f t="shared" si="14"/>
        <v>-8</v>
      </c>
      <c r="I35" s="17">
        <f t="shared" si="5"/>
        <v>20</v>
      </c>
      <c r="J35" s="37">
        <f t="shared" si="5"/>
        <v>10</v>
      </c>
      <c r="K35" s="1"/>
      <c r="L35" s="1"/>
      <c r="M35" s="1"/>
    </row>
    <row r="36" ht="15" customHeight="1">
      <c r="A36" s="1"/>
      <c r="B36" s="4" t="s">
        <v>242</v>
      </c>
      <c r="C36" s="18">
        <f t="shared" si="17" ref="C36:J36">_xlfn.IFERROR(C33/C15,"")</f>
        <v>0.03613851419367828</v>
      </c>
      <c r="D36" s="18">
        <f t="shared" si="17"/>
        <v>0.03257122119397569</v>
      </c>
      <c r="E36" s="18">
        <f t="shared" si="17"/>
        <v>0.034069452425909204</v>
      </c>
      <c r="F36" s="18">
        <f t="shared" si="17"/>
        <v>0.03522843437917748</v>
      </c>
      <c r="G36" s="18">
        <f t="shared" si="17"/>
        <v>0.03447899856064902</v>
      </c>
      <c r="H36" s="18">
        <f t="shared" si="17"/>
        <v>0.035506778566817304</v>
      </c>
      <c r="I36" s="18">
        <f t="shared" si="17"/>
        <v>0.034462091699130955</v>
      </c>
      <c r="J36" s="32">
        <f t="shared" si="17"/>
        <v>0.034483289911289905</v>
      </c>
      <c r="K36" s="1"/>
      <c r="L36" s="1"/>
      <c r="M36" s="1"/>
    </row>
    <row r="37" ht="15" customHeight="1">
      <c r="A37" s="1"/>
      <c r="B37" s="1" t="s">
        <v>106</v>
      </c>
      <c r="C37" s="33"/>
      <c r="D37" s="33"/>
      <c r="E37" s="33"/>
      <c r="F37" s="33"/>
      <c r="G37" s="33"/>
      <c r="H37" s="33">
        <f t="shared" si="12"/>
        <v>-6.317356268609742</v>
      </c>
      <c r="I37" s="33">
        <f t="shared" si="12"/>
        <v>18.908705051552676</v>
      </c>
      <c r="J37" s="34">
        <f t="shared" si="12"/>
        <v>4.1383748538070115</v>
      </c>
      <c r="K37" s="1"/>
      <c r="L37" s="1"/>
      <c r="M37" s="1"/>
    </row>
    <row r="38" ht="15" customHeight="1">
      <c r="A38" s="1"/>
      <c r="B38" s="1" t="s">
        <v>107</v>
      </c>
      <c r="C38" s="33"/>
      <c r="D38" s="33">
        <f t="shared" si="13"/>
        <v>-35.67292999702591</v>
      </c>
      <c r="E38" s="33">
        <f t="shared" si="13"/>
        <v>14.982312319335167</v>
      </c>
      <c r="F38" s="33">
        <f t="shared" si="13"/>
        <v>11.589819532682732</v>
      </c>
      <c r="G38" s="33"/>
      <c r="H38" s="33">
        <f t="shared" si="16"/>
        <v>2.783441876398271</v>
      </c>
      <c r="I38" s="33">
        <f t="shared" si="13"/>
        <v>-10.446868676863494</v>
      </c>
      <c r="J38" s="34">
        <f t="shared" si="13"/>
        <v>0.2119821215895018</v>
      </c>
      <c r="K38" s="1"/>
      <c r="L38" s="1"/>
      <c r="M38" s="1"/>
    </row>
    <row r="39" ht="15" customHeight="1">
      <c r="A39" s="1"/>
      <c r="B39" s="1" t="s">
        <v>246</v>
      </c>
      <c r="C39" s="35">
        <v>210</v>
      </c>
      <c r="D39" s="35">
        <v>158</v>
      </c>
      <c r="E39" s="35">
        <v>225</v>
      </c>
      <c r="F39" s="35">
        <v>250</v>
      </c>
      <c r="G39" s="17">
        <f t="shared" si="3"/>
        <v>843</v>
      </c>
      <c r="H39" s="35">
        <v>230</v>
      </c>
      <c r="I39" s="35">
        <v>215</v>
      </c>
      <c r="J39" s="37">
        <f>J83+J174</f>
        <v>241</v>
      </c>
      <c r="K39" s="1"/>
      <c r="L39" s="1"/>
      <c r="M39" s="1"/>
    </row>
    <row r="40" ht="15" customHeight="1">
      <c r="A40" s="1"/>
      <c r="B40" s="1" t="s">
        <v>247</v>
      </c>
      <c r="C40" s="35">
        <v>701</v>
      </c>
      <c r="D40" s="35">
        <v>698</v>
      </c>
      <c r="E40" s="35">
        <v>500</v>
      </c>
      <c r="F40" s="35">
        <v>550</v>
      </c>
      <c r="G40" s="17">
        <f t="shared" si="3"/>
        <v>2449</v>
      </c>
      <c r="H40" s="35">
        <v>624</v>
      </c>
      <c r="I40" s="35">
        <v>524</v>
      </c>
      <c r="J40" s="37">
        <f>J12*J171</f>
        <v>532.9</v>
      </c>
      <c r="K40" s="1" t="s">
        <v>248</v>
      </c>
      <c r="L40" s="1"/>
      <c r="M40" s="1"/>
    </row>
    <row r="41" ht="15" customHeight="1">
      <c r="A41" s="1"/>
      <c r="B41" s="1" t="s">
        <v>249</v>
      </c>
      <c r="C41" s="35">
        <v>-201</v>
      </c>
      <c r="D41" s="35">
        <v>-197</v>
      </c>
      <c r="E41" s="35">
        <v>-198</v>
      </c>
      <c r="F41" s="35">
        <v>-192</v>
      </c>
      <c r="G41" s="17">
        <f t="shared" si="3"/>
        <v>-788</v>
      </c>
      <c r="H41" s="35">
        <v>-176</v>
      </c>
      <c r="I41" s="35">
        <v>-177</v>
      </c>
      <c r="J41" s="37">
        <f>-J125</f>
        <v>-175</v>
      </c>
      <c r="K41" s="1"/>
      <c r="L41" s="1"/>
      <c r="M41" s="1"/>
    </row>
    <row r="42" ht="15" customHeight="1">
      <c r="A42" s="1"/>
      <c r="B42" s="3" t="s">
        <v>250</v>
      </c>
      <c r="C42" s="38">
        <f t="shared" si="18" ref="C42:I42">C20+C21+C26+C32+C33+C39+C40+C41</f>
        <v>7991</v>
      </c>
      <c r="D42" s="38">
        <f t="shared" si="18"/>
        <v>8931</v>
      </c>
      <c r="E42" s="38">
        <f t="shared" si="18"/>
        <v>9952</v>
      </c>
      <c r="F42" s="38">
        <f t="shared" si="18"/>
        <v>10468</v>
      </c>
      <c r="G42" s="38">
        <f t="shared" si="18"/>
        <v>37342</v>
      </c>
      <c r="H42" s="38">
        <f t="shared" si="18"/>
        <v>10179</v>
      </c>
      <c r="I42" s="38">
        <f t="shared" si="18"/>
        <v>10860</v>
      </c>
      <c r="J42" s="39">
        <f>J15+J43-J44</f>
        <v>11022.351039999998</v>
      </c>
      <c r="K42" s="1"/>
      <c r="L42" s="1"/>
      <c r="M42" s="1"/>
    </row>
    <row r="43" ht="15" customHeight="1">
      <c r="A43" s="1"/>
      <c r="B43" s="1" t="s">
        <v>251</v>
      </c>
      <c r="C43" s="35">
        <v>302</v>
      </c>
      <c r="D43" s="35">
        <v>298</v>
      </c>
      <c r="E43" s="35">
        <v>285</v>
      </c>
      <c r="F43" s="35">
        <v>602</v>
      </c>
      <c r="G43" s="17">
        <f t="shared" si="3"/>
        <v>1487</v>
      </c>
      <c r="H43" s="35">
        <v>-16</v>
      </c>
      <c r="I43" s="35">
        <v>313</v>
      </c>
      <c r="J43" s="37">
        <f>J177+J180+J139+J132</f>
        <v>460</v>
      </c>
      <c r="K43" s="1"/>
      <c r="L43" s="1"/>
      <c r="M43" s="1"/>
    </row>
    <row r="44" ht="15" customHeight="1">
      <c r="A44" s="1"/>
      <c r="B44" s="3" t="s">
        <v>252</v>
      </c>
      <c r="C44" s="38">
        <f t="shared" si="19" ref="C44:I44">C15-C42+C43</f>
        <v>2245</v>
      </c>
      <c r="D44" s="38">
        <f t="shared" si="19"/>
        <v>2389</v>
      </c>
      <c r="E44" s="38">
        <f t="shared" si="19"/>
        <v>2514</v>
      </c>
      <c r="F44" s="38">
        <f t="shared" si="19"/>
        <v>2851</v>
      </c>
      <c r="G44" s="38">
        <f t="shared" si="19"/>
        <v>9999</v>
      </c>
      <c r="H44" s="38">
        <f t="shared" si="19"/>
        <v>2197</v>
      </c>
      <c r="I44" s="38">
        <f t="shared" si="19"/>
        <v>2801</v>
      </c>
      <c r="J44" s="39">
        <f>J86+J58+J111+J118+J125+J132+J139+J146+J153</f>
        <v>3067.4389600000004</v>
      </c>
      <c r="K44" s="1" t="s">
        <v>253</v>
      </c>
      <c r="L44" s="1"/>
      <c r="M44" s="1"/>
    </row>
    <row r="45" ht="15" customHeight="1">
      <c r="A45" s="1"/>
      <c r="B45" s="4" t="s">
        <v>254</v>
      </c>
      <c r="C45" s="18">
        <f t="shared" si="20" ref="C45:J45">_xlfn.IFERROR(C44/C15,"")</f>
        <v>0.22599154419166498</v>
      </c>
      <c r="D45" s="18">
        <f t="shared" si="20"/>
        <v>0.2167483215387407</v>
      </c>
      <c r="E45" s="18">
        <f t="shared" si="20"/>
        <v>0.2063869961415319</v>
      </c>
      <c r="F45" s="18">
        <f t="shared" si="20"/>
        <v>0.2241880946764174</v>
      </c>
      <c r="G45" s="18">
        <f t="shared" si="20"/>
        <v>0.21806167400881057</v>
      </c>
      <c r="H45" s="18">
        <f t="shared" si="20"/>
        <v>0.17729180116204002</v>
      </c>
      <c r="I45" s="18">
        <f t="shared" si="20"/>
        <v>0.2098441714114474</v>
      </c>
      <c r="J45" s="32">
        <f t="shared" si="20"/>
        <v>0.2250540147720545</v>
      </c>
      <c r="K45" s="1"/>
      <c r="L45" s="1"/>
      <c r="M45" s="1"/>
    </row>
    <row r="46" ht="15" customHeight="1">
      <c r="A46" s="1"/>
      <c r="B46" s="1" t="s">
        <v>106</v>
      </c>
      <c r="C46" s="33"/>
      <c r="D46" s="33"/>
      <c r="E46" s="33"/>
      <c r="F46" s="33"/>
      <c r="G46" s="33"/>
      <c r="H46" s="33">
        <f t="shared" si="12"/>
        <v>-486.9974302962496</v>
      </c>
      <c r="I46" s="33">
        <f t="shared" si="12"/>
        <v>-69.04150127293313</v>
      </c>
      <c r="J46" s="34">
        <f t="shared" si="12"/>
        <v>186.67018630522614</v>
      </c>
      <c r="K46" s="1"/>
      <c r="L46" s="1"/>
      <c r="M46" s="1"/>
    </row>
    <row r="47" ht="15" customHeight="1">
      <c r="A47" s="1"/>
      <c r="B47" s="1" t="s">
        <v>107</v>
      </c>
      <c r="C47" s="33"/>
      <c r="D47" s="33">
        <f t="shared" si="13"/>
        <v>-92.43222652924266</v>
      </c>
      <c r="E47" s="33">
        <f t="shared" si="13"/>
        <v>-103.61325397208826</v>
      </c>
      <c r="F47" s="33">
        <f t="shared" si="13"/>
        <v>178.01098534885512</v>
      </c>
      <c r="G47" s="33"/>
      <c r="H47" s="33">
        <f t="shared" si="16"/>
        <v>-468.9629351437738</v>
      </c>
      <c r="I47" s="33">
        <f t="shared" si="13"/>
        <v>325.5237024940738</v>
      </c>
      <c r="J47" s="34">
        <f t="shared" si="13"/>
        <v>152.098433606071</v>
      </c>
      <c r="K47" s="1"/>
      <c r="L47" s="1"/>
      <c r="M47" s="1"/>
    </row>
    <row r="48" ht="15" customHeight="1">
      <c r="A48" s="1"/>
      <c r="B48" s="4" t="s">
        <v>255</v>
      </c>
      <c r="C48" s="18"/>
      <c r="D48" s="18"/>
      <c r="E48" s="18"/>
      <c r="F48" s="18"/>
      <c r="G48" s="18"/>
      <c r="H48" s="18">
        <f t="shared" si="21" ref="H48:J48">IF(AND(ISNUMBER(H44),ISNUMBER(C44)),IF(C44&lt;&gt;0,H44/C44-1,""),"")</f>
        <v>-0.021380846325167013</v>
      </c>
      <c r="I48" s="18">
        <f t="shared" si="21"/>
        <v>0.17245709501883644</v>
      </c>
      <c r="J48" s="32">
        <f t="shared" si="21"/>
        <v>0.22014278440731916</v>
      </c>
      <c r="K48" s="1"/>
      <c r="L48" s="1"/>
      <c r="M48" s="1"/>
    </row>
    <row r="49" ht="15" customHeight="1">
      <c r="A49" s="1"/>
      <c r="B49" s="1" t="s">
        <v>256</v>
      </c>
      <c r="C49" s="35">
        <v>2245</v>
      </c>
      <c r="D49" s="35">
        <v>2389</v>
      </c>
      <c r="E49" s="35">
        <v>2515</v>
      </c>
      <c r="F49" s="35">
        <v>2851</v>
      </c>
      <c r="G49" s="35">
        <v>10000</v>
      </c>
      <c r="H49" s="35">
        <v>2198</v>
      </c>
      <c r="I49" s="35">
        <v>2801</v>
      </c>
      <c r="J49" s="37"/>
      <c r="K49" s="1"/>
      <c r="L49" s="1"/>
      <c r="M49" s="1"/>
    </row>
    <row r="50" ht="15" customHeight="1">
      <c r="A50" s="1"/>
      <c r="B50" s="1" t="s">
        <v>257</v>
      </c>
      <c r="C50" s="40" t="b">
        <f t="shared" si="22" ref="C50:I65">ABS(C44-C49)&lt;=2</f>
        <v>1</v>
      </c>
      <c r="D50" s="40" t="b">
        <f t="shared" si="22"/>
        <v>1</v>
      </c>
      <c r="E50" s="40" t="b">
        <f t="shared" si="22"/>
        <v>1</v>
      </c>
      <c r="F50" s="40" t="b">
        <f t="shared" si="22"/>
        <v>1</v>
      </c>
      <c r="G50" s="40" t="b">
        <f t="shared" si="22"/>
        <v>1</v>
      </c>
      <c r="H50" s="40" t="b">
        <f t="shared" si="22"/>
        <v>1</v>
      </c>
      <c r="I50" s="40" t="b">
        <f t="shared" si="22"/>
        <v>1</v>
      </c>
      <c r="J50" s="27"/>
      <c r="K50" s="1" t="s">
        <v>258</v>
      </c>
      <c r="L50" s="1"/>
      <c r="M50" s="1"/>
    </row>
    <row r="51" ht="15" customHeight="1">
      <c r="A51" s="1"/>
      <c r="B51" s="1" t="s">
        <v>259</v>
      </c>
      <c r="C51" s="35">
        <v>-283</v>
      </c>
      <c r="D51" s="35">
        <v>-388</v>
      </c>
      <c r="E51" s="35">
        <v>-344</v>
      </c>
      <c r="F51" s="35">
        <v>-390</v>
      </c>
      <c r="G51" s="17">
        <f t="shared" si="3"/>
        <v>-1405</v>
      </c>
      <c r="H51" s="35">
        <v>-252</v>
      </c>
      <c r="I51" s="35">
        <v>-407</v>
      </c>
      <c r="J51" s="37">
        <f>-(J87-(J114+J121+J128+J135+J142+J149+J156))</f>
        <v>-466.3997452800001</v>
      </c>
      <c r="K51" s="1"/>
      <c r="L51" s="1"/>
      <c r="M51" s="1"/>
    </row>
    <row r="52" ht="15" customHeight="1">
      <c r="A52" s="1"/>
      <c r="B52" s="4" t="s">
        <v>260</v>
      </c>
      <c r="C52" s="18">
        <f t="shared" si="23" ref="C52:J52">_xlfn.IFERROR(-C51/C44,"")</f>
        <v>0.12605790645879733</v>
      </c>
      <c r="D52" s="18">
        <f t="shared" si="23"/>
        <v>0.16241105064880704</v>
      </c>
      <c r="E52" s="18">
        <f t="shared" si="23"/>
        <v>0.1368337311058075</v>
      </c>
      <c r="F52" s="18">
        <f t="shared" si="23"/>
        <v>0.13679410733076114</v>
      </c>
      <c r="G52" s="18">
        <f t="shared" si="23"/>
        <v>0.1405140514051405</v>
      </c>
      <c r="H52" s="18">
        <f t="shared" si="23"/>
        <v>0.11470186618115612</v>
      </c>
      <c r="I52" s="18">
        <f t="shared" si="23"/>
        <v>0.14530524812566942</v>
      </c>
      <c r="J52" s="32">
        <f t="shared" si="23"/>
        <v>0.15204858233919022</v>
      </c>
      <c r="K52" s="1"/>
      <c r="L52" s="1"/>
      <c r="M52" s="1"/>
    </row>
    <row r="53" ht="15" customHeight="1">
      <c r="A53" s="1"/>
      <c r="B53" s="1" t="s">
        <v>106</v>
      </c>
      <c r="C53" s="33"/>
      <c r="D53" s="33"/>
      <c r="E53" s="33"/>
      <c r="F53" s="33"/>
      <c r="G53" s="33"/>
      <c r="H53" s="33">
        <f t="shared" si="12"/>
        <v>-113.56040277641213</v>
      </c>
      <c r="I53" s="33">
        <f t="shared" si="12"/>
        <v>-171.0580252313762</v>
      </c>
      <c r="J53" s="34">
        <f t="shared" si="12"/>
        <v>152.1485123338273</v>
      </c>
      <c r="K53" s="1"/>
      <c r="L53" s="1"/>
      <c r="M53" s="1"/>
    </row>
    <row r="54" ht="15" customHeight="1">
      <c r="A54" s="1"/>
      <c r="B54" s="1" t="s">
        <v>107</v>
      </c>
      <c r="C54" s="33"/>
      <c r="D54" s="33">
        <f t="shared" si="13"/>
        <v>363.53144190009704</v>
      </c>
      <c r="E54" s="33">
        <f t="shared" si="13"/>
        <v>-255.7731954299955</v>
      </c>
      <c r="F54" s="33">
        <f t="shared" si="13"/>
        <v>-0.39623775046349063</v>
      </c>
      <c r="G54" s="33"/>
      <c r="H54" s="33">
        <f t="shared" si="16"/>
        <v>-220.92241149605022</v>
      </c>
      <c r="I54" s="33">
        <f t="shared" si="13"/>
        <v>306.033819445133</v>
      </c>
      <c r="J54" s="34">
        <f t="shared" si="13"/>
        <v>67.43334213520802</v>
      </c>
      <c r="K54" s="1"/>
      <c r="L54" s="1"/>
      <c r="M54" s="1"/>
    </row>
    <row r="55" ht="15" customHeight="1">
      <c r="A55" s="1"/>
      <c r="B55" s="3" t="s">
        <v>261</v>
      </c>
      <c r="C55" s="38">
        <f t="shared" si="24" ref="C55:J55">C44+C51</f>
        <v>1962</v>
      </c>
      <c r="D55" s="38">
        <f t="shared" si="24"/>
        <v>2001</v>
      </c>
      <c r="E55" s="38">
        <f t="shared" si="24"/>
        <v>2170</v>
      </c>
      <c r="F55" s="38">
        <f t="shared" si="24"/>
        <v>2461</v>
      </c>
      <c r="G55" s="38">
        <f t="shared" si="24"/>
        <v>8594</v>
      </c>
      <c r="H55" s="38">
        <f t="shared" si="24"/>
        <v>1945</v>
      </c>
      <c r="I55" s="38">
        <f t="shared" si="24"/>
        <v>2394</v>
      </c>
      <c r="J55" s="39">
        <f t="shared" si="24"/>
        <v>2601.0392147200005</v>
      </c>
      <c r="K55" s="1" t="s">
        <v>262</v>
      </c>
      <c r="L55" s="1"/>
      <c r="M55" s="1"/>
    </row>
    <row r="56" ht="15" customHeight="1">
      <c r="A56" s="1"/>
      <c r="B56" s="1" t="s">
        <v>263</v>
      </c>
      <c r="C56" s="35">
        <v>10</v>
      </c>
      <c r="D56" s="35">
        <v>21</v>
      </c>
      <c r="E56" s="35">
        <v>-17</v>
      </c>
      <c r="F56" s="35">
        <v>89</v>
      </c>
      <c r="G56" s="17">
        <f t="shared" si="3"/>
        <v>103</v>
      </c>
      <c r="H56" s="35">
        <v>-26</v>
      </c>
      <c r="I56" s="35">
        <v>-38</v>
      </c>
      <c r="J56" s="36">
        <v>0</v>
      </c>
      <c r="K56" s="1" t="s">
        <v>264</v>
      </c>
      <c r="L56" s="1"/>
      <c r="M56" s="1"/>
    </row>
    <row r="57" ht="15" customHeight="1">
      <c r="A57" s="1"/>
      <c r="B57" s="3" t="s">
        <v>265</v>
      </c>
      <c r="C57" s="38">
        <f t="shared" si="25" ref="C57:J57">C55+C56</f>
        <v>1972</v>
      </c>
      <c r="D57" s="38">
        <f t="shared" si="25"/>
        <v>2022</v>
      </c>
      <c r="E57" s="38">
        <f t="shared" si="25"/>
        <v>2153</v>
      </c>
      <c r="F57" s="38">
        <f t="shared" si="25"/>
        <v>2550</v>
      </c>
      <c r="G57" s="38">
        <f t="shared" si="25"/>
        <v>8697</v>
      </c>
      <c r="H57" s="38">
        <f t="shared" si="25"/>
        <v>1919</v>
      </c>
      <c r="I57" s="38">
        <f t="shared" si="25"/>
        <v>2356</v>
      </c>
      <c r="J57" s="39">
        <f t="shared" si="25"/>
        <v>2601.0392147200005</v>
      </c>
      <c r="K57" s="1"/>
      <c r="L57" s="1"/>
      <c r="M57" s="1"/>
    </row>
    <row r="58" ht="15" customHeight="1">
      <c r="A58" s="1"/>
      <c r="B58" s="1" t="s">
        <v>266</v>
      </c>
      <c r="C58" s="35">
        <v>-5</v>
      </c>
      <c r="D58" s="35">
        <v>-7</v>
      </c>
      <c r="E58" s="35">
        <v>-3</v>
      </c>
      <c r="F58" s="35">
        <v>10</v>
      </c>
      <c r="G58" s="17">
        <f t="shared" si="3"/>
        <v>-5</v>
      </c>
      <c r="H58" s="35">
        <v>16</v>
      </c>
      <c r="I58" s="35">
        <v>-13</v>
      </c>
      <c r="J58" s="36">
        <v>0</v>
      </c>
      <c r="K58" s="1" t="s">
        <v>267</v>
      </c>
      <c r="L58" s="1"/>
      <c r="M58" s="1"/>
    </row>
    <row r="59" ht="15" customHeight="1">
      <c r="A59" s="1"/>
      <c r="B59" s="3" t="s">
        <v>268</v>
      </c>
      <c r="C59" s="38">
        <f t="shared" si="26" ref="C59:J59">C57-C58</f>
        <v>1977</v>
      </c>
      <c r="D59" s="38">
        <f t="shared" si="26"/>
        <v>2029</v>
      </c>
      <c r="E59" s="38">
        <f t="shared" si="26"/>
        <v>2156</v>
      </c>
      <c r="F59" s="38">
        <f t="shared" si="26"/>
        <v>2540</v>
      </c>
      <c r="G59" s="38">
        <f t="shared" si="26"/>
        <v>8702</v>
      </c>
      <c r="H59" s="38">
        <f t="shared" si="26"/>
        <v>1903</v>
      </c>
      <c r="I59" s="38">
        <f t="shared" si="26"/>
        <v>2369</v>
      </c>
      <c r="J59" s="39">
        <f t="shared" si="26"/>
        <v>2601.0392147200005</v>
      </c>
      <c r="K59" s="1" t="s">
        <v>269</v>
      </c>
      <c r="L59" s="1"/>
      <c r="M59" s="1"/>
    </row>
    <row r="60" ht="15" customHeight="1">
      <c r="A60" s="1"/>
      <c r="B60" s="4" t="s">
        <v>104</v>
      </c>
      <c r="C60" s="18"/>
      <c r="D60" s="18"/>
      <c r="E60" s="18"/>
      <c r="F60" s="18"/>
      <c r="G60" s="18"/>
      <c r="H60" s="18">
        <f t="shared" si="7"/>
        <v>-0.037430450177035945</v>
      </c>
      <c r="I60" s="18">
        <f t="shared" si="7"/>
        <v>0.16757023164120266</v>
      </c>
      <c r="J60" s="32">
        <f t="shared" si="7"/>
        <v>0.20641893076066808</v>
      </c>
      <c r="K60" s="1"/>
      <c r="L60" s="1"/>
      <c r="M60" s="1"/>
    </row>
    <row r="61" ht="15" customHeight="1">
      <c r="A61" s="1"/>
      <c r="B61" s="4" t="s">
        <v>270</v>
      </c>
      <c r="C61" s="18">
        <f t="shared" si="27" ref="C61:J61">_xlfn.IFERROR(C59/C15,"")</f>
        <v>0.19901348902758204</v>
      </c>
      <c r="D61" s="18">
        <f t="shared" si="27"/>
        <v>0.1840863727091272</v>
      </c>
      <c r="E61" s="18">
        <f t="shared" si="27"/>
        <v>0.1769969624825548</v>
      </c>
      <c r="F61" s="18">
        <f t="shared" si="27"/>
        <v>0.19973264134622945</v>
      </c>
      <c r="G61" s="18">
        <f t="shared" si="27"/>
        <v>0.18977624634710166</v>
      </c>
      <c r="H61" s="18">
        <f t="shared" si="27"/>
        <v>0.15356681730148483</v>
      </c>
      <c r="I61" s="18">
        <f t="shared" si="27"/>
        <v>0.17747977225052441</v>
      </c>
      <c r="J61" s="32">
        <f t="shared" si="27"/>
        <v>0.19083487087622045</v>
      </c>
      <c r="K61" s="1"/>
      <c r="L61" s="1"/>
      <c r="M61" s="1"/>
    </row>
    <row r="62" ht="15" customHeight="1">
      <c r="A62" s="1"/>
      <c r="B62" s="1" t="s">
        <v>106</v>
      </c>
      <c r="C62" s="33"/>
      <c r="D62" s="33"/>
      <c r="E62" s="33"/>
      <c r="F62" s="33"/>
      <c r="G62" s="33"/>
      <c r="H62" s="33">
        <f t="shared" si="12"/>
        <v>-454.466717260972</v>
      </c>
      <c r="I62" s="33">
        <f t="shared" si="12"/>
        <v>-66.06600458602784</v>
      </c>
      <c r="J62" s="34">
        <f t="shared" si="12"/>
        <v>138.37908393665637</v>
      </c>
      <c r="K62" s="1"/>
      <c r="L62" s="1"/>
      <c r="M62" s="1"/>
    </row>
    <row r="63" ht="15" customHeight="1">
      <c r="A63" s="1"/>
      <c r="B63" s="1" t="s">
        <v>107</v>
      </c>
      <c r="C63" s="33"/>
      <c r="D63" s="33">
        <f t="shared" si="13"/>
        <v>-149.27116318454836</v>
      </c>
      <c r="E63" s="33">
        <f t="shared" si="13"/>
        <v>-70.8941022657239</v>
      </c>
      <c r="F63" s="33">
        <f t="shared" si="13"/>
        <v>227.35678863674642</v>
      </c>
      <c r="G63" s="33"/>
      <c r="H63" s="33">
        <f t="shared" si="16"/>
        <v>-461.6582404474462</v>
      </c>
      <c r="I63" s="33">
        <f t="shared" si="13"/>
        <v>239.12954949039585</v>
      </c>
      <c r="J63" s="34">
        <f t="shared" si="13"/>
        <v>133.55098625696033</v>
      </c>
      <c r="K63" s="1"/>
      <c r="L63" s="1"/>
      <c r="M63" s="1"/>
    </row>
    <row r="64" ht="15" customHeight="1">
      <c r="A64" s="1"/>
      <c r="B64" s="1" t="s">
        <v>271</v>
      </c>
      <c r="C64" s="35">
        <v>1978</v>
      </c>
      <c r="D64" s="35">
        <v>2028</v>
      </c>
      <c r="E64" s="35">
        <v>2157</v>
      </c>
      <c r="F64" s="35">
        <v>2541</v>
      </c>
      <c r="G64" s="35">
        <v>8704</v>
      </c>
      <c r="H64" s="35">
        <v>1904</v>
      </c>
      <c r="I64" s="35">
        <v>2370</v>
      </c>
      <c r="J64" s="37"/>
      <c r="K64" s="1" t="s">
        <v>272</v>
      </c>
      <c r="L64" s="1"/>
      <c r="M64" s="1"/>
    </row>
    <row r="65" ht="15" customHeight="1">
      <c r="A65" s="1"/>
      <c r="B65" s="1" t="s">
        <v>273</v>
      </c>
      <c r="C65" s="40" t="b">
        <f t="shared" si="22"/>
        <v>1</v>
      </c>
      <c r="D65" s="40" t="b">
        <f t="shared" si="22"/>
        <v>1</v>
      </c>
      <c r="E65" s="40" t="b">
        <f t="shared" si="22"/>
        <v>1</v>
      </c>
      <c r="F65" s="40" t="b">
        <f t="shared" si="22"/>
        <v>1</v>
      </c>
      <c r="G65" s="40" t="b">
        <f t="shared" si="22"/>
        <v>1</v>
      </c>
      <c r="H65" s="40" t="b">
        <f t="shared" si="22"/>
        <v>1</v>
      </c>
      <c r="I65" s="40" t="b">
        <f t="shared" si="22"/>
        <v>1</v>
      </c>
      <c r="J65" s="27"/>
      <c r="K65" s="1" t="s">
        <v>274</v>
      </c>
      <c r="L65" s="1"/>
      <c r="M65" s="1"/>
    </row>
    <row r="66" ht="15" customHeight="1">
      <c r="A66" s="1"/>
      <c r="B66" s="28" t="s">
        <v>275</v>
      </c>
      <c r="C66" s="29"/>
      <c r="D66" s="29"/>
      <c r="E66" s="29"/>
      <c r="F66" s="29"/>
      <c r="G66" s="29"/>
      <c r="H66" s="29"/>
      <c r="I66" s="29"/>
      <c r="J66" s="30"/>
      <c r="K66" s="29"/>
      <c r="L66" s="1"/>
      <c r="M66" s="1"/>
    </row>
    <row r="67" ht="15" customHeight="1">
      <c r="A67" s="1"/>
      <c r="B67" s="1" t="s">
        <v>276</v>
      </c>
      <c r="C67" s="35">
        <v>1967</v>
      </c>
      <c r="D67" s="35">
        <v>2007</v>
      </c>
      <c r="E67" s="35">
        <v>2170</v>
      </c>
      <c r="F67" s="35">
        <v>2452</v>
      </c>
      <c r="G67" s="17">
        <f t="shared" si="3"/>
        <v>8596</v>
      </c>
      <c r="H67" s="35">
        <v>1930</v>
      </c>
      <c r="I67" s="35">
        <v>2405</v>
      </c>
      <c r="J67" s="37">
        <f>J55-J58-J91</f>
        <v>2599.0392147200005</v>
      </c>
      <c r="K67" s="1" t="s">
        <v>277</v>
      </c>
      <c r="L67" s="1"/>
      <c r="M67" s="1"/>
    </row>
    <row r="68" ht="15" customHeight="1">
      <c r="A68" s="1"/>
      <c r="B68" s="1" t="s">
        <v>278</v>
      </c>
      <c r="C68" s="35">
        <v>1967</v>
      </c>
      <c r="D68" s="35">
        <v>2008</v>
      </c>
      <c r="E68" s="35">
        <v>2174</v>
      </c>
      <c r="F68" s="17">
        <f>G68-SUM(C68:E68)</f>
        <v>2452</v>
      </c>
      <c r="G68" s="35">
        <v>8601</v>
      </c>
      <c r="H68" s="35">
        <v>1930</v>
      </c>
      <c r="I68" s="35">
        <v>2408</v>
      </c>
      <c r="J68" s="37">
        <f>J55-J58</f>
        <v>2601.0392147200005</v>
      </c>
      <c r="K68" s="1" t="s">
        <v>279</v>
      </c>
      <c r="L68" s="1"/>
      <c r="M68" s="1"/>
    </row>
    <row r="69" ht="15" customHeight="1">
      <c r="A69" s="1"/>
      <c r="B69" s="1" t="s">
        <v>280</v>
      </c>
      <c r="C69" s="16">
        <f>'Share Count'!C26</f>
        <v>1070</v>
      </c>
      <c r="D69" s="16">
        <f>'Share Count'!D26</f>
        <v>1063</v>
      </c>
      <c r="E69" s="16">
        <f>'Share Count'!E26</f>
        <v>1058</v>
      </c>
      <c r="F69" s="16">
        <f>'Share Count'!F26</f>
        <v>1053</v>
      </c>
      <c r="G69" s="16">
        <f>'Share Count'!G26</f>
        <v>1061</v>
      </c>
      <c r="H69" s="16">
        <f>'Share Count'!H26</f>
        <v>1046</v>
      </c>
      <c r="I69" s="16">
        <f>'Share Count'!I26</f>
        <v>1040</v>
      </c>
      <c r="J69" s="31">
        <f>'Share Count'!J26</f>
        <v>1034.782209969697</v>
      </c>
      <c r="K69" s="1" t="s">
        <v>281</v>
      </c>
      <c r="L69" s="1"/>
      <c r="M69" s="1"/>
    </row>
    <row r="70" ht="15" customHeight="1">
      <c r="A70" s="1"/>
      <c r="B70" s="1" t="s">
        <v>282</v>
      </c>
      <c r="C70" s="16">
        <f>'Share Count'!C30</f>
        <v>1078</v>
      </c>
      <c r="D70" s="16">
        <f>'Share Count'!D30</f>
        <v>1071</v>
      </c>
      <c r="E70" s="16">
        <f>'Share Count'!E30</f>
        <v>1065</v>
      </c>
      <c r="F70" s="16">
        <f>'Share Count'!F30</f>
        <v>1060</v>
      </c>
      <c r="G70" s="16">
        <f>'Share Count'!G30</f>
        <v>1068</v>
      </c>
      <c r="H70" s="16">
        <f>'Share Count'!H30</f>
        <v>1054</v>
      </c>
      <c r="I70" s="16">
        <f>'Share Count'!I30</f>
        <v>1047</v>
      </c>
      <c r="J70" s="31">
        <f>'Share Count'!J30</f>
        <v>1041.282209969697</v>
      </c>
      <c r="K70" s="1" t="s">
        <v>283</v>
      </c>
      <c r="L70" s="1"/>
      <c r="M70" s="1"/>
    </row>
    <row r="71" ht="15" customHeight="1">
      <c r="A71" s="1"/>
      <c r="B71" s="1" t="s">
        <v>284</v>
      </c>
      <c r="C71" s="20">
        <f t="shared" si="28" ref="C71:J71">_xlfn.IFERROR(C68/C69,"")</f>
        <v>1.8383177570093459</v>
      </c>
      <c r="D71" s="20">
        <f t="shared" si="28"/>
        <v>1.8889934148635936</v>
      </c>
      <c r="E71" s="20">
        <f t="shared" si="28"/>
        <v>2.054820415879017</v>
      </c>
      <c r="F71" s="20">
        <f t="shared" si="28"/>
        <v>2.3285849952516617</v>
      </c>
      <c r="G71" s="20">
        <f t="shared" si="28"/>
        <v>8.10650329877474</v>
      </c>
      <c r="H71" s="20">
        <f t="shared" si="28"/>
        <v>1.8451242829827916</v>
      </c>
      <c r="I71" s="20">
        <f t="shared" si="28"/>
        <v>2.3153846153846156</v>
      </c>
      <c r="J71" s="57">
        <f t="shared" si="28"/>
        <v>2.51361029370245</v>
      </c>
      <c r="K71" s="1" t="s">
        <v>285</v>
      </c>
      <c r="L71" s="1"/>
      <c r="M71" s="1"/>
    </row>
    <row r="72" ht="15" customHeight="1">
      <c r="A72" s="1"/>
      <c r="B72" s="3" t="s">
        <v>286</v>
      </c>
      <c r="C72" s="58">
        <f t="shared" si="29" ref="C72:J72">_xlfn.IFERROR(C67/C70,"")</f>
        <v>1.8246753246753247</v>
      </c>
      <c r="D72" s="58">
        <f t="shared" si="29"/>
        <v>1.8739495798319328</v>
      </c>
      <c r="E72" s="58">
        <f t="shared" si="29"/>
        <v>2.0375586854460095</v>
      </c>
      <c r="F72" s="58">
        <f t="shared" si="29"/>
        <v>2.3132075471698115</v>
      </c>
      <c r="G72" s="58">
        <f t="shared" si="29"/>
        <v>8.04868913857678</v>
      </c>
      <c r="H72" s="58">
        <f t="shared" si="29"/>
        <v>1.8311195445920303</v>
      </c>
      <c r="I72" s="58">
        <f t="shared" si="29"/>
        <v>2.297039159503343</v>
      </c>
      <c r="J72" s="59">
        <f t="shared" si="29"/>
        <v>2.4959988654714813</v>
      </c>
      <c r="K72" s="1" t="s">
        <v>287</v>
      </c>
      <c r="L72" s="1"/>
      <c r="M72" s="1"/>
    </row>
    <row r="73" ht="15" customHeight="1">
      <c r="A73" s="1"/>
      <c r="B73" s="4" t="s">
        <v>104</v>
      </c>
      <c r="C73" s="18"/>
      <c r="D73" s="18"/>
      <c r="E73" s="18"/>
      <c r="F73" s="18"/>
      <c r="G73" s="18"/>
      <c r="H73" s="18">
        <f t="shared" si="7"/>
        <v>0.003531707712358223</v>
      </c>
      <c r="I73" s="18">
        <f t="shared" si="7"/>
        <v>0.225774260004026</v>
      </c>
      <c r="J73" s="32">
        <f t="shared" si="7"/>
        <v>0.22499483489729366</v>
      </c>
      <c r="K73" s="1"/>
      <c r="L73" s="1"/>
      <c r="M73" s="1"/>
    </row>
    <row r="74" ht="15" customHeight="1">
      <c r="A74" s="1"/>
      <c r="B74" s="4" t="s">
        <v>67</v>
      </c>
      <c r="C74" s="18"/>
      <c r="D74" s="18">
        <f t="shared" si="8"/>
        <v>0.02700439606447569</v>
      </c>
      <c r="E74" s="18">
        <f t="shared" si="8"/>
        <v>0.0873071012021307</v>
      </c>
      <c r="F74" s="18">
        <f t="shared" si="8"/>
        <v>0.13528388835753424</v>
      </c>
      <c r="G74" s="18"/>
      <c r="H74" s="18">
        <f t="shared" si="30"/>
        <v>-0.20840672215842093</v>
      </c>
      <c r="I74" s="18">
        <f t="shared" si="8"/>
        <v>0.25444521974949397</v>
      </c>
      <c r="J74" s="32">
        <f t="shared" si="8"/>
        <v>0.08661572230712733</v>
      </c>
      <c r="K74" s="1"/>
      <c r="L74" s="1"/>
      <c r="M74" s="1"/>
    </row>
    <row r="75" ht="15" customHeight="1">
      <c r="A75" s="1"/>
      <c r="B75" s="1" t="s">
        <v>288</v>
      </c>
      <c r="C75" s="19">
        <f>Inputs!C104</f>
        <v>1.83</v>
      </c>
      <c r="D75" s="19">
        <f>Inputs!D104</f>
        <v>1.87</v>
      </c>
      <c r="E75" s="19">
        <f>Inputs!E104</f>
        <v>2.04</v>
      </c>
      <c r="F75" s="19">
        <f>Inputs!F104</f>
        <v>2.31</v>
      </c>
      <c r="G75" s="20"/>
      <c r="H75" s="19">
        <f>Inputs!H104</f>
        <v>1.83</v>
      </c>
      <c r="I75" s="19">
        <f>Inputs!I104</f>
        <v>2.3</v>
      </c>
      <c r="J75" s="57"/>
      <c r="K75" s="1" t="s">
        <v>289</v>
      </c>
      <c r="L75" s="1"/>
      <c r="M75" s="1"/>
    </row>
    <row r="76" ht="15" customHeight="1">
      <c r="A76" s="1"/>
      <c r="B76" s="1" t="s">
        <v>290</v>
      </c>
      <c r="C76" s="40" t="b">
        <f t="shared" si="31" ref="C76:I76">ABS(C72-C75)&lt;=0.011</f>
        <v>1</v>
      </c>
      <c r="D76" s="40" t="b">
        <f t="shared" si="31"/>
        <v>1</v>
      </c>
      <c r="E76" s="40" t="b">
        <f t="shared" si="31"/>
        <v>1</v>
      </c>
      <c r="F76" s="40" t="b">
        <f t="shared" si="31"/>
        <v>1</v>
      </c>
      <c r="G76" s="40"/>
      <c r="H76" s="40" t="b">
        <f t="shared" si="31"/>
        <v>1</v>
      </c>
      <c r="I76" s="40" t="b">
        <f t="shared" si="31"/>
        <v>1</v>
      </c>
      <c r="J76" s="27"/>
      <c r="K76" s="1" t="s">
        <v>291</v>
      </c>
      <c r="L76" s="1"/>
      <c r="M76" s="1"/>
    </row>
    <row r="77" ht="15" customHeight="1">
      <c r="A77" s="1"/>
      <c r="B77" s="28" t="s">
        <v>292</v>
      </c>
      <c r="C77" s="29"/>
      <c r="D77" s="29"/>
      <c r="E77" s="29"/>
      <c r="F77" s="29"/>
      <c r="G77" s="29"/>
      <c r="H77" s="29"/>
      <c r="I77" s="29"/>
      <c r="J77" s="30"/>
      <c r="K77" s="29"/>
      <c r="L77" s="1"/>
      <c r="M77" s="1"/>
    </row>
    <row r="78" ht="15" customHeight="1">
      <c r="A78" s="1"/>
      <c r="B78" s="1" t="s">
        <v>83</v>
      </c>
      <c r="C78" s="16">
        <f>'Revenue summary'!C38</f>
        <v>9001</v>
      </c>
      <c r="D78" s="16">
        <f>'Revenue summary'!D38</f>
        <v>10151</v>
      </c>
      <c r="E78" s="16">
        <f>'Revenue summary'!E38</f>
        <v>11306</v>
      </c>
      <c r="F78" s="16">
        <f>'Revenue summary'!F38</f>
        <v>11866</v>
      </c>
      <c r="G78" s="16">
        <f>'Revenue summary'!G38</f>
        <v>42324</v>
      </c>
      <c r="H78" s="16">
        <f>'Revenue summary'!H38</f>
        <v>11614</v>
      </c>
      <c r="I78" s="16">
        <f>'Revenue summary'!I38</f>
        <v>12634</v>
      </c>
      <c r="J78" s="31">
        <f>'Revenue summary'!J38</f>
        <v>12899.789999999999</v>
      </c>
      <c r="K78" s="1"/>
      <c r="L78" s="1"/>
      <c r="M78" s="1"/>
    </row>
    <row r="79" ht="15" customHeight="1">
      <c r="A79" s="1"/>
      <c r="B79" s="1" t="s">
        <v>114</v>
      </c>
      <c r="C79" s="16">
        <f>'Revenue summary'!C98</f>
        <v>2146</v>
      </c>
      <c r="D79" s="16">
        <f>'Revenue summary'!D98</f>
        <v>2337</v>
      </c>
      <c r="E79" s="16">
        <f>'Revenue summary'!E98</f>
        <v>2299</v>
      </c>
      <c r="F79" s="16">
        <f>'Revenue summary'!F98</f>
        <v>2273</v>
      </c>
      <c r="G79" s="16">
        <f>'Revenue summary'!G98</f>
        <v>9055</v>
      </c>
      <c r="H79" s="16">
        <f>'Revenue summary'!H98</f>
        <v>2529</v>
      </c>
      <c r="I79" s="16">
        <f>'Revenue summary'!I98</f>
        <v>2746</v>
      </c>
      <c r="J79" s="31">
        <f>'Revenue summary'!J98</f>
        <v>2841.4389600000004</v>
      </c>
      <c r="K79" s="1"/>
      <c r="L79" s="1"/>
      <c r="M79" s="1"/>
    </row>
    <row r="80" ht="15" customHeight="1">
      <c r="A80" s="1"/>
      <c r="B80" s="4" t="s">
        <v>293</v>
      </c>
      <c r="C80" s="18">
        <f t="shared" si="32" ref="C80:J88">_xlfn.IFERROR(C79/C78,"")</f>
        <v>0.2384179535607155</v>
      </c>
      <c r="D80" s="18">
        <f t="shared" si="32"/>
        <v>0.23022362328834597</v>
      </c>
      <c r="E80" s="18">
        <f t="shared" si="32"/>
        <v>0.20334335750928711</v>
      </c>
      <c r="F80" s="18">
        <f t="shared" si="32"/>
        <v>0.19155570537670655</v>
      </c>
      <c r="G80" s="18">
        <f t="shared" si="32"/>
        <v>0.21394480672904262</v>
      </c>
      <c r="H80" s="18">
        <f t="shared" si="32"/>
        <v>0.2177544343034269</v>
      </c>
      <c r="I80" s="18">
        <f t="shared" si="32"/>
        <v>0.2173500079151496</v>
      </c>
      <c r="J80" s="32">
        <f t="shared" si="32"/>
        <v>0.22027017184000675</v>
      </c>
      <c r="K80" s="1"/>
      <c r="L80" s="1"/>
      <c r="M80" s="1"/>
    </row>
    <row r="81" ht="15" customHeight="1">
      <c r="A81" s="1"/>
      <c r="B81" s="1" t="s">
        <v>106</v>
      </c>
      <c r="C81" s="33"/>
      <c r="D81" s="33"/>
      <c r="E81" s="33"/>
      <c r="F81" s="33"/>
      <c r="G81" s="33"/>
      <c r="H81" s="33">
        <f t="shared" si="12"/>
        <v>-206.63519257288598</v>
      </c>
      <c r="I81" s="33">
        <f t="shared" si="12"/>
        <v>-128.73615373196367</v>
      </c>
      <c r="J81" s="34">
        <f t="shared" si="12"/>
        <v>169.2681433071963</v>
      </c>
      <c r="K81" s="1"/>
      <c r="L81" s="1"/>
      <c r="M81" s="1"/>
    </row>
    <row r="82" ht="15" customHeight="1">
      <c r="A82" s="1"/>
      <c r="B82" s="1" t="s">
        <v>107</v>
      </c>
      <c r="C82" s="33"/>
      <c r="D82" s="33">
        <f t="shared" si="13"/>
        <v>-81.94330272369515</v>
      </c>
      <c r="E82" s="33">
        <f t="shared" si="13"/>
        <v>-268.80265779058857</v>
      </c>
      <c r="F82" s="33">
        <f t="shared" si="13"/>
        <v>-117.87652132580567</v>
      </c>
      <c r="G82" s="33"/>
      <c r="H82" s="33">
        <f t="shared" si="16"/>
        <v>261.98728926720344</v>
      </c>
      <c r="I82" s="33">
        <f t="shared" si="13"/>
        <v>-4.044263882772848</v>
      </c>
      <c r="J82" s="34">
        <f t="shared" si="13"/>
        <v>29.201639248571386</v>
      </c>
      <c r="K82" s="1"/>
      <c r="L82" s="1"/>
      <c r="M82" s="1"/>
    </row>
    <row r="83" ht="15" customHeight="1">
      <c r="A83" s="1"/>
      <c r="B83" s="1" t="s">
        <v>294</v>
      </c>
      <c r="C83" s="35">
        <v>204</v>
      </c>
      <c r="D83" s="35">
        <v>152</v>
      </c>
      <c r="E83" s="35">
        <v>219</v>
      </c>
      <c r="F83" s="35">
        <v>241</v>
      </c>
      <c r="G83" s="17">
        <f t="shared" si="3"/>
        <v>816</v>
      </c>
      <c r="H83" s="35">
        <v>225</v>
      </c>
      <c r="I83" s="35">
        <v>208</v>
      </c>
      <c r="J83" s="36">
        <v>234</v>
      </c>
      <c r="K83" s="1" t="s">
        <v>295</v>
      </c>
      <c r="L83" s="1"/>
      <c r="M83" s="1"/>
    </row>
    <row r="84" ht="15" customHeight="1">
      <c r="A84" s="1"/>
      <c r="B84" s="1" t="s">
        <v>112</v>
      </c>
      <c r="C84" s="17"/>
      <c r="D84" s="17"/>
      <c r="E84" s="17"/>
      <c r="F84" s="17"/>
      <c r="G84" s="17"/>
      <c r="H84" s="17">
        <f t="shared" si="4"/>
        <v>21</v>
      </c>
      <c r="I84" s="17">
        <f t="shared" si="4"/>
        <v>56</v>
      </c>
      <c r="J84" s="37">
        <f t="shared" si="4"/>
        <v>15</v>
      </c>
      <c r="K84" s="1"/>
      <c r="L84" s="1"/>
      <c r="M84" s="1"/>
    </row>
    <row r="85" ht="15" customHeight="1">
      <c r="A85" s="1"/>
      <c r="B85" s="1" t="s">
        <v>113</v>
      </c>
      <c r="C85" s="17"/>
      <c r="D85" s="17">
        <f t="shared" si="5"/>
        <v>-52</v>
      </c>
      <c r="E85" s="17">
        <f t="shared" si="5"/>
        <v>67</v>
      </c>
      <c r="F85" s="17">
        <f t="shared" si="5"/>
        <v>22</v>
      </c>
      <c r="G85" s="17"/>
      <c r="H85" s="17">
        <f t="shared" si="14"/>
        <v>-16</v>
      </c>
      <c r="I85" s="17">
        <f t="shared" si="5"/>
        <v>-17</v>
      </c>
      <c r="J85" s="37">
        <f t="shared" si="5"/>
        <v>26</v>
      </c>
      <c r="K85" s="1"/>
      <c r="L85" s="1"/>
      <c r="M85" s="1"/>
    </row>
    <row r="86" ht="15" customHeight="1">
      <c r="A86" s="1"/>
      <c r="B86" s="3" t="s">
        <v>296</v>
      </c>
      <c r="C86" s="38">
        <f t="shared" si="33" ref="C86:J86">C79-C83</f>
        <v>1942</v>
      </c>
      <c r="D86" s="38">
        <f t="shared" si="33"/>
        <v>2185</v>
      </c>
      <c r="E86" s="38">
        <f t="shared" si="33"/>
        <v>2080</v>
      </c>
      <c r="F86" s="38">
        <f t="shared" si="33"/>
        <v>2032</v>
      </c>
      <c r="G86" s="38">
        <f t="shared" si="33"/>
        <v>8239</v>
      </c>
      <c r="H86" s="38">
        <f t="shared" si="33"/>
        <v>2304</v>
      </c>
      <c r="I86" s="38">
        <f t="shared" si="33"/>
        <v>2538</v>
      </c>
      <c r="J86" s="39">
        <f t="shared" si="33"/>
        <v>2607.4389600000004</v>
      </c>
      <c r="K86" s="1" t="s">
        <v>297</v>
      </c>
      <c r="L86" s="1"/>
      <c r="M86" s="1"/>
    </row>
    <row r="87" ht="15" customHeight="1">
      <c r="A87" s="1"/>
      <c r="B87" s="1" t="s">
        <v>298</v>
      </c>
      <c r="C87" s="35">
        <v>341</v>
      </c>
      <c r="D87" s="35">
        <v>408</v>
      </c>
      <c r="E87" s="35">
        <v>311</v>
      </c>
      <c r="F87" s="35">
        <v>364</v>
      </c>
      <c r="G87" s="17">
        <f t="shared" si="3"/>
        <v>1424</v>
      </c>
      <c r="H87" s="35">
        <v>340</v>
      </c>
      <c r="I87" s="35">
        <v>422</v>
      </c>
      <c r="J87" s="37">
        <f>J86*J88</f>
        <v>438.0497452800001</v>
      </c>
      <c r="K87" s="1" t="s">
        <v>299</v>
      </c>
      <c r="L87" s="1"/>
      <c r="M87" s="1"/>
    </row>
    <row r="88" ht="15" customHeight="1">
      <c r="A88" s="1"/>
      <c r="B88" s="4" t="s">
        <v>300</v>
      </c>
      <c r="C88" s="18">
        <f t="shared" si="32"/>
        <v>0.17559217301750774</v>
      </c>
      <c r="D88" s="18">
        <f t="shared" si="32"/>
        <v>0.18672768878718535</v>
      </c>
      <c r="E88" s="18">
        <f t="shared" si="32"/>
        <v>0.14951923076923077</v>
      </c>
      <c r="F88" s="18">
        <f t="shared" si="32"/>
        <v>0.17913385826771652</v>
      </c>
      <c r="G88" s="18">
        <f t="shared" si="32"/>
        <v>0.1728365092851074</v>
      </c>
      <c r="H88" s="18">
        <f t="shared" si="32"/>
        <v>0.14756944444444445</v>
      </c>
      <c r="I88" s="18">
        <f t="shared" si="32"/>
        <v>0.16627265563435775</v>
      </c>
      <c r="J88" s="52">
        <v>0.168</v>
      </c>
      <c r="K88" s="1" t="s">
        <v>301</v>
      </c>
      <c r="L88" s="1"/>
      <c r="M88" s="1"/>
    </row>
    <row r="89" ht="15" customHeight="1">
      <c r="A89" s="1"/>
      <c r="B89" s="1" t="s">
        <v>106</v>
      </c>
      <c r="C89" s="33"/>
      <c r="D89" s="33"/>
      <c r="E89" s="33"/>
      <c r="F89" s="33"/>
      <c r="G89" s="33"/>
      <c r="H89" s="33">
        <f t="shared" si="12"/>
        <v>-280.2272857306329</v>
      </c>
      <c r="I89" s="33">
        <f t="shared" si="12"/>
        <v>-204.55033152827596</v>
      </c>
      <c r="J89" s="34">
        <f t="shared" si="12"/>
        <v>184.80769230769246</v>
      </c>
      <c r="K89" s="1"/>
      <c r="L89" s="1"/>
      <c r="M89" s="1"/>
    </row>
    <row r="90" ht="15" customHeight="1">
      <c r="A90" s="1"/>
      <c r="B90" s="1" t="s">
        <v>107</v>
      </c>
      <c r="C90" s="33"/>
      <c r="D90" s="33">
        <f t="shared" si="13"/>
        <v>111.35515769677612</v>
      </c>
      <c r="E90" s="33">
        <f t="shared" si="13"/>
        <v>-372.0845801795458</v>
      </c>
      <c r="F90" s="33">
        <f t="shared" si="13"/>
        <v>296.1462749848576</v>
      </c>
      <c r="G90" s="33"/>
      <c r="H90" s="33">
        <f t="shared" si="16"/>
        <v>-315.64413823272076</v>
      </c>
      <c r="I90" s="33">
        <f t="shared" si="13"/>
        <v>187.03211189913304</v>
      </c>
      <c r="J90" s="34">
        <f t="shared" si="13"/>
        <v>17.273443656422582</v>
      </c>
      <c r="K90" s="1"/>
      <c r="L90" s="1"/>
      <c r="M90" s="1"/>
    </row>
    <row r="91" ht="15" customHeight="1">
      <c r="A91" s="1"/>
      <c r="B91" s="1" t="s">
        <v>302</v>
      </c>
      <c r="C91" s="35">
        <v>0</v>
      </c>
      <c r="D91" s="35">
        <v>0</v>
      </c>
      <c r="E91" s="35">
        <v>5</v>
      </c>
      <c r="F91" s="35">
        <v>0</v>
      </c>
      <c r="G91" s="17">
        <f t="shared" si="3"/>
        <v>5</v>
      </c>
      <c r="H91" s="35">
        <v>0</v>
      </c>
      <c r="I91" s="35">
        <v>2</v>
      </c>
      <c r="J91" s="36">
        <v>2</v>
      </c>
      <c r="K91" s="1" t="s">
        <v>303</v>
      </c>
      <c r="L91" s="1"/>
      <c r="M91" s="1"/>
    </row>
    <row r="92" ht="15" customHeight="1">
      <c r="A92" s="1"/>
      <c r="B92" s="1" t="s">
        <v>112</v>
      </c>
      <c r="C92" s="17"/>
      <c r="D92" s="17"/>
      <c r="E92" s="17"/>
      <c r="F92" s="17"/>
      <c r="G92" s="17"/>
      <c r="H92" s="17">
        <f t="shared" si="4"/>
        <v>0</v>
      </c>
      <c r="I92" s="17">
        <f t="shared" si="4"/>
        <v>2</v>
      </c>
      <c r="J92" s="37">
        <f t="shared" si="4"/>
        <v>-3</v>
      </c>
      <c r="K92" s="1"/>
      <c r="L92" s="1"/>
      <c r="M92" s="1"/>
    </row>
    <row r="93" ht="15" customHeight="1">
      <c r="A93" s="1"/>
      <c r="B93" s="1" t="s">
        <v>113</v>
      </c>
      <c r="C93" s="17"/>
      <c r="D93" s="17">
        <f t="shared" si="5"/>
        <v>0</v>
      </c>
      <c r="E93" s="17">
        <f t="shared" si="5"/>
        <v>5</v>
      </c>
      <c r="F93" s="17">
        <f t="shared" si="5"/>
        <v>-5</v>
      </c>
      <c r="G93" s="17"/>
      <c r="H93" s="17">
        <f t="shared" si="14"/>
        <v>0</v>
      </c>
      <c r="I93" s="17">
        <f t="shared" si="5"/>
        <v>2</v>
      </c>
      <c r="J93" s="37">
        <f t="shared" si="5"/>
        <v>0</v>
      </c>
      <c r="K93" s="1"/>
      <c r="L93" s="1"/>
      <c r="M93" s="1"/>
    </row>
    <row r="94" ht="15" customHeight="1">
      <c r="A94" s="1"/>
      <c r="B94" s="3" t="s">
        <v>304</v>
      </c>
      <c r="C94" s="38">
        <f t="shared" si="34" ref="C94:J94">C86-C87-C91</f>
        <v>1601</v>
      </c>
      <c r="D94" s="38">
        <f t="shared" si="34"/>
        <v>1777</v>
      </c>
      <c r="E94" s="38">
        <f t="shared" si="34"/>
        <v>1764</v>
      </c>
      <c r="F94" s="38">
        <f t="shared" si="34"/>
        <v>1668</v>
      </c>
      <c r="G94" s="38">
        <f t="shared" si="34"/>
        <v>6810</v>
      </c>
      <c r="H94" s="38">
        <f t="shared" si="34"/>
        <v>1964</v>
      </c>
      <c r="I94" s="38">
        <f t="shared" si="34"/>
        <v>2114</v>
      </c>
      <c r="J94" s="39">
        <f t="shared" si="34"/>
        <v>2167.3892147200004</v>
      </c>
      <c r="K94" s="1"/>
      <c r="L94" s="1"/>
      <c r="M94" s="1"/>
    </row>
    <row r="95" ht="15" customHeight="1">
      <c r="A95" s="1"/>
      <c r="B95" s="4" t="s">
        <v>104</v>
      </c>
      <c r="C95" s="18"/>
      <c r="D95" s="18"/>
      <c r="E95" s="18"/>
      <c r="F95" s="18"/>
      <c r="G95" s="18"/>
      <c r="H95" s="18">
        <f t="shared" si="7"/>
        <v>0.22673329169269207</v>
      </c>
      <c r="I95" s="18">
        <f t="shared" si="7"/>
        <v>0.1896454698930783</v>
      </c>
      <c r="J95" s="32">
        <f t="shared" si="7"/>
        <v>0.22867869315192757</v>
      </c>
      <c r="K95" s="1"/>
      <c r="L95" s="1"/>
      <c r="M95" s="1"/>
    </row>
    <row r="96" ht="15" customHeight="1">
      <c r="A96" s="1"/>
      <c r="B96" s="4" t="s">
        <v>67</v>
      </c>
      <c r="C96" s="18"/>
      <c r="D96" s="18">
        <f t="shared" si="8"/>
        <v>0.1099312929419114</v>
      </c>
      <c r="E96" s="18">
        <f t="shared" si="8"/>
        <v>-0.007315700619020871</v>
      </c>
      <c r="F96" s="18">
        <f t="shared" si="8"/>
        <v>-0.05442176870748294</v>
      </c>
      <c r="G96" s="18"/>
      <c r="H96" s="18">
        <f t="shared" si="30"/>
        <v>0.1774580335731415</v>
      </c>
      <c r="I96" s="18">
        <f t="shared" si="8"/>
        <v>0.07637474541751521</v>
      </c>
      <c r="J96" s="32">
        <f t="shared" si="8"/>
        <v>0.02525506845789982</v>
      </c>
      <c r="K96" s="1"/>
      <c r="L96" s="1"/>
      <c r="M96" s="1"/>
    </row>
    <row r="97" ht="15" customHeight="1">
      <c r="A97" s="1"/>
      <c r="B97" s="4" t="s">
        <v>305</v>
      </c>
      <c r="C97" s="18">
        <f t="shared" si="35" ref="C97:J97">_xlfn.IFERROR(C94/C78,"")</f>
        <v>0.17786912565270527</v>
      </c>
      <c r="D97" s="18">
        <f t="shared" si="35"/>
        <v>0.17505664466555018</v>
      </c>
      <c r="E97" s="18">
        <f t="shared" si="35"/>
        <v>0.15602335043339818</v>
      </c>
      <c r="F97" s="18">
        <f t="shared" si="35"/>
        <v>0.14056969492668128</v>
      </c>
      <c r="G97" s="18">
        <f t="shared" si="35"/>
        <v>0.16090161610433795</v>
      </c>
      <c r="H97" s="18">
        <f t="shared" si="35"/>
        <v>0.16910625107628724</v>
      </c>
      <c r="I97" s="18">
        <f t="shared" si="35"/>
        <v>0.16732626246636062</v>
      </c>
      <c r="J97" s="32">
        <f t="shared" si="35"/>
        <v>0.16801740297477716</v>
      </c>
      <c r="K97" s="1" t="s">
        <v>306</v>
      </c>
      <c r="L97" s="1"/>
      <c r="M97" s="1"/>
    </row>
    <row r="98" ht="15" customHeight="1">
      <c r="A98" s="1"/>
      <c r="B98" s="1" t="s">
        <v>106</v>
      </c>
      <c r="C98" s="33"/>
      <c r="D98" s="33"/>
      <c r="E98" s="33"/>
      <c r="F98" s="33"/>
      <c r="G98" s="33"/>
      <c r="H98" s="33">
        <f t="shared" si="12"/>
        <v>-87.62874576418028</v>
      </c>
      <c r="I98" s="33">
        <f t="shared" si="12"/>
        <v>-77.30382199189562</v>
      </c>
      <c r="J98" s="34">
        <f t="shared" si="12"/>
        <v>119.94052541378974</v>
      </c>
      <c r="K98" s="1"/>
      <c r="L98" s="1"/>
      <c r="M98" s="1"/>
    </row>
    <row r="99" ht="15" customHeight="1">
      <c r="A99" s="1"/>
      <c r="B99" s="1" t="s">
        <v>107</v>
      </c>
      <c r="C99" s="33"/>
      <c r="D99" s="33">
        <f t="shared" si="13"/>
        <v>-28.12480987155086</v>
      </c>
      <c r="E99" s="33">
        <f t="shared" si="13"/>
        <v>-190.33294232152</v>
      </c>
      <c r="F99" s="33">
        <f t="shared" si="13"/>
        <v>-154.53655506716902</v>
      </c>
      <c r="G99" s="33"/>
      <c r="H99" s="33">
        <f t="shared" si="16"/>
        <v>285.36556149605957</v>
      </c>
      <c r="I99" s="33">
        <f t="shared" si="13"/>
        <v>-17.799886099266192</v>
      </c>
      <c r="J99" s="34">
        <f t="shared" si="13"/>
        <v>6.911405084165379</v>
      </c>
      <c r="K99" s="1"/>
      <c r="L99" s="1"/>
      <c r="M99" s="1"/>
    </row>
    <row r="100" ht="15" customHeight="1">
      <c r="A100" s="1"/>
      <c r="B100" s="1" t="s">
        <v>307</v>
      </c>
      <c r="C100" s="35">
        <v>1601</v>
      </c>
      <c r="D100" s="35">
        <v>1777</v>
      </c>
      <c r="E100" s="35">
        <v>1764</v>
      </c>
      <c r="F100" s="35">
        <v>1667</v>
      </c>
      <c r="G100" s="35">
        <v>6812</v>
      </c>
      <c r="H100" s="35">
        <v>1963</v>
      </c>
      <c r="I100" s="35">
        <v>2114</v>
      </c>
      <c r="J100" s="37"/>
      <c r="K100" s="1" t="s">
        <v>308</v>
      </c>
      <c r="L100" s="1"/>
      <c r="M100" s="1"/>
    </row>
    <row r="101" ht="15" customHeight="1">
      <c r="A101" s="1"/>
      <c r="B101" s="1" t="s">
        <v>309</v>
      </c>
      <c r="C101" s="40" t="b">
        <f t="shared" si="36" ref="C101:I101">ABS(C94-C100)&lt;=3</f>
        <v>1</v>
      </c>
      <c r="D101" s="40" t="b">
        <f t="shared" si="36"/>
        <v>1</v>
      </c>
      <c r="E101" s="40" t="b">
        <f t="shared" si="36"/>
        <v>1</v>
      </c>
      <c r="F101" s="40" t="b">
        <f t="shared" si="36"/>
        <v>1</v>
      </c>
      <c r="G101" s="40" t="b">
        <f t="shared" si="36"/>
        <v>1</v>
      </c>
      <c r="H101" s="40" t="b">
        <f t="shared" si="36"/>
        <v>1</v>
      </c>
      <c r="I101" s="40" t="b">
        <f t="shared" si="36"/>
        <v>1</v>
      </c>
      <c r="J101" s="27"/>
      <c r="K101" s="1" t="s">
        <v>310</v>
      </c>
      <c r="L101" s="1"/>
      <c r="M101" s="1"/>
    </row>
    <row r="102" ht="15" customHeight="1">
      <c r="A102" s="1"/>
      <c r="B102" s="1" t="s">
        <v>311</v>
      </c>
      <c r="C102" s="16">
        <f>'Share Count'!C33</f>
        <v>1078</v>
      </c>
      <c r="D102" s="16">
        <f>'Share Count'!D33</f>
        <v>1071</v>
      </c>
      <c r="E102" s="16">
        <f>'Share Count'!E33</f>
        <v>1065</v>
      </c>
      <c r="F102" s="16">
        <f>'Share Count'!F33</f>
        <v>1060</v>
      </c>
      <c r="G102" s="16">
        <f>'Share Count'!G33</f>
        <v>1068</v>
      </c>
      <c r="H102" s="16">
        <f>'Share Count'!H33</f>
        <v>1054</v>
      </c>
      <c r="I102" s="16">
        <f>'Share Count'!I33</f>
        <v>1047</v>
      </c>
      <c r="J102" s="31">
        <f>'Share Count'!J33</f>
        <v>1041.282209969697</v>
      </c>
      <c r="K102" s="1" t="s">
        <v>312</v>
      </c>
      <c r="L102" s="1"/>
      <c r="M102" s="1"/>
    </row>
    <row r="103" ht="15" customHeight="1">
      <c r="A103" s="1"/>
      <c r="B103" s="3" t="s">
        <v>313</v>
      </c>
      <c r="C103" s="58">
        <f t="shared" si="37" ref="C103:J103">_xlfn.IFERROR(C94/C102,"")</f>
        <v>1.4851576994434137</v>
      </c>
      <c r="D103" s="58">
        <f t="shared" si="37"/>
        <v>1.6591970121381887</v>
      </c>
      <c r="E103" s="58">
        <f t="shared" si="37"/>
        <v>1.656338028169014</v>
      </c>
      <c r="F103" s="58">
        <f t="shared" si="37"/>
        <v>1.5735849056603775</v>
      </c>
      <c r="G103" s="58">
        <f t="shared" si="37"/>
        <v>6.376404494382022</v>
      </c>
      <c r="H103" s="58">
        <f t="shared" si="37"/>
        <v>1.8633776091081593</v>
      </c>
      <c r="I103" s="58">
        <f t="shared" si="37"/>
        <v>2.0191021967526264</v>
      </c>
      <c r="J103" s="59">
        <f t="shared" si="37"/>
        <v>2.0814618688079523</v>
      </c>
      <c r="K103" s="1" t="s">
        <v>314</v>
      </c>
      <c r="L103" s="1"/>
      <c r="M103" s="1"/>
    </row>
    <row r="104" ht="15" customHeight="1">
      <c r="A104" s="1"/>
      <c r="B104" s="4" t="s">
        <v>104</v>
      </c>
      <c r="C104" s="18"/>
      <c r="D104" s="18"/>
      <c r="E104" s="18"/>
      <c r="F104" s="18"/>
      <c r="G104" s="18"/>
      <c r="H104" s="18">
        <f t="shared" si="7"/>
        <v>0.25466649757563764</v>
      </c>
      <c r="I104" s="18">
        <f t="shared" si="7"/>
        <v>0.2169152800912002</v>
      </c>
      <c r="J104" s="32">
        <f t="shared" si="7"/>
        <v>0.25666490378711404</v>
      </c>
      <c r="K104" s="1"/>
      <c r="L104" s="1"/>
      <c r="M104" s="1"/>
    </row>
    <row r="105" ht="15" customHeight="1">
      <c r="A105" s="1"/>
      <c r="B105" s="4" t="s">
        <v>67</v>
      </c>
      <c r="C105" s="18"/>
      <c r="D105" s="18">
        <f t="shared" si="8"/>
        <v>0.11718574583695651</v>
      </c>
      <c r="E105" s="18">
        <f t="shared" si="8"/>
        <v>-0.0017231130168745556</v>
      </c>
      <c r="F105" s="18">
        <f t="shared" si="8"/>
        <v>-0.049961494031574794</v>
      </c>
      <c r="G105" s="18"/>
      <c r="H105" s="18">
        <f t="shared" si="30"/>
        <v>0.18416083072820677</v>
      </c>
      <c r="I105" s="18">
        <f t="shared" si="8"/>
        <v>0.08357113817579842</v>
      </c>
      <c r="J105" s="32">
        <f t="shared" si="8"/>
        <v>0.030884851770069055</v>
      </c>
      <c r="K105" s="1"/>
      <c r="L105" s="1"/>
      <c r="M105" s="1"/>
    </row>
    <row r="106" ht="15" customHeight="1">
      <c r="A106" s="1"/>
      <c r="B106" s="1" t="s">
        <v>315</v>
      </c>
      <c r="C106" s="19">
        <f>Inputs!C102</f>
        <v>1.49</v>
      </c>
      <c r="D106" s="19">
        <f>Inputs!D102</f>
        <v>1.66</v>
      </c>
      <c r="E106" s="19">
        <f>Inputs!E102</f>
        <v>1.66</v>
      </c>
      <c r="F106" s="19">
        <f>Inputs!F102</f>
        <v>1.57</v>
      </c>
      <c r="G106" s="20"/>
      <c r="H106" s="19">
        <f>Inputs!H102</f>
        <v>1.86</v>
      </c>
      <c r="I106" s="19">
        <f>Inputs!I102</f>
        <v>2.02</v>
      </c>
      <c r="J106" s="57"/>
      <c r="K106" s="1" t="s">
        <v>316</v>
      </c>
      <c r="L106" s="1"/>
      <c r="M106" s="1"/>
    </row>
    <row r="107" ht="15" customHeight="1">
      <c r="A107" s="1"/>
      <c r="B107" s="1" t="s">
        <v>317</v>
      </c>
      <c r="C107" s="40" t="b">
        <f t="shared" si="38" ref="C107:I107">ABS(C103-C106)&lt;=0.006</f>
        <v>1</v>
      </c>
      <c r="D107" s="40" t="b">
        <f t="shared" si="38"/>
        <v>1</v>
      </c>
      <c r="E107" s="40" t="b">
        <f t="shared" si="38"/>
        <v>1</v>
      </c>
      <c r="F107" s="40" t="b">
        <f t="shared" si="38"/>
        <v>1</v>
      </c>
      <c r="G107" s="40"/>
      <c r="H107" s="40" t="b">
        <f t="shared" si="38"/>
        <v>1</v>
      </c>
      <c r="I107" s="40" t="b">
        <f t="shared" si="38"/>
        <v>1</v>
      </c>
      <c r="J107" s="27"/>
      <c r="K107" s="1" t="s">
        <v>318</v>
      </c>
      <c r="L107" s="1"/>
      <c r="M107" s="1"/>
    </row>
    <row r="108" ht="15" customHeight="1">
      <c r="A108" s="1"/>
      <c r="B108" s="1" t="s">
        <v>319</v>
      </c>
      <c r="C108" s="1"/>
      <c r="D108" s="1"/>
      <c r="E108" s="1"/>
      <c r="F108" s="1"/>
      <c r="G108" s="1"/>
      <c r="H108" s="1"/>
      <c r="I108" s="1"/>
      <c r="J108" s="41" t="b">
        <f>AND(ABS(J103*J102-J94)&lt;0.001,ABS(J72*J70-J67)&lt;0.001)</f>
        <v>1</v>
      </c>
      <c r="K108" s="1" t="s">
        <v>320</v>
      </c>
      <c r="L108" s="1"/>
      <c r="M108" s="1"/>
    </row>
    <row r="109" ht="15" customHeight="1">
      <c r="A109" s="1"/>
      <c r="B109" s="28" t="s">
        <v>321</v>
      </c>
      <c r="C109" s="29"/>
      <c r="D109" s="29"/>
      <c r="E109" s="29"/>
      <c r="F109" s="29"/>
      <c r="G109" s="29"/>
      <c r="H109" s="29"/>
      <c r="I109" s="29"/>
      <c r="J109" s="30"/>
      <c r="K109" s="29"/>
      <c r="L109" s="1"/>
      <c r="M109" s="1"/>
    </row>
    <row r="110" ht="15" customHeight="1">
      <c r="A110" s="1"/>
      <c r="B110" s="1" t="s">
        <v>322</v>
      </c>
      <c r="C110" s="17">
        <f t="shared" si="39" ref="C110:J110">C67</f>
        <v>1967</v>
      </c>
      <c r="D110" s="17">
        <f t="shared" si="39"/>
        <v>2007</v>
      </c>
      <c r="E110" s="17">
        <f t="shared" si="39"/>
        <v>2170</v>
      </c>
      <c r="F110" s="17">
        <f t="shared" si="39"/>
        <v>2452</v>
      </c>
      <c r="G110" s="17">
        <f t="shared" si="39"/>
        <v>8596</v>
      </c>
      <c r="H110" s="17">
        <f t="shared" si="39"/>
        <v>1930</v>
      </c>
      <c r="I110" s="17">
        <f t="shared" si="39"/>
        <v>2405</v>
      </c>
      <c r="J110" s="37">
        <f t="shared" si="39"/>
        <v>2599.0392147200005</v>
      </c>
      <c r="K110" s="1" t="s">
        <v>323</v>
      </c>
      <c r="L110" s="1"/>
      <c r="M110" s="1"/>
    </row>
    <row r="111" ht="15" customHeight="1">
      <c r="A111" s="1"/>
      <c r="B111" s="1" t="s">
        <v>324</v>
      </c>
      <c r="C111" s="35">
        <v>207</v>
      </c>
      <c r="D111" s="35">
        <v>149</v>
      </c>
      <c r="E111" s="35">
        <v>363</v>
      </c>
      <c r="F111" s="35">
        <v>282</v>
      </c>
      <c r="G111" s="17">
        <f t="shared" si="3"/>
        <v>1001</v>
      </c>
      <c r="H111" s="35">
        <v>133</v>
      </c>
      <c r="I111" s="35">
        <v>173</v>
      </c>
      <c r="J111" s="36">
        <v>200</v>
      </c>
      <c r="K111" s="1" t="s">
        <v>325</v>
      </c>
      <c r="L111" s="1"/>
      <c r="M111" s="1"/>
    </row>
    <row r="112" ht="15" customHeight="1">
      <c r="A112" s="1"/>
      <c r="B112" s="1" t="s">
        <v>112</v>
      </c>
      <c r="C112" s="17"/>
      <c r="D112" s="17"/>
      <c r="E112" s="17"/>
      <c r="F112" s="17"/>
      <c r="G112" s="17"/>
      <c r="H112" s="17">
        <f t="shared" si="4"/>
        <v>-74</v>
      </c>
      <c r="I112" s="17">
        <f t="shared" si="4"/>
        <v>24</v>
      </c>
      <c r="J112" s="37">
        <f t="shared" si="4"/>
        <v>-163</v>
      </c>
      <c r="K112" s="1"/>
      <c r="L112" s="1"/>
      <c r="M112" s="1"/>
    </row>
    <row r="113" ht="15" customHeight="1">
      <c r="A113" s="1"/>
      <c r="B113" s="1" t="s">
        <v>113</v>
      </c>
      <c r="C113" s="17"/>
      <c r="D113" s="17">
        <f t="shared" si="5"/>
        <v>-58</v>
      </c>
      <c r="E113" s="17">
        <f t="shared" si="5"/>
        <v>214</v>
      </c>
      <c r="F113" s="17">
        <f t="shared" si="5"/>
        <v>-81</v>
      </c>
      <c r="G113" s="17"/>
      <c r="H113" s="17">
        <f t="shared" si="14"/>
        <v>-149</v>
      </c>
      <c r="I113" s="17">
        <f t="shared" si="5"/>
        <v>40</v>
      </c>
      <c r="J113" s="37">
        <f t="shared" si="5"/>
        <v>27</v>
      </c>
      <c r="K113" s="1"/>
      <c r="L113" s="1"/>
      <c r="M113" s="1"/>
    </row>
    <row r="114" ht="15" customHeight="1">
      <c r="A114" s="1"/>
      <c r="B114" s="1" t="s">
        <v>326</v>
      </c>
      <c r="C114" s="35">
        <v>24</v>
      </c>
      <c r="D114" s="35">
        <v>-32</v>
      </c>
      <c r="E114" s="35">
        <v>-77</v>
      </c>
      <c r="F114" s="35">
        <v>-40</v>
      </c>
      <c r="G114" s="17">
        <f t="shared" si="3"/>
        <v>-125</v>
      </c>
      <c r="H114" s="35">
        <v>-28</v>
      </c>
      <c r="I114" s="35">
        <v>-36</v>
      </c>
      <c r="J114" s="37">
        <f>-J111*J183</f>
        <v>-42</v>
      </c>
      <c r="K114" s="1"/>
      <c r="L114" s="1"/>
      <c r="M114" s="1"/>
    </row>
    <row r="115" ht="15" customHeight="1">
      <c r="A115" s="1"/>
      <c r="B115" s="1" t="s">
        <v>112</v>
      </c>
      <c r="C115" s="17"/>
      <c r="D115" s="17"/>
      <c r="E115" s="17"/>
      <c r="F115" s="17"/>
      <c r="G115" s="17"/>
      <c r="H115" s="17">
        <f t="shared" si="4"/>
        <v>-52</v>
      </c>
      <c r="I115" s="17">
        <f t="shared" si="4"/>
        <v>-4</v>
      </c>
      <c r="J115" s="37">
        <f t="shared" si="4"/>
        <v>35</v>
      </c>
      <c r="K115" s="1"/>
      <c r="L115" s="1"/>
      <c r="M115" s="1"/>
    </row>
    <row r="116" ht="15" customHeight="1">
      <c r="A116" s="1"/>
      <c r="B116" s="1" t="s">
        <v>113</v>
      </c>
      <c r="C116" s="17"/>
      <c r="D116" s="17">
        <f t="shared" si="5"/>
        <v>-56</v>
      </c>
      <c r="E116" s="17">
        <f t="shared" si="5"/>
        <v>-45</v>
      </c>
      <c r="F116" s="17">
        <f t="shared" si="5"/>
        <v>37</v>
      </c>
      <c r="G116" s="17"/>
      <c r="H116" s="17">
        <f t="shared" si="14"/>
        <v>12</v>
      </c>
      <c r="I116" s="17">
        <f t="shared" si="5"/>
        <v>-8</v>
      </c>
      <c r="J116" s="37">
        <f t="shared" si="5"/>
        <v>-6</v>
      </c>
      <c r="K116" s="1"/>
      <c r="L116" s="1"/>
      <c r="M116" s="1"/>
    </row>
    <row r="117" ht="15" customHeight="1">
      <c r="A117" s="1"/>
      <c r="B117" s="1" t="s">
        <v>327</v>
      </c>
      <c r="C117" s="17">
        <f t="shared" si="40" ref="C117:J159">C111+C114</f>
        <v>231</v>
      </c>
      <c r="D117" s="17">
        <f t="shared" si="40"/>
        <v>117</v>
      </c>
      <c r="E117" s="17">
        <f t="shared" si="40"/>
        <v>286</v>
      </c>
      <c r="F117" s="17">
        <f t="shared" si="40"/>
        <v>242</v>
      </c>
      <c r="G117" s="17">
        <f t="shared" si="40"/>
        <v>876</v>
      </c>
      <c r="H117" s="17">
        <f t="shared" si="40"/>
        <v>105</v>
      </c>
      <c r="I117" s="17">
        <f t="shared" si="40"/>
        <v>137</v>
      </c>
      <c r="J117" s="37">
        <f t="shared" si="40"/>
        <v>158</v>
      </c>
      <c r="K117" s="1" t="s">
        <v>328</v>
      </c>
      <c r="L117" s="1"/>
      <c r="M117" s="1"/>
    </row>
    <row r="118" ht="15" customHeight="1">
      <c r="A118" s="1"/>
      <c r="B118" s="1" t="s">
        <v>329</v>
      </c>
      <c r="C118" s="35">
        <v>-55</v>
      </c>
      <c r="D118" s="35">
        <v>-66</v>
      </c>
      <c r="E118" s="35">
        <v>-60</v>
      </c>
      <c r="F118" s="35">
        <v>-40</v>
      </c>
      <c r="G118" s="17">
        <f t="shared" si="3"/>
        <v>-221</v>
      </c>
      <c r="H118" s="35">
        <v>-67</v>
      </c>
      <c r="I118" s="35">
        <v>-77</v>
      </c>
      <c r="J118" s="36">
        <v>-75</v>
      </c>
      <c r="K118" s="1" t="s">
        <v>330</v>
      </c>
      <c r="L118" s="1"/>
      <c r="M118" s="1"/>
    </row>
    <row r="119" ht="15" customHeight="1">
      <c r="A119" s="1"/>
      <c r="B119" s="1" t="s">
        <v>112</v>
      </c>
      <c r="C119" s="17"/>
      <c r="D119" s="17"/>
      <c r="E119" s="17"/>
      <c r="F119" s="17"/>
      <c r="G119" s="17"/>
      <c r="H119" s="17">
        <f t="shared" si="4"/>
        <v>-12</v>
      </c>
      <c r="I119" s="17">
        <f t="shared" si="4"/>
        <v>-11</v>
      </c>
      <c r="J119" s="37">
        <f t="shared" si="4"/>
        <v>-15</v>
      </c>
      <c r="K119" s="1"/>
      <c r="L119" s="1"/>
      <c r="M119" s="1"/>
    </row>
    <row r="120" ht="15" customHeight="1">
      <c r="A120" s="1"/>
      <c r="B120" s="1" t="s">
        <v>113</v>
      </c>
      <c r="C120" s="17"/>
      <c r="D120" s="17">
        <f t="shared" si="5"/>
        <v>-11</v>
      </c>
      <c r="E120" s="17">
        <f t="shared" si="5"/>
        <v>6</v>
      </c>
      <c r="F120" s="17">
        <f t="shared" si="5"/>
        <v>20</v>
      </c>
      <c r="G120" s="17"/>
      <c r="H120" s="17">
        <f t="shared" si="14"/>
        <v>-27</v>
      </c>
      <c r="I120" s="17">
        <f t="shared" si="5"/>
        <v>-10</v>
      </c>
      <c r="J120" s="37">
        <f t="shared" si="5"/>
        <v>2</v>
      </c>
      <c r="K120" s="1"/>
      <c r="L120" s="1"/>
      <c r="M120" s="1"/>
    </row>
    <row r="121" ht="15" customHeight="1">
      <c r="A121" s="1"/>
      <c r="B121" s="1" t="s">
        <v>326</v>
      </c>
      <c r="C121" s="35">
        <v>63</v>
      </c>
      <c r="D121" s="35">
        <v>77</v>
      </c>
      <c r="E121" s="35">
        <v>71</v>
      </c>
      <c r="F121" s="35">
        <v>47</v>
      </c>
      <c r="G121" s="17">
        <f t="shared" si="3"/>
        <v>258</v>
      </c>
      <c r="H121" s="35">
        <v>75</v>
      </c>
      <c r="I121" s="35">
        <v>86</v>
      </c>
      <c r="J121" s="36">
        <v>84</v>
      </c>
      <c r="K121" s="1"/>
      <c r="L121" s="1"/>
      <c r="M121" s="1"/>
    </row>
    <row r="122" ht="15" customHeight="1">
      <c r="A122" s="1"/>
      <c r="B122" s="1" t="s">
        <v>112</v>
      </c>
      <c r="C122" s="17"/>
      <c r="D122" s="17"/>
      <c r="E122" s="17"/>
      <c r="F122" s="17"/>
      <c r="G122" s="17"/>
      <c r="H122" s="17">
        <f t="shared" si="4"/>
        <v>12</v>
      </c>
      <c r="I122" s="17">
        <f t="shared" si="4"/>
        <v>9</v>
      </c>
      <c r="J122" s="37">
        <f t="shared" si="4"/>
        <v>13</v>
      </c>
      <c r="K122" s="1"/>
      <c r="L122" s="1"/>
      <c r="M122" s="1"/>
    </row>
    <row r="123" ht="15" customHeight="1">
      <c r="A123" s="1"/>
      <c r="B123" s="1" t="s">
        <v>113</v>
      </c>
      <c r="C123" s="17"/>
      <c r="D123" s="17">
        <f t="shared" si="5"/>
        <v>14</v>
      </c>
      <c r="E123" s="17">
        <f t="shared" si="5"/>
        <v>-6</v>
      </c>
      <c r="F123" s="17">
        <f t="shared" si="5"/>
        <v>-24</v>
      </c>
      <c r="G123" s="17"/>
      <c r="H123" s="17">
        <f t="shared" si="14"/>
        <v>28</v>
      </c>
      <c r="I123" s="17">
        <f t="shared" si="5"/>
        <v>11</v>
      </c>
      <c r="J123" s="37">
        <f t="shared" si="5"/>
        <v>-2</v>
      </c>
      <c r="K123" s="1"/>
      <c r="L123" s="1"/>
      <c r="M123" s="1"/>
    </row>
    <row r="124" ht="15" customHeight="1">
      <c r="A124" s="1"/>
      <c r="B124" s="1" t="s">
        <v>331</v>
      </c>
      <c r="C124" s="17">
        <f t="shared" si="40"/>
        <v>8</v>
      </c>
      <c r="D124" s="17">
        <f t="shared" si="40"/>
        <v>11</v>
      </c>
      <c r="E124" s="17">
        <f t="shared" si="40"/>
        <v>11</v>
      </c>
      <c r="F124" s="17">
        <f t="shared" si="40"/>
        <v>7</v>
      </c>
      <c r="G124" s="17">
        <f t="shared" si="40"/>
        <v>37</v>
      </c>
      <c r="H124" s="17">
        <f t="shared" si="40"/>
        <v>8</v>
      </c>
      <c r="I124" s="17">
        <f t="shared" si="40"/>
        <v>9</v>
      </c>
      <c r="J124" s="37">
        <f t="shared" si="40"/>
        <v>9</v>
      </c>
      <c r="K124" s="1" t="s">
        <v>332</v>
      </c>
      <c r="L124" s="1"/>
      <c r="M124" s="1"/>
    </row>
    <row r="125" ht="15" customHeight="1">
      <c r="A125" s="1"/>
      <c r="B125" s="1" t="s">
        <v>333</v>
      </c>
      <c r="C125" s="35">
        <v>201</v>
      </c>
      <c r="D125" s="35">
        <v>197</v>
      </c>
      <c r="E125" s="35">
        <v>198</v>
      </c>
      <c r="F125" s="35">
        <v>192</v>
      </c>
      <c r="G125" s="17">
        <f t="shared" si="3"/>
        <v>788</v>
      </c>
      <c r="H125" s="35">
        <v>176</v>
      </c>
      <c r="I125" s="35">
        <v>177</v>
      </c>
      <c r="J125" s="36">
        <v>175</v>
      </c>
      <c r="K125" s="1" t="s">
        <v>334</v>
      </c>
      <c r="L125" s="1"/>
      <c r="M125" s="1"/>
    </row>
    <row r="126" ht="15" customHeight="1">
      <c r="A126" s="1"/>
      <c r="B126" s="1" t="s">
        <v>112</v>
      </c>
      <c r="C126" s="17"/>
      <c r="D126" s="17"/>
      <c r="E126" s="17"/>
      <c r="F126" s="17"/>
      <c r="G126" s="17"/>
      <c r="H126" s="17">
        <f t="shared" si="4"/>
        <v>-25</v>
      </c>
      <c r="I126" s="17">
        <f t="shared" si="4"/>
        <v>-20</v>
      </c>
      <c r="J126" s="37">
        <f t="shared" si="4"/>
        <v>-23</v>
      </c>
      <c r="K126" s="1"/>
      <c r="L126" s="1"/>
      <c r="M126" s="1"/>
    </row>
    <row r="127" ht="15" customHeight="1">
      <c r="A127" s="1"/>
      <c r="B127" s="1" t="s">
        <v>113</v>
      </c>
      <c r="C127" s="17"/>
      <c r="D127" s="17">
        <f t="shared" si="5"/>
        <v>-4</v>
      </c>
      <c r="E127" s="17">
        <f t="shared" si="5"/>
        <v>1</v>
      </c>
      <c r="F127" s="17">
        <f t="shared" si="5"/>
        <v>-6</v>
      </c>
      <c r="G127" s="17"/>
      <c r="H127" s="17">
        <f t="shared" si="14"/>
        <v>-16</v>
      </c>
      <c r="I127" s="17">
        <f t="shared" si="5"/>
        <v>1</v>
      </c>
      <c r="J127" s="37">
        <f t="shared" si="5"/>
        <v>-2</v>
      </c>
      <c r="K127" s="1"/>
      <c r="L127" s="1"/>
      <c r="M127" s="1"/>
    </row>
    <row r="128" ht="15" customHeight="1">
      <c r="A128" s="1"/>
      <c r="B128" s="1" t="s">
        <v>326</v>
      </c>
      <c r="C128" s="35">
        <v>-42</v>
      </c>
      <c r="D128" s="35">
        <v>-41</v>
      </c>
      <c r="E128" s="35">
        <v>-42</v>
      </c>
      <c r="F128" s="35">
        <v>-40</v>
      </c>
      <c r="G128" s="17">
        <f t="shared" si="3"/>
        <v>-165</v>
      </c>
      <c r="H128" s="35">
        <v>-37</v>
      </c>
      <c r="I128" s="35">
        <v>-37</v>
      </c>
      <c r="J128" s="37">
        <f>-J125*J183</f>
        <v>-36.75</v>
      </c>
      <c r="K128" s="1"/>
      <c r="L128" s="1"/>
      <c r="M128" s="1"/>
    </row>
    <row r="129" ht="15" customHeight="1">
      <c r="A129" s="1"/>
      <c r="B129" s="1" t="s">
        <v>112</v>
      </c>
      <c r="C129" s="17"/>
      <c r="D129" s="17"/>
      <c r="E129" s="17"/>
      <c r="F129" s="17"/>
      <c r="G129" s="17"/>
      <c r="H129" s="17">
        <f t="shared" si="4"/>
        <v>5</v>
      </c>
      <c r="I129" s="17">
        <f t="shared" si="4"/>
        <v>4</v>
      </c>
      <c r="J129" s="37">
        <f t="shared" si="4"/>
        <v>5.25</v>
      </c>
      <c r="K129" s="1"/>
      <c r="L129" s="1"/>
      <c r="M129" s="1"/>
    </row>
    <row r="130" ht="15" customHeight="1">
      <c r="A130" s="1"/>
      <c r="B130" s="1" t="s">
        <v>113</v>
      </c>
      <c r="C130" s="17"/>
      <c r="D130" s="17">
        <f t="shared" si="5"/>
        <v>1</v>
      </c>
      <c r="E130" s="17">
        <f t="shared" si="5"/>
        <v>-1</v>
      </c>
      <c r="F130" s="17">
        <f t="shared" si="5"/>
        <v>2</v>
      </c>
      <c r="G130" s="17"/>
      <c r="H130" s="17">
        <f t="shared" si="14"/>
        <v>3</v>
      </c>
      <c r="I130" s="17">
        <f t="shared" si="5"/>
        <v>0</v>
      </c>
      <c r="J130" s="37">
        <f t="shared" si="5"/>
        <v>0.25</v>
      </c>
      <c r="K130" s="1"/>
      <c r="L130" s="1"/>
      <c r="M130" s="1"/>
    </row>
    <row r="131" ht="15" customHeight="1">
      <c r="A131" s="1"/>
      <c r="B131" s="1" t="s">
        <v>335</v>
      </c>
      <c r="C131" s="17">
        <f t="shared" si="40"/>
        <v>159</v>
      </c>
      <c r="D131" s="17">
        <f t="shared" si="40"/>
        <v>156</v>
      </c>
      <c r="E131" s="17">
        <f t="shared" si="40"/>
        <v>156</v>
      </c>
      <c r="F131" s="17">
        <f t="shared" si="40"/>
        <v>152</v>
      </c>
      <c r="G131" s="17">
        <f t="shared" si="40"/>
        <v>623</v>
      </c>
      <c r="H131" s="17">
        <f t="shared" si="40"/>
        <v>139</v>
      </c>
      <c r="I131" s="17">
        <f t="shared" si="40"/>
        <v>140</v>
      </c>
      <c r="J131" s="37">
        <f t="shared" si="40"/>
        <v>138.25</v>
      </c>
      <c r="K131" s="1" t="s">
        <v>336</v>
      </c>
      <c r="L131" s="1"/>
      <c r="M131" s="1"/>
    </row>
    <row r="132" ht="15" customHeight="1">
      <c r="A132" s="1"/>
      <c r="B132" s="1" t="s">
        <v>337</v>
      </c>
      <c r="C132" s="35">
        <v>0</v>
      </c>
      <c r="D132" s="35">
        <v>0</v>
      </c>
      <c r="E132" s="35">
        <v>3</v>
      </c>
      <c r="F132" s="35">
        <v>2</v>
      </c>
      <c r="G132" s="17">
        <f t="shared" si="3"/>
        <v>5</v>
      </c>
      <c r="H132" s="35">
        <v>24</v>
      </c>
      <c r="I132" s="35">
        <v>0</v>
      </c>
      <c r="J132" s="36">
        <v>0</v>
      </c>
      <c r="K132" s="1" t="s">
        <v>338</v>
      </c>
      <c r="L132" s="1"/>
      <c r="M132" s="1"/>
    </row>
    <row r="133" ht="15" customHeight="1">
      <c r="A133" s="1"/>
      <c r="B133" s="1" t="s">
        <v>112</v>
      </c>
      <c r="C133" s="17"/>
      <c r="D133" s="17"/>
      <c r="E133" s="17"/>
      <c r="F133" s="17"/>
      <c r="G133" s="17"/>
      <c r="H133" s="17">
        <f t="shared" si="4"/>
        <v>24</v>
      </c>
      <c r="I133" s="17">
        <f t="shared" si="4"/>
        <v>0</v>
      </c>
      <c r="J133" s="37">
        <f t="shared" si="4"/>
        <v>-3</v>
      </c>
      <c r="K133" s="1"/>
      <c r="L133" s="1"/>
      <c r="M133" s="1"/>
    </row>
    <row r="134" ht="15" customHeight="1">
      <c r="A134" s="1"/>
      <c r="B134" s="1" t="s">
        <v>113</v>
      </c>
      <c r="C134" s="17"/>
      <c r="D134" s="17">
        <f t="shared" si="5"/>
        <v>0</v>
      </c>
      <c r="E134" s="17">
        <f t="shared" si="5"/>
        <v>3</v>
      </c>
      <c r="F134" s="17">
        <f t="shared" si="5"/>
        <v>-1</v>
      </c>
      <c r="G134" s="17"/>
      <c r="H134" s="17">
        <f t="shared" si="14"/>
        <v>22</v>
      </c>
      <c r="I134" s="17">
        <f t="shared" si="5"/>
        <v>-24</v>
      </c>
      <c r="J134" s="37">
        <f t="shared" si="5"/>
        <v>0</v>
      </c>
      <c r="K134" s="1"/>
      <c r="L134" s="1"/>
      <c r="M134" s="1"/>
    </row>
    <row r="135" ht="15" customHeight="1">
      <c r="A135" s="1"/>
      <c r="B135" s="1" t="s">
        <v>326</v>
      </c>
      <c r="C135" s="35">
        <v>3</v>
      </c>
      <c r="D135" s="35">
        <v>0</v>
      </c>
      <c r="E135" s="35">
        <v>-1</v>
      </c>
      <c r="F135" s="35">
        <v>0</v>
      </c>
      <c r="G135" s="17">
        <f t="shared" si="3"/>
        <v>2</v>
      </c>
      <c r="H135" s="35">
        <v>0</v>
      </c>
      <c r="I135" s="35">
        <v>0</v>
      </c>
      <c r="J135" s="36">
        <v>0</v>
      </c>
      <c r="K135" s="1"/>
      <c r="L135" s="1"/>
      <c r="M135" s="1"/>
    </row>
    <row r="136" ht="15" customHeight="1">
      <c r="A136" s="1"/>
      <c r="B136" s="1" t="s">
        <v>112</v>
      </c>
      <c r="C136" s="17"/>
      <c r="D136" s="17"/>
      <c r="E136" s="17"/>
      <c r="F136" s="17"/>
      <c r="G136" s="17"/>
      <c r="H136" s="17">
        <f t="shared" si="4"/>
        <v>-3</v>
      </c>
      <c r="I136" s="17">
        <f t="shared" si="4"/>
        <v>0</v>
      </c>
      <c r="J136" s="37">
        <f t="shared" si="4"/>
        <v>1</v>
      </c>
      <c r="K136" s="1"/>
      <c r="L136" s="1"/>
      <c r="M136" s="1"/>
    </row>
    <row r="137" ht="15" customHeight="1">
      <c r="A137" s="1"/>
      <c r="B137" s="1" t="s">
        <v>113</v>
      </c>
      <c r="C137" s="17"/>
      <c r="D137" s="17">
        <f t="shared" si="5"/>
        <v>-3</v>
      </c>
      <c r="E137" s="17">
        <f t="shared" si="5"/>
        <v>-1</v>
      </c>
      <c r="F137" s="17">
        <f t="shared" si="5"/>
        <v>1</v>
      </c>
      <c r="G137" s="17"/>
      <c r="H137" s="17">
        <f t="shared" si="14"/>
        <v>0</v>
      </c>
      <c r="I137" s="17">
        <f t="shared" si="5"/>
        <v>0</v>
      </c>
      <c r="J137" s="37">
        <f t="shared" si="5"/>
        <v>0</v>
      </c>
      <c r="K137" s="1"/>
      <c r="L137" s="1"/>
      <c r="M137" s="1"/>
    </row>
    <row r="138" ht="15" customHeight="1">
      <c r="A138" s="1"/>
      <c r="B138" s="1" t="s">
        <v>339</v>
      </c>
      <c r="C138" s="17">
        <f t="shared" si="40"/>
        <v>3</v>
      </c>
      <c r="D138" s="17">
        <f t="shared" si="40"/>
        <v>0</v>
      </c>
      <c r="E138" s="17">
        <f t="shared" si="40"/>
        <v>2</v>
      </c>
      <c r="F138" s="17">
        <f t="shared" si="40"/>
        <v>2</v>
      </c>
      <c r="G138" s="17">
        <f t="shared" si="40"/>
        <v>7</v>
      </c>
      <c r="H138" s="17">
        <f t="shared" si="40"/>
        <v>24</v>
      </c>
      <c r="I138" s="17">
        <f t="shared" si="40"/>
        <v>0</v>
      </c>
      <c r="J138" s="37">
        <f t="shared" si="40"/>
        <v>0</v>
      </c>
      <c r="K138" s="1" t="s">
        <v>340</v>
      </c>
      <c r="L138" s="1"/>
      <c r="M138" s="1"/>
    </row>
    <row r="139" ht="15" customHeight="1">
      <c r="A139" s="1"/>
      <c r="B139" s="1" t="s">
        <v>341</v>
      </c>
      <c r="C139" s="35">
        <v>7</v>
      </c>
      <c r="D139" s="35">
        <v>3</v>
      </c>
      <c r="E139" s="35">
        <v>8</v>
      </c>
      <c r="F139" s="35">
        <v>294</v>
      </c>
      <c r="G139" s="17">
        <f t="shared" si="3"/>
        <v>312</v>
      </c>
      <c r="H139" s="35">
        <v>-309</v>
      </c>
      <c r="I139" s="35">
        <v>65</v>
      </c>
      <c r="J139" s="36">
        <v>200</v>
      </c>
      <c r="K139" s="1" t="s">
        <v>342</v>
      </c>
      <c r="L139" s="1"/>
      <c r="M139" s="1"/>
    </row>
    <row r="140" ht="15" customHeight="1">
      <c r="A140" s="1"/>
      <c r="B140" s="1" t="s">
        <v>112</v>
      </c>
      <c r="C140" s="17"/>
      <c r="D140" s="17"/>
      <c r="E140" s="17"/>
      <c r="F140" s="17"/>
      <c r="G140" s="17"/>
      <c r="H140" s="17">
        <f t="shared" si="4"/>
        <v>-316</v>
      </c>
      <c r="I140" s="17">
        <f t="shared" si="4"/>
        <v>62</v>
      </c>
      <c r="J140" s="37">
        <f t="shared" si="4"/>
        <v>192</v>
      </c>
      <c r="K140" s="1"/>
      <c r="L140" s="1"/>
      <c r="M140" s="1"/>
    </row>
    <row r="141" ht="15" customHeight="1">
      <c r="A141" s="1"/>
      <c r="B141" s="1" t="s">
        <v>113</v>
      </c>
      <c r="C141" s="17"/>
      <c r="D141" s="17">
        <f t="shared" si="5"/>
        <v>-4</v>
      </c>
      <c r="E141" s="17">
        <f t="shared" si="5"/>
        <v>5</v>
      </c>
      <c r="F141" s="17">
        <f t="shared" si="5"/>
        <v>286</v>
      </c>
      <c r="G141" s="17"/>
      <c r="H141" s="17">
        <f t="shared" si="14"/>
        <v>-603</v>
      </c>
      <c r="I141" s="17">
        <f t="shared" si="5"/>
        <v>374</v>
      </c>
      <c r="J141" s="37">
        <f t="shared" si="5"/>
        <v>135</v>
      </c>
      <c r="K141" s="1"/>
      <c r="L141" s="1"/>
      <c r="M141" s="1"/>
    </row>
    <row r="142" ht="15" customHeight="1">
      <c r="A142" s="1"/>
      <c r="B142" s="1" t="s">
        <v>326</v>
      </c>
      <c r="C142" s="35">
        <v>1</v>
      </c>
      <c r="D142" s="35">
        <v>0</v>
      </c>
      <c r="E142" s="35">
        <v>-1</v>
      </c>
      <c r="F142" s="35">
        <v>-62</v>
      </c>
      <c r="G142" s="17">
        <f t="shared" si="3"/>
        <v>-62</v>
      </c>
      <c r="H142" s="35">
        <v>62</v>
      </c>
      <c r="I142" s="35">
        <v>-11</v>
      </c>
      <c r="J142" s="37">
        <f>-J139*J183</f>
        <v>-42</v>
      </c>
      <c r="K142" s="1"/>
      <c r="L142" s="1"/>
      <c r="M142" s="1"/>
    </row>
    <row r="143" ht="15" customHeight="1">
      <c r="A143" s="1"/>
      <c r="B143" s="1" t="s">
        <v>112</v>
      </c>
      <c r="C143" s="17"/>
      <c r="D143" s="17"/>
      <c r="E143" s="17"/>
      <c r="F143" s="17"/>
      <c r="G143" s="17"/>
      <c r="H143" s="17">
        <f t="shared" si="4"/>
        <v>61</v>
      </c>
      <c r="I143" s="17">
        <f t="shared" si="4"/>
        <v>-11</v>
      </c>
      <c r="J143" s="37">
        <f t="shared" si="4"/>
        <v>-41</v>
      </c>
      <c r="K143" s="1"/>
      <c r="L143" s="1"/>
      <c r="M143" s="1"/>
    </row>
    <row r="144" ht="15" customHeight="1">
      <c r="A144" s="1"/>
      <c r="B144" s="1" t="s">
        <v>113</v>
      </c>
      <c r="C144" s="17"/>
      <c r="D144" s="17">
        <f t="shared" si="5"/>
        <v>-1</v>
      </c>
      <c r="E144" s="17">
        <f t="shared" si="5"/>
        <v>-1</v>
      </c>
      <c r="F144" s="17">
        <f t="shared" si="5"/>
        <v>-61</v>
      </c>
      <c r="G144" s="17"/>
      <c r="H144" s="17">
        <f t="shared" si="14"/>
        <v>124</v>
      </c>
      <c r="I144" s="17">
        <f t="shared" si="5"/>
        <v>-73</v>
      </c>
      <c r="J144" s="37">
        <f t="shared" si="5"/>
        <v>-31</v>
      </c>
      <c r="K144" s="1"/>
      <c r="L144" s="1"/>
      <c r="M144" s="1"/>
    </row>
    <row r="145" ht="15" customHeight="1">
      <c r="A145" s="1"/>
      <c r="B145" s="1" t="s">
        <v>343</v>
      </c>
      <c r="C145" s="17">
        <f t="shared" si="40"/>
        <v>8</v>
      </c>
      <c r="D145" s="17">
        <f t="shared" si="40"/>
        <v>3</v>
      </c>
      <c r="E145" s="17">
        <f t="shared" si="40"/>
        <v>7</v>
      </c>
      <c r="F145" s="17">
        <f t="shared" si="40"/>
        <v>232</v>
      </c>
      <c r="G145" s="17">
        <f t="shared" si="40"/>
        <v>250</v>
      </c>
      <c r="H145" s="17">
        <f t="shared" si="40"/>
        <v>-247</v>
      </c>
      <c r="I145" s="17">
        <f t="shared" si="40"/>
        <v>54</v>
      </c>
      <c r="J145" s="37">
        <f t="shared" si="40"/>
        <v>158</v>
      </c>
      <c r="K145" s="1" t="s">
        <v>344</v>
      </c>
      <c r="L145" s="1"/>
      <c r="M145" s="1"/>
    </row>
    <row r="146" ht="15" customHeight="1">
      <c r="A146" s="1"/>
      <c r="B146" s="1" t="s">
        <v>345</v>
      </c>
      <c r="C146" s="35">
        <v>-1</v>
      </c>
      <c r="D146" s="35">
        <v>-26</v>
      </c>
      <c r="E146" s="35">
        <v>-22</v>
      </c>
      <c r="F146" s="35">
        <v>136</v>
      </c>
      <c r="G146" s="17">
        <f t="shared" si="3"/>
        <v>87</v>
      </c>
      <c r="H146" s="35">
        <v>-24</v>
      </c>
      <c r="I146" s="35">
        <v>-27</v>
      </c>
      <c r="J146" s="36">
        <v>-25</v>
      </c>
      <c r="K146" s="1" t="s">
        <v>346</v>
      </c>
      <c r="L146" s="1"/>
      <c r="M146" s="1"/>
    </row>
    <row r="147" ht="15" customHeight="1">
      <c r="A147" s="1"/>
      <c r="B147" s="1" t="s">
        <v>112</v>
      </c>
      <c r="C147" s="17"/>
      <c r="D147" s="17"/>
      <c r="E147" s="17"/>
      <c r="F147" s="17"/>
      <c r="G147" s="17"/>
      <c r="H147" s="17">
        <f t="shared" si="4"/>
        <v>-23</v>
      </c>
      <c r="I147" s="17">
        <f t="shared" si="4"/>
        <v>-1</v>
      </c>
      <c r="J147" s="37">
        <f t="shared" si="4"/>
        <v>-3</v>
      </c>
      <c r="K147" s="1"/>
      <c r="L147" s="1"/>
      <c r="M147" s="1"/>
    </row>
    <row r="148" ht="15" customHeight="1">
      <c r="A148" s="1"/>
      <c r="B148" s="1" t="s">
        <v>113</v>
      </c>
      <c r="C148" s="17"/>
      <c r="D148" s="17">
        <f t="shared" si="5"/>
        <v>-25</v>
      </c>
      <c r="E148" s="17">
        <f t="shared" si="5"/>
        <v>4</v>
      </c>
      <c r="F148" s="17">
        <f t="shared" si="5"/>
        <v>158</v>
      </c>
      <c r="G148" s="17"/>
      <c r="H148" s="17">
        <f t="shared" si="14"/>
        <v>-160</v>
      </c>
      <c r="I148" s="17">
        <f t="shared" si="5"/>
        <v>-3</v>
      </c>
      <c r="J148" s="37">
        <f t="shared" si="5"/>
        <v>2</v>
      </c>
      <c r="K148" s="1"/>
      <c r="L148" s="1"/>
      <c r="M148" s="1"/>
    </row>
    <row r="149" ht="15" customHeight="1">
      <c r="A149" s="1"/>
      <c r="B149" s="1" t="s">
        <v>326</v>
      </c>
      <c r="C149" s="35">
        <v>0</v>
      </c>
      <c r="D149" s="35">
        <v>5</v>
      </c>
      <c r="E149" s="35">
        <v>5</v>
      </c>
      <c r="F149" s="35">
        <v>-29</v>
      </c>
      <c r="G149" s="17">
        <f t="shared" si="3"/>
        <v>-19</v>
      </c>
      <c r="H149" s="35">
        <v>5</v>
      </c>
      <c r="I149" s="35">
        <v>6</v>
      </c>
      <c r="J149" s="37">
        <f>-J146*J183</f>
        <v>5.25</v>
      </c>
      <c r="K149" s="1"/>
      <c r="L149" s="1"/>
      <c r="M149" s="1"/>
    </row>
    <row r="150" ht="15" customHeight="1">
      <c r="A150" s="1"/>
      <c r="B150" s="1" t="s">
        <v>112</v>
      </c>
      <c r="C150" s="17"/>
      <c r="D150" s="17"/>
      <c r="E150" s="17"/>
      <c r="F150" s="17"/>
      <c r="G150" s="17"/>
      <c r="H150" s="17">
        <f t="shared" si="4"/>
        <v>5</v>
      </c>
      <c r="I150" s="17">
        <f t="shared" si="4"/>
        <v>1</v>
      </c>
      <c r="J150" s="37">
        <f t="shared" si="4"/>
        <v>0.25</v>
      </c>
      <c r="K150" s="1"/>
      <c r="L150" s="1"/>
      <c r="M150" s="1"/>
    </row>
    <row r="151" ht="15" customHeight="1">
      <c r="A151" s="1"/>
      <c r="B151" s="1" t="s">
        <v>113</v>
      </c>
      <c r="C151" s="17"/>
      <c r="D151" s="17">
        <f t="shared" si="5"/>
        <v>5</v>
      </c>
      <c r="E151" s="17">
        <f t="shared" si="5"/>
        <v>0</v>
      </c>
      <c r="F151" s="17">
        <f t="shared" si="5"/>
        <v>-34</v>
      </c>
      <c r="G151" s="17"/>
      <c r="H151" s="17">
        <f t="shared" si="14"/>
        <v>34</v>
      </c>
      <c r="I151" s="17">
        <f t="shared" si="5"/>
        <v>1</v>
      </c>
      <c r="J151" s="37">
        <f t="shared" si="5"/>
        <v>-0.75</v>
      </c>
      <c r="K151" s="1"/>
      <c r="L151" s="1"/>
      <c r="M151" s="1"/>
    </row>
    <row r="152" ht="15" customHeight="1">
      <c r="A152" s="1"/>
      <c r="B152" s="1" t="s">
        <v>347</v>
      </c>
      <c r="C152" s="17">
        <f t="shared" si="40"/>
        <v>-1</v>
      </c>
      <c r="D152" s="17">
        <f t="shared" si="40"/>
        <v>-21</v>
      </c>
      <c r="E152" s="17">
        <f t="shared" si="40"/>
        <v>-17</v>
      </c>
      <c r="F152" s="17">
        <f t="shared" si="40"/>
        <v>107</v>
      </c>
      <c r="G152" s="17">
        <f t="shared" si="40"/>
        <v>68</v>
      </c>
      <c r="H152" s="17">
        <f t="shared" si="40"/>
        <v>-19</v>
      </c>
      <c r="I152" s="17">
        <f t="shared" si="40"/>
        <v>-21</v>
      </c>
      <c r="J152" s="37">
        <f t="shared" si="40"/>
        <v>-19.75</v>
      </c>
      <c r="K152" s="1" t="s">
        <v>348</v>
      </c>
      <c r="L152" s="1"/>
      <c r="M152" s="1"/>
    </row>
    <row r="153" ht="15" customHeight="1">
      <c r="A153" s="1"/>
      <c r="B153" s="1" t="s">
        <v>349</v>
      </c>
      <c r="C153" s="35">
        <v>-51</v>
      </c>
      <c r="D153" s="35">
        <v>-47</v>
      </c>
      <c r="E153" s="35">
        <v>-53</v>
      </c>
      <c r="F153" s="35">
        <v>-57</v>
      </c>
      <c r="G153" s="17">
        <f t="shared" si="3"/>
        <v>-208</v>
      </c>
      <c r="H153" s="35">
        <v>-56</v>
      </c>
      <c r="I153" s="35">
        <v>-35</v>
      </c>
      <c r="J153" s="36">
        <v>-15</v>
      </c>
      <c r="K153" s="1" t="s">
        <v>350</v>
      </c>
      <c r="L153" s="1"/>
      <c r="M153" s="1"/>
    </row>
    <row r="154" ht="15" customHeight="1">
      <c r="A154" s="1"/>
      <c r="B154" s="1" t="s">
        <v>112</v>
      </c>
      <c r="C154" s="17"/>
      <c r="D154" s="17"/>
      <c r="E154" s="17"/>
      <c r="F154" s="17"/>
      <c r="G154" s="17"/>
      <c r="H154" s="17">
        <f t="shared" si="4"/>
        <v>-5</v>
      </c>
      <c r="I154" s="17">
        <f t="shared" si="4"/>
        <v>12</v>
      </c>
      <c r="J154" s="37">
        <f t="shared" si="4"/>
        <v>38</v>
      </c>
      <c r="K154" s="1"/>
      <c r="L154" s="1"/>
      <c r="M154" s="1"/>
    </row>
    <row r="155" ht="15" customHeight="1">
      <c r="A155" s="1"/>
      <c r="B155" s="1" t="s">
        <v>113</v>
      </c>
      <c r="C155" s="17"/>
      <c r="D155" s="17">
        <f t="shared" si="5"/>
        <v>4</v>
      </c>
      <c r="E155" s="17">
        <f t="shared" si="5"/>
        <v>-6</v>
      </c>
      <c r="F155" s="17">
        <f t="shared" si="5"/>
        <v>-4</v>
      </c>
      <c r="G155" s="17"/>
      <c r="H155" s="17">
        <f t="shared" si="14"/>
        <v>1</v>
      </c>
      <c r="I155" s="17">
        <f t="shared" si="5"/>
        <v>21</v>
      </c>
      <c r="J155" s="37">
        <f t="shared" si="5"/>
        <v>20</v>
      </c>
      <c r="K155" s="1"/>
      <c r="L155" s="1"/>
      <c r="M155" s="1"/>
    </row>
    <row r="156" ht="15" customHeight="1">
      <c r="A156" s="1"/>
      <c r="B156" s="1" t="s">
        <v>326</v>
      </c>
      <c r="C156" s="35">
        <v>10</v>
      </c>
      <c r="D156" s="35">
        <v>10</v>
      </c>
      <c r="E156" s="35">
        <v>11</v>
      </c>
      <c r="F156" s="35">
        <v>98</v>
      </c>
      <c r="G156" s="17">
        <f t="shared" si="3"/>
        <v>129</v>
      </c>
      <c r="H156" s="35">
        <v>12</v>
      </c>
      <c r="I156" s="35">
        <v>8</v>
      </c>
      <c r="J156" s="37">
        <f>-J153*J183</f>
        <v>3.15</v>
      </c>
      <c r="K156" s="1"/>
      <c r="L156" s="1"/>
      <c r="M156" s="1"/>
    </row>
    <row r="157" ht="15" customHeight="1">
      <c r="A157" s="1"/>
      <c r="B157" s="1" t="s">
        <v>112</v>
      </c>
      <c r="C157" s="17"/>
      <c r="D157" s="17"/>
      <c r="E157" s="17"/>
      <c r="F157" s="17"/>
      <c r="G157" s="17"/>
      <c r="H157" s="17">
        <f t="shared" si="4"/>
        <v>2</v>
      </c>
      <c r="I157" s="17">
        <f t="shared" si="4"/>
        <v>-2</v>
      </c>
      <c r="J157" s="37">
        <f t="shared" si="4"/>
        <v>-7.85</v>
      </c>
      <c r="K157" s="1"/>
      <c r="L157" s="1"/>
      <c r="M157" s="1"/>
    </row>
    <row r="158" ht="15" customHeight="1">
      <c r="A158" s="1"/>
      <c r="B158" s="1" t="s">
        <v>113</v>
      </c>
      <c r="C158" s="17"/>
      <c r="D158" s="17">
        <f t="shared" si="5"/>
        <v>0</v>
      </c>
      <c r="E158" s="17">
        <f t="shared" si="5"/>
        <v>1</v>
      </c>
      <c r="F158" s="17">
        <f t="shared" si="5"/>
        <v>87</v>
      </c>
      <c r="G158" s="17"/>
      <c r="H158" s="17">
        <f t="shared" si="14"/>
        <v>-86</v>
      </c>
      <c r="I158" s="17">
        <f t="shared" si="5"/>
        <v>-4</v>
      </c>
      <c r="J158" s="37">
        <f t="shared" si="5"/>
        <v>-4.85</v>
      </c>
      <c r="K158" s="1"/>
      <c r="L158" s="1"/>
      <c r="M158" s="1"/>
    </row>
    <row r="159" ht="15" customHeight="1">
      <c r="A159" s="1"/>
      <c r="B159" s="1" t="s">
        <v>351</v>
      </c>
      <c r="C159" s="17">
        <f t="shared" si="40"/>
        <v>-41</v>
      </c>
      <c r="D159" s="17">
        <f t="shared" si="40"/>
        <v>-37</v>
      </c>
      <c r="E159" s="17">
        <f t="shared" si="40"/>
        <v>-42</v>
      </c>
      <c r="F159" s="17">
        <f t="shared" si="40"/>
        <v>41</v>
      </c>
      <c r="G159" s="17">
        <f t="shared" si="40"/>
        <v>-79</v>
      </c>
      <c r="H159" s="17">
        <f t="shared" si="40"/>
        <v>-44</v>
      </c>
      <c r="I159" s="17">
        <f t="shared" si="40"/>
        <v>-27</v>
      </c>
      <c r="J159" s="37">
        <f t="shared" si="40"/>
        <v>-11.85</v>
      </c>
      <c r="K159" s="1"/>
      <c r="L159" s="1"/>
      <c r="M159" s="1"/>
    </row>
    <row r="160" ht="15" customHeight="1">
      <c r="A160" s="1"/>
      <c r="B160" s="3" t="s">
        <v>352</v>
      </c>
      <c r="C160" s="38">
        <f t="shared" si="41" ref="C160:J160">C110-(C117+C124+C131+C138+C145+C152+C159)</f>
        <v>1600</v>
      </c>
      <c r="D160" s="38">
        <f t="shared" si="41"/>
        <v>1778</v>
      </c>
      <c r="E160" s="38">
        <f t="shared" si="41"/>
        <v>1767</v>
      </c>
      <c r="F160" s="38">
        <f t="shared" si="41"/>
        <v>1669</v>
      </c>
      <c r="G160" s="38">
        <f t="shared" si="41"/>
        <v>6814</v>
      </c>
      <c r="H160" s="38">
        <f t="shared" si="41"/>
        <v>1964</v>
      </c>
      <c r="I160" s="38">
        <f t="shared" si="41"/>
        <v>2113</v>
      </c>
      <c r="J160" s="39">
        <f t="shared" si="41"/>
        <v>2167.3892147200004</v>
      </c>
      <c r="K160" s="1"/>
      <c r="L160" s="1"/>
      <c r="M160" s="1"/>
    </row>
    <row r="161" ht="15" customHeight="1">
      <c r="A161" s="1"/>
      <c r="B161" s="1" t="s">
        <v>353</v>
      </c>
      <c r="C161" s="17">
        <f t="shared" si="42" ref="C161:J161">C94-C160</f>
        <v>1</v>
      </c>
      <c r="D161" s="17">
        <f t="shared" si="42"/>
        <v>-1</v>
      </c>
      <c r="E161" s="17">
        <f t="shared" si="42"/>
        <v>-3</v>
      </c>
      <c r="F161" s="17">
        <f t="shared" si="42"/>
        <v>-1</v>
      </c>
      <c r="G161" s="17">
        <f t="shared" si="42"/>
        <v>-4</v>
      </c>
      <c r="H161" s="17">
        <f t="shared" si="42"/>
        <v>0</v>
      </c>
      <c r="I161" s="17">
        <f t="shared" si="42"/>
        <v>1</v>
      </c>
      <c r="J161" s="37">
        <f t="shared" si="42"/>
        <v>0</v>
      </c>
      <c r="K161" s="1" t="s">
        <v>354</v>
      </c>
      <c r="L161" s="1"/>
      <c r="M161" s="1"/>
    </row>
    <row r="162" ht="15" customHeight="1">
      <c r="A162" s="1"/>
      <c r="B162" s="1" t="s">
        <v>355</v>
      </c>
      <c r="C162" s="40" t="b">
        <f t="shared" si="43" ref="C162:I162">ABS(C161)&lt;=4</f>
        <v>1</v>
      </c>
      <c r="D162" s="40" t="b">
        <f t="shared" si="43"/>
        <v>1</v>
      </c>
      <c r="E162" s="40" t="b">
        <f t="shared" si="43"/>
        <v>1</v>
      </c>
      <c r="F162" s="40" t="b">
        <f t="shared" si="43"/>
        <v>1</v>
      </c>
      <c r="G162" s="40" t="b">
        <f t="shared" si="43"/>
        <v>1</v>
      </c>
      <c r="H162" s="40" t="b">
        <f t="shared" si="43"/>
        <v>1</v>
      </c>
      <c r="I162" s="40" t="b">
        <f t="shared" si="43"/>
        <v>1</v>
      </c>
      <c r="J162" s="41" t="b">
        <f>ABS(J161)&lt;0.001</f>
        <v>1</v>
      </c>
      <c r="K162" s="1" t="s">
        <v>356</v>
      </c>
      <c r="L162" s="1"/>
      <c r="M162" s="1"/>
    </row>
    <row r="163" ht="15" customHeight="1">
      <c r="A163" s="1"/>
      <c r="B163" s="1" t="s">
        <v>357</v>
      </c>
      <c r="C163" s="20">
        <f t="shared" si="44" ref="C163:J163">_xlfn.IFERROR(C160/C102,"")</f>
        <v>1.484230055658627</v>
      </c>
      <c r="D163" s="20">
        <f t="shared" si="44"/>
        <v>1.6601307189542485</v>
      </c>
      <c r="E163" s="20">
        <f t="shared" si="44"/>
        <v>1.6591549295774648</v>
      </c>
      <c r="F163" s="20">
        <f t="shared" si="44"/>
        <v>1.5745283018867924</v>
      </c>
      <c r="G163" s="20">
        <f t="shared" si="44"/>
        <v>6.380149812734082</v>
      </c>
      <c r="H163" s="20">
        <f t="shared" si="44"/>
        <v>1.8633776091081593</v>
      </c>
      <c r="I163" s="20">
        <f t="shared" si="44"/>
        <v>2.018147086914995</v>
      </c>
      <c r="J163" s="57">
        <f t="shared" si="44"/>
        <v>2.0814618688079523</v>
      </c>
      <c r="K163" s="1"/>
      <c r="L163" s="1"/>
      <c r="M163" s="1"/>
    </row>
    <row r="164" ht="15" customHeight="1">
      <c r="A164" s="1"/>
      <c r="B164" s="28" t="s">
        <v>358</v>
      </c>
      <c r="C164" s="29"/>
      <c r="D164" s="29"/>
      <c r="E164" s="29"/>
      <c r="F164" s="29"/>
      <c r="G164" s="29"/>
      <c r="H164" s="29"/>
      <c r="I164" s="29"/>
      <c r="J164" s="30"/>
      <c r="K164" s="29"/>
      <c r="L164" s="1"/>
      <c r="M164" s="1"/>
    </row>
    <row r="165" ht="15" customHeight="1">
      <c r="A165" s="1"/>
      <c r="B165" s="4" t="s">
        <v>359</v>
      </c>
      <c r="C165" s="18"/>
      <c r="D165" s="18"/>
      <c r="E165" s="18"/>
      <c r="F165" s="18"/>
      <c r="G165" s="18"/>
      <c r="H165" s="44">
        <f>_xlfn.IFERROR('Revenue summary'!H37/'Revenue summary'!H28,"")</f>
        <v>0.8477842003853564</v>
      </c>
      <c r="I165" s="44">
        <f>_xlfn.IFERROR('Revenue summary'!I37/'Revenue summary'!I28,"")</f>
        <v>0.812962962962963</v>
      </c>
      <c r="J165" s="52">
        <v>0.81</v>
      </c>
      <c r="K165" s="1" t="s">
        <v>360</v>
      </c>
      <c r="L165" s="1"/>
      <c r="M165" s="1"/>
    </row>
    <row r="166" ht="15" customHeight="1">
      <c r="A166" s="1"/>
      <c r="B166" s="1" t="s">
        <v>106</v>
      </c>
      <c r="C166" s="33"/>
      <c r="D166" s="33"/>
      <c r="E166" s="33"/>
      <c r="F166" s="33"/>
      <c r="G166" s="33"/>
      <c r="H166" s="33">
        <f t="shared" si="12"/>
      </c>
      <c r="I166" s="33">
        <f t="shared" si="12"/>
      </c>
      <c r="J166" s="34">
        <f t="shared" si="12"/>
      </c>
      <c r="K166" s="1"/>
      <c r="L166" s="1"/>
      <c r="M166" s="1"/>
    </row>
    <row r="167" ht="15" customHeight="1">
      <c r="A167" s="1"/>
      <c r="B167" s="1" t="s">
        <v>107</v>
      </c>
      <c r="C167" s="33"/>
      <c r="D167" s="33">
        <f t="shared" si="13"/>
      </c>
      <c r="E167" s="33">
        <f t="shared" si="13"/>
      </c>
      <c r="F167" s="33">
        <f t="shared" si="13"/>
      </c>
      <c r="G167" s="33"/>
      <c r="H167" s="33">
        <f t="shared" si="16"/>
      </c>
      <c r="I167" s="33">
        <f t="shared" si="13"/>
        <v>-348.21237422393403</v>
      </c>
      <c r="J167" s="34">
        <f t="shared" si="13"/>
        <v>-29.62962962962945</v>
      </c>
      <c r="K167" s="1"/>
      <c r="L167" s="1"/>
      <c r="M167" s="1"/>
    </row>
    <row r="168" ht="15" customHeight="1">
      <c r="A168" s="1"/>
      <c r="B168" s="4" t="s">
        <v>361</v>
      </c>
      <c r="C168" s="18">
        <f t="shared" si="45" ref="C168:I168">_xlfn.IFERROR(C20/C10,"")</f>
        <v>0.8801356954391255</v>
      </c>
      <c r="D168" s="18">
        <f t="shared" si="45"/>
        <v>0.9690358902181563</v>
      </c>
      <c r="E168" s="18">
        <f t="shared" si="45"/>
        <v>1.0625987986089156</v>
      </c>
      <c r="F168" s="18">
        <f t="shared" si="45"/>
        <v>1.1231428571428572</v>
      </c>
      <c r="G168" s="18">
        <f t="shared" si="45"/>
        <v>1.0183418325382465</v>
      </c>
      <c r="H168" s="18">
        <f t="shared" si="45"/>
        <v>1.0039779681762546</v>
      </c>
      <c r="I168" s="18">
        <f t="shared" si="45"/>
        <v>1.0596890616324264</v>
      </c>
      <c r="J168" s="52">
        <v>1.05</v>
      </c>
      <c r="K168" s="1" t="s">
        <v>362</v>
      </c>
      <c r="L168" s="1"/>
      <c r="M168" s="1"/>
    </row>
    <row r="169" ht="15" customHeight="1">
      <c r="A169" s="1"/>
      <c r="B169" s="1" t="s">
        <v>106</v>
      </c>
      <c r="C169" s="33"/>
      <c r="D169" s="33"/>
      <c r="E169" s="33"/>
      <c r="F169" s="33"/>
      <c r="G169" s="33"/>
      <c r="H169" s="33">
        <f t="shared" si="12"/>
        <v>1238.422727371291</v>
      </c>
      <c r="I169" s="33">
        <f t="shared" si="12"/>
        <v>906.5317141427009</v>
      </c>
      <c r="J169" s="34">
        <f t="shared" si="12"/>
        <v>-125.98798608915551</v>
      </c>
      <c r="K169" s="1"/>
      <c r="L169" s="1"/>
      <c r="M169" s="1"/>
    </row>
    <row r="170" ht="15" customHeight="1">
      <c r="A170" s="1"/>
      <c r="B170" s="1" t="s">
        <v>107</v>
      </c>
      <c r="C170" s="33"/>
      <c r="D170" s="33">
        <f t="shared" si="13"/>
        <v>889.0019477903077</v>
      </c>
      <c r="E170" s="33">
        <f t="shared" si="13"/>
        <v>935.6290839075931</v>
      </c>
      <c r="F170" s="33">
        <f t="shared" si="13"/>
        <v>605.4405853394162</v>
      </c>
      <c r="G170" s="33"/>
      <c r="H170" s="33">
        <f t="shared" si="16"/>
        <v>-1191.648889666026</v>
      </c>
      <c r="I170" s="33">
        <f t="shared" si="13"/>
        <v>557.1109345617176</v>
      </c>
      <c r="J170" s="34">
        <f t="shared" si="13"/>
        <v>-96.89061632426332</v>
      </c>
      <c r="K170" s="1"/>
      <c r="L170" s="1"/>
      <c r="M170" s="1"/>
    </row>
    <row r="171" ht="15" customHeight="1">
      <c r="A171" s="1"/>
      <c r="B171" s="4" t="s">
        <v>363</v>
      </c>
      <c r="C171" s="18">
        <f t="shared" si="46" ref="C171:I171">_xlfn.IFERROR(C40/C12,"")</f>
        <v>0.7505353319057816</v>
      </c>
      <c r="D171" s="18">
        <f t="shared" si="46"/>
        <v>0.8004587155963303</v>
      </c>
      <c r="E171" s="18">
        <f t="shared" si="46"/>
        <v>0.5714285714285714</v>
      </c>
      <c r="F171" s="18">
        <f t="shared" si="46"/>
        <v>0.6455399061032864</v>
      </c>
      <c r="G171" s="18">
        <f t="shared" si="46"/>
        <v>0.6931786017548826</v>
      </c>
      <c r="H171" s="18">
        <f t="shared" si="46"/>
        <v>0.8020565552699229</v>
      </c>
      <c r="I171" s="18">
        <f t="shared" si="46"/>
        <v>0.7328671328671329</v>
      </c>
      <c r="J171" s="52">
        <v>0.73</v>
      </c>
      <c r="K171" s="1" t="s">
        <v>364</v>
      </c>
      <c r="L171" s="1"/>
      <c r="M171" s="1"/>
    </row>
    <row r="172" ht="15" customHeight="1">
      <c r="A172" s="1"/>
      <c r="B172" s="1" t="s">
        <v>106</v>
      </c>
      <c r="C172" s="33"/>
      <c r="D172" s="33"/>
      <c r="E172" s="33"/>
      <c r="F172" s="33"/>
      <c r="G172" s="33"/>
      <c r="H172" s="33">
        <f t="shared" si="12"/>
        <v>515.2122336414134</v>
      </c>
      <c r="I172" s="33">
        <f t="shared" si="12"/>
        <v>-675.9158272919741</v>
      </c>
      <c r="J172" s="34">
        <f t="shared" si="12"/>
        <v>1585.7142857142858</v>
      </c>
      <c r="K172" s="1"/>
      <c r="L172" s="1"/>
      <c r="M172" s="1"/>
    </row>
    <row r="173" ht="15" customHeight="1">
      <c r="A173" s="1"/>
      <c r="B173" s="1" t="s">
        <v>107</v>
      </c>
      <c r="C173" s="33"/>
      <c r="D173" s="33">
        <f t="shared" si="13"/>
        <v>499.2338369054872</v>
      </c>
      <c r="E173" s="33">
        <f t="shared" si="13"/>
        <v>-2290.301441677589</v>
      </c>
      <c r="F173" s="33">
        <f t="shared" si="13"/>
        <v>741.1133467471498</v>
      </c>
      <c r="G173" s="33"/>
      <c r="H173" s="33">
        <f t="shared" si="16"/>
        <v>1565.1664916663653</v>
      </c>
      <c r="I173" s="33">
        <f t="shared" si="13"/>
        <v>-691.8942240279002</v>
      </c>
      <c r="J173" s="34">
        <f t="shared" si="13"/>
        <v>-28.671328671329157</v>
      </c>
      <c r="K173" s="1"/>
      <c r="L173" s="1"/>
      <c r="M173" s="1"/>
    </row>
    <row r="174" ht="15" customHeight="1">
      <c r="A174" s="1"/>
      <c r="B174" s="1" t="s">
        <v>365</v>
      </c>
      <c r="C174" s="17">
        <f t="shared" si="47" ref="C174:I174">C39-C83</f>
        <v>6</v>
      </c>
      <c r="D174" s="17">
        <f t="shared" si="47"/>
        <v>6</v>
      </c>
      <c r="E174" s="17">
        <f t="shared" si="47"/>
        <v>6</v>
      </c>
      <c r="F174" s="17">
        <f t="shared" si="47"/>
        <v>9</v>
      </c>
      <c r="G174" s="17">
        <f t="shared" si="47"/>
        <v>27</v>
      </c>
      <c r="H174" s="17">
        <f t="shared" si="47"/>
        <v>5</v>
      </c>
      <c r="I174" s="17">
        <f t="shared" si="47"/>
        <v>7</v>
      </c>
      <c r="J174" s="36">
        <v>7</v>
      </c>
      <c r="K174" s="1" t="s">
        <v>366</v>
      </c>
      <c r="L174" s="1"/>
      <c r="M174" s="1"/>
    </row>
    <row r="175" ht="15" customHeight="1">
      <c r="A175" s="1"/>
      <c r="B175" s="1" t="s">
        <v>112</v>
      </c>
      <c r="C175" s="17"/>
      <c r="D175" s="17"/>
      <c r="E175" s="17"/>
      <c r="F175" s="17"/>
      <c r="G175" s="17"/>
      <c r="H175" s="17">
        <f t="shared" si="4"/>
        <v>-1</v>
      </c>
      <c r="I175" s="17">
        <f t="shared" si="4"/>
        <v>1</v>
      </c>
      <c r="J175" s="37">
        <f t="shared" si="4"/>
        <v>1</v>
      </c>
      <c r="K175" s="1"/>
      <c r="L175" s="1"/>
      <c r="M175" s="1"/>
    </row>
    <row r="176" ht="15" customHeight="1">
      <c r="A176" s="1"/>
      <c r="B176" s="1" t="s">
        <v>113</v>
      </c>
      <c r="C176" s="17"/>
      <c r="D176" s="17">
        <f t="shared" si="5"/>
        <v>0</v>
      </c>
      <c r="E176" s="17">
        <f t="shared" si="5"/>
        <v>0</v>
      </c>
      <c r="F176" s="17">
        <f t="shared" si="5"/>
        <v>3</v>
      </c>
      <c r="G176" s="17"/>
      <c r="H176" s="17">
        <f t="shared" si="14"/>
        <v>-4</v>
      </c>
      <c r="I176" s="17">
        <f t="shared" si="5"/>
        <v>2</v>
      </c>
      <c r="J176" s="37">
        <f t="shared" si="5"/>
        <v>0</v>
      </c>
      <c r="K176" s="1"/>
      <c r="L176" s="1"/>
      <c r="M176" s="1"/>
    </row>
    <row r="177" ht="15" customHeight="1">
      <c r="A177" s="1"/>
      <c r="B177" s="1" t="s">
        <v>367</v>
      </c>
      <c r="C177" s="35">
        <v>337</v>
      </c>
      <c r="D177" s="35">
        <v>347</v>
      </c>
      <c r="E177" s="35">
        <v>322</v>
      </c>
      <c r="F177" s="35">
        <v>333</v>
      </c>
      <c r="G177" s="17">
        <f t="shared" si="3"/>
        <v>1339</v>
      </c>
      <c r="H177" s="35">
        <v>325</v>
      </c>
      <c r="I177" s="35">
        <v>314</v>
      </c>
      <c r="J177" s="36">
        <v>320</v>
      </c>
      <c r="K177" s="1"/>
      <c r="L177" s="1"/>
      <c r="M177" s="1"/>
    </row>
    <row r="178" ht="15" customHeight="1">
      <c r="A178" s="1"/>
      <c r="B178" s="1" t="s">
        <v>112</v>
      </c>
      <c r="C178" s="17"/>
      <c r="D178" s="17"/>
      <c r="E178" s="17"/>
      <c r="F178" s="17"/>
      <c r="G178" s="17"/>
      <c r="H178" s="17">
        <f t="shared" si="4"/>
        <v>-12</v>
      </c>
      <c r="I178" s="17">
        <f t="shared" si="4"/>
        <v>-33</v>
      </c>
      <c r="J178" s="37">
        <f t="shared" si="4"/>
        <v>-2</v>
      </c>
      <c r="K178" s="1"/>
      <c r="L178" s="1"/>
      <c r="M178" s="1"/>
    </row>
    <row r="179" ht="15" customHeight="1">
      <c r="A179" s="1"/>
      <c r="B179" s="1" t="s">
        <v>113</v>
      </c>
      <c r="C179" s="17"/>
      <c r="D179" s="17">
        <f t="shared" si="5"/>
        <v>10</v>
      </c>
      <c r="E179" s="17">
        <f t="shared" si="5"/>
        <v>-25</v>
      </c>
      <c r="F179" s="17">
        <f t="shared" si="5"/>
        <v>11</v>
      </c>
      <c r="G179" s="17"/>
      <c r="H179" s="17">
        <f t="shared" si="14"/>
        <v>-8</v>
      </c>
      <c r="I179" s="17">
        <f t="shared" si="5"/>
        <v>-11</v>
      </c>
      <c r="J179" s="37">
        <f t="shared" si="5"/>
        <v>6</v>
      </c>
      <c r="K179" s="1"/>
      <c r="L179" s="1"/>
      <c r="M179" s="1"/>
    </row>
    <row r="180" ht="15" customHeight="1">
      <c r="A180" s="1"/>
      <c r="B180" s="1" t="s">
        <v>368</v>
      </c>
      <c r="C180" s="35">
        <v>-42</v>
      </c>
      <c r="D180" s="35">
        <v>-53</v>
      </c>
      <c r="E180" s="35">
        <v>-48</v>
      </c>
      <c r="F180" s="35">
        <v>-27</v>
      </c>
      <c r="G180" s="17">
        <f t="shared" si="3"/>
        <v>-170</v>
      </c>
      <c r="H180" s="35">
        <v>-55</v>
      </c>
      <c r="I180" s="35">
        <v>-66</v>
      </c>
      <c r="J180" s="36">
        <v>-60</v>
      </c>
      <c r="K180" s="1"/>
      <c r="L180" s="1"/>
      <c r="M180" s="1"/>
    </row>
    <row r="181" ht="15" customHeight="1">
      <c r="A181" s="1"/>
      <c r="B181" s="1" t="s">
        <v>112</v>
      </c>
      <c r="C181" s="17"/>
      <c r="D181" s="17"/>
      <c r="E181" s="17"/>
      <c r="F181" s="17"/>
      <c r="G181" s="17"/>
      <c r="H181" s="17">
        <f t="shared" si="4"/>
        <v>-13</v>
      </c>
      <c r="I181" s="17">
        <f t="shared" si="4"/>
        <v>-13</v>
      </c>
      <c r="J181" s="37">
        <f t="shared" si="4"/>
        <v>-12</v>
      </c>
      <c r="K181" s="1"/>
      <c r="L181" s="1"/>
      <c r="M181" s="1"/>
    </row>
    <row r="182" ht="15" customHeight="1">
      <c r="A182" s="1"/>
      <c r="B182" s="1" t="s">
        <v>113</v>
      </c>
      <c r="C182" s="17"/>
      <c r="D182" s="17">
        <f t="shared" si="5"/>
        <v>-11</v>
      </c>
      <c r="E182" s="17">
        <f t="shared" si="5"/>
        <v>5</v>
      </c>
      <c r="F182" s="17">
        <f t="shared" si="5"/>
        <v>21</v>
      </c>
      <c r="G182" s="17"/>
      <c r="H182" s="17">
        <f t="shared" si="14"/>
        <v>-28</v>
      </c>
      <c r="I182" s="17">
        <f t="shared" si="5"/>
        <v>-11</v>
      </c>
      <c r="J182" s="37">
        <f t="shared" si="5"/>
        <v>6</v>
      </c>
      <c r="K182" s="1"/>
      <c r="L182" s="1"/>
      <c r="M182" s="1"/>
    </row>
    <row r="183" ht="15" customHeight="1">
      <c r="A183" s="1"/>
      <c r="B183" s="4" t="s">
        <v>369</v>
      </c>
      <c r="C183" s="18">
        <f t="shared" si="48" ref="C183:I183">_xlfn.IFERROR(-C128/C125,"")</f>
        <v>0.208955223880597</v>
      </c>
      <c r="D183" s="18">
        <f t="shared" si="48"/>
        <v>0.20812182741116753</v>
      </c>
      <c r="E183" s="18">
        <f t="shared" si="48"/>
        <v>0.21212121212121213</v>
      </c>
      <c r="F183" s="18">
        <f t="shared" si="48"/>
        <v>0.20833333333333334</v>
      </c>
      <c r="G183" s="18">
        <f t="shared" si="48"/>
        <v>0.20939086294416243</v>
      </c>
      <c r="H183" s="18">
        <f t="shared" si="48"/>
        <v>0.21022727272727273</v>
      </c>
      <c r="I183" s="18">
        <f t="shared" si="48"/>
        <v>0.20903954802259886</v>
      </c>
      <c r="J183" s="52">
        <v>0.21</v>
      </c>
      <c r="K183" s="1" t="s">
        <v>370</v>
      </c>
      <c r="L183" s="1"/>
      <c r="M183" s="1"/>
    </row>
    <row r="184" ht="15" customHeight="1">
      <c r="A184" s="1"/>
      <c r="B184" s="1" t="s">
        <v>106</v>
      </c>
      <c r="C184" s="33"/>
      <c r="D184" s="33"/>
      <c r="E184" s="33"/>
      <c r="F184" s="33"/>
      <c r="G184" s="33"/>
      <c r="H184" s="33">
        <f t="shared" si="12"/>
        <v>12.720488466757274</v>
      </c>
      <c r="I184" s="33">
        <f t="shared" si="12"/>
        <v>9.17720611431333</v>
      </c>
      <c r="J184" s="34">
        <f t="shared" si="12"/>
        <v>-21.21212121212135</v>
      </c>
      <c r="K184" s="1"/>
      <c r="L184" s="1"/>
      <c r="M184" s="1"/>
    </row>
    <row r="185" ht="15" customHeight="1">
      <c r="A185" s="1"/>
      <c r="B185" s="1" t="s">
        <v>107</v>
      </c>
      <c r="C185" s="33"/>
      <c r="D185" s="33">
        <f t="shared" si="13"/>
        <v>-8.333964694294815</v>
      </c>
      <c r="E185" s="33">
        <f t="shared" si="13"/>
        <v>39.99384710044601</v>
      </c>
      <c r="F185" s="33">
        <f t="shared" si="13"/>
        <v>-37.87878787878785</v>
      </c>
      <c r="G185" s="33"/>
      <c r="H185" s="33">
        <f t="shared" si="16"/>
        <v>18.939393939393923</v>
      </c>
      <c r="I185" s="33">
        <f t="shared" si="13"/>
        <v>-11.87724704673876</v>
      </c>
      <c r="J185" s="34">
        <f t="shared" si="13"/>
        <v>9.604519774011333</v>
      </c>
      <c r="K185" s="1"/>
      <c r="L185" s="1"/>
      <c r="M185" s="1"/>
    </row>
    <row r="186" ht="1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ht="1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ht="1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392E30E-FD78-4378-F11E-1420AC62813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46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371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52</v>
      </c>
      <c r="C5" s="6" t="s">
        <v>53</v>
      </c>
      <c r="D5" s="6" t="s">
        <v>54</v>
      </c>
      <c r="E5" s="6" t="s">
        <v>55</v>
      </c>
      <c r="F5" s="6" t="s">
        <v>56</v>
      </c>
      <c r="G5" s="6" t="s">
        <v>57</v>
      </c>
      <c r="H5" s="6" t="s">
        <v>58</v>
      </c>
      <c r="I5" s="6" t="s">
        <v>59</v>
      </c>
      <c r="J5" s="26" t="s">
        <v>60</v>
      </c>
      <c r="K5" s="5" t="s">
        <v>3</v>
      </c>
      <c r="L5" s="1"/>
      <c r="M5" s="1"/>
    </row>
    <row r="6" ht="15" customHeight="1">
      <c r="A6" s="1"/>
      <c r="B6" s="8" t="s">
        <v>61</v>
      </c>
      <c r="C6" s="9">
        <f>DATE(2025,3,31)</f>
        <v>45747</v>
      </c>
      <c r="D6" s="9">
        <f>DATE(2025,6,30)</f>
        <v>45838</v>
      </c>
      <c r="E6" s="9">
        <f>DATE(2025,9,30)</f>
        <v>45930</v>
      </c>
      <c r="F6" s="9">
        <f t="shared" si="0" ref="F6:G6">DATE(2025,12,31)</f>
        <v>46022</v>
      </c>
      <c r="G6" s="9">
        <f t="shared" si="0"/>
        <v>46022</v>
      </c>
      <c r="H6" s="9">
        <f>DATE(2026,3,31)</f>
        <v>46112</v>
      </c>
      <c r="I6" s="9">
        <f>DATE(2026,6,30)</f>
        <v>46203</v>
      </c>
      <c r="J6" s="9">
        <f>DATE(2026,9,30)</f>
        <v>46295</v>
      </c>
      <c r="K6" s="8"/>
      <c r="L6" s="1"/>
      <c r="M6" s="1"/>
    </row>
    <row r="7" ht="15" customHeight="1">
      <c r="A7" s="1"/>
      <c r="B7" s="10" t="s">
        <v>62</v>
      </c>
      <c r="C7" s="11">
        <f t="shared" si="2" ref="C7:G7">C6-DATE(2024,12,31)</f>
        <v>90</v>
      </c>
      <c r="D7" s="11">
        <f t="shared" si="1" ref="D7:J7">D6-C6</f>
        <v>91</v>
      </c>
      <c r="E7" s="11">
        <f t="shared" si="1"/>
        <v>92</v>
      </c>
      <c r="F7" s="11">
        <f t="shared" si="1"/>
        <v>92</v>
      </c>
      <c r="G7" s="11">
        <f t="shared" si="2"/>
        <v>365</v>
      </c>
      <c r="H7" s="11">
        <f>H6-F6</f>
        <v>90</v>
      </c>
      <c r="I7" s="11">
        <f t="shared" si="1"/>
        <v>91</v>
      </c>
      <c r="J7" s="11">
        <f t="shared" si="1"/>
        <v>92</v>
      </c>
      <c r="K7" s="10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27"/>
      <c r="K8" s="1"/>
      <c r="L8" s="1"/>
      <c r="M8" s="1"/>
    </row>
    <row r="9" ht="15" customHeight="1">
      <c r="A9" s="1"/>
      <c r="B9" s="28" t="s">
        <v>372</v>
      </c>
      <c r="C9" s="29"/>
      <c r="D9" s="29"/>
      <c r="E9" s="29"/>
      <c r="F9" s="29"/>
      <c r="G9" s="29"/>
      <c r="H9" s="29"/>
      <c r="I9" s="29"/>
      <c r="J9" s="30"/>
      <c r="K9" s="29"/>
      <c r="L9" s="1"/>
      <c r="M9" s="1"/>
    </row>
    <row r="10" ht="15" customHeight="1">
      <c r="A10" s="1"/>
      <c r="B10" s="1" t="s">
        <v>373</v>
      </c>
      <c r="C10" s="35">
        <v>12405</v>
      </c>
      <c r="D10" s="35">
        <v>10861</v>
      </c>
      <c r="E10" s="35">
        <v>12501</v>
      </c>
      <c r="F10" s="35">
        <v>12392</v>
      </c>
      <c r="G10" s="17">
        <f t="shared" si="3" ref="G10:J54">F10</f>
        <v>12392</v>
      </c>
      <c r="H10" s="35">
        <v>10981</v>
      </c>
      <c r="I10" s="35">
        <v>9345</v>
      </c>
      <c r="J10" s="31">
        <f>I10+'Cash Flow Statement'!J86</f>
        <v>9363.091321314243</v>
      </c>
      <c r="K10" s="1" t="s">
        <v>374</v>
      </c>
      <c r="L10" s="1"/>
      <c r="M10" s="1"/>
    </row>
    <row r="11" ht="15" customHeight="1">
      <c r="A11" s="1"/>
      <c r="B11" s="1" t="s">
        <v>375</v>
      </c>
      <c r="C11" s="35">
        <v>1000</v>
      </c>
      <c r="D11" s="35">
        <v>998</v>
      </c>
      <c r="E11" s="35">
        <v>1008</v>
      </c>
      <c r="F11" s="35">
        <v>0</v>
      </c>
      <c r="G11" s="17">
        <f t="shared" si="3"/>
        <v>0</v>
      </c>
      <c r="H11" s="35">
        <v>0</v>
      </c>
      <c r="I11" s="35">
        <v>0</v>
      </c>
      <c r="J11" s="37">
        <f t="shared" si="3"/>
        <v>0</v>
      </c>
      <c r="K11" s="1"/>
      <c r="L11" s="1"/>
      <c r="M11" s="1"/>
    </row>
    <row r="12" ht="15" customHeight="1">
      <c r="A12" s="1"/>
      <c r="B12" s="1" t="s">
        <v>376</v>
      </c>
      <c r="C12" s="35">
        <v>9653</v>
      </c>
      <c r="D12" s="35">
        <v>10512</v>
      </c>
      <c r="E12" s="35">
        <v>10671</v>
      </c>
      <c r="F12" s="35">
        <v>11773</v>
      </c>
      <c r="G12" s="17">
        <f t="shared" si="3"/>
        <v>11773</v>
      </c>
      <c r="H12" s="35">
        <v>12466</v>
      </c>
      <c r="I12" s="35">
        <v>12360</v>
      </c>
      <c r="J12" s="37">
        <f t="shared" si="3"/>
        <v>12360</v>
      </c>
      <c r="K12" s="1"/>
      <c r="L12" s="1"/>
      <c r="M12" s="1"/>
    </row>
    <row r="13" ht="15" customHeight="1">
      <c r="A13" s="1"/>
      <c r="B13" s="1" t="s">
        <v>377</v>
      </c>
      <c r="C13" s="35">
        <v>10504</v>
      </c>
      <c r="D13" s="35">
        <v>11297</v>
      </c>
      <c r="E13" s="35">
        <v>11667</v>
      </c>
      <c r="F13" s="35">
        <v>11868</v>
      </c>
      <c r="G13" s="17">
        <f t="shared" si="3"/>
        <v>11868</v>
      </c>
      <c r="H13" s="35">
        <v>12367</v>
      </c>
      <c r="I13" s="35">
        <v>12440</v>
      </c>
      <c r="J13" s="37">
        <f t="shared" si="3"/>
        <v>12440</v>
      </c>
      <c r="K13" s="1" t="s">
        <v>378</v>
      </c>
      <c r="L13" s="1"/>
      <c r="M13" s="1"/>
    </row>
    <row r="14" ht="15" customHeight="1">
      <c r="A14" s="1"/>
      <c r="B14" s="1" t="s">
        <v>379</v>
      </c>
      <c r="C14" s="35">
        <v>2940</v>
      </c>
      <c r="D14" s="35">
        <v>3059</v>
      </c>
      <c r="E14" s="35">
        <v>3111</v>
      </c>
      <c r="F14" s="35">
        <v>3511</v>
      </c>
      <c r="G14" s="17">
        <f t="shared" si="3"/>
        <v>3511</v>
      </c>
      <c r="H14" s="35">
        <v>3439</v>
      </c>
      <c r="I14" s="35">
        <v>3473</v>
      </c>
      <c r="J14" s="37">
        <f t="shared" si="3"/>
        <v>3473</v>
      </c>
      <c r="K14" s="1"/>
      <c r="L14" s="1"/>
      <c r="M14" s="1"/>
    </row>
    <row r="15" ht="15" customHeight="1">
      <c r="A15" s="1"/>
      <c r="B15" s="1" t="s">
        <v>380</v>
      </c>
      <c r="C15" s="35">
        <v>1073</v>
      </c>
      <c r="D15" s="35">
        <v>1073</v>
      </c>
      <c r="E15" s="35">
        <v>1116</v>
      </c>
      <c r="F15" s="35">
        <v>1052</v>
      </c>
      <c r="G15" s="17">
        <f t="shared" si="3"/>
        <v>1052</v>
      </c>
      <c r="H15" s="35">
        <v>1107</v>
      </c>
      <c r="I15" s="35">
        <v>2078</v>
      </c>
      <c r="J15" s="37">
        <f t="shared" si="3"/>
        <v>2078</v>
      </c>
      <c r="K15" s="1"/>
      <c r="L15" s="1"/>
      <c r="M15" s="1"/>
    </row>
    <row r="16" ht="15" customHeight="1">
      <c r="A16" s="1"/>
      <c r="B16" s="3" t="s">
        <v>381</v>
      </c>
      <c r="C16" s="38">
        <f t="shared" si="4" ref="C16:J33">SUM(C10:C15)</f>
        <v>37575</v>
      </c>
      <c r="D16" s="38">
        <f t="shared" si="4"/>
        <v>37800</v>
      </c>
      <c r="E16" s="38">
        <f t="shared" si="4"/>
        <v>40074</v>
      </c>
      <c r="F16" s="38">
        <f t="shared" si="4"/>
        <v>40596</v>
      </c>
      <c r="G16" s="38">
        <f t="shared" si="4"/>
        <v>40596</v>
      </c>
      <c r="H16" s="38">
        <f t="shared" si="4"/>
        <v>40360</v>
      </c>
      <c r="I16" s="38">
        <f t="shared" si="4"/>
        <v>39696</v>
      </c>
      <c r="J16" s="39">
        <f t="shared" si="4"/>
        <v>39714.09132131424</v>
      </c>
      <c r="K16" s="1"/>
      <c r="L16" s="1"/>
      <c r="M16" s="1"/>
    </row>
    <row r="17" ht="15" customHeight="1">
      <c r="A17" s="1"/>
      <c r="B17" s="1" t="s">
        <v>382</v>
      </c>
      <c r="C17" s="35">
        <v>38010</v>
      </c>
      <c r="D17" s="35">
        <v>37887</v>
      </c>
      <c r="E17" s="35">
        <v>38158</v>
      </c>
      <c r="F17" s="35">
        <v>38788</v>
      </c>
      <c r="G17" s="17">
        <f t="shared" si="3"/>
        <v>38788</v>
      </c>
      <c r="H17" s="35">
        <v>38193</v>
      </c>
      <c r="I17" s="35">
        <v>37910</v>
      </c>
      <c r="J17" s="37">
        <f t="shared" si="3"/>
        <v>37910</v>
      </c>
      <c r="K17" s="1"/>
      <c r="L17" s="1"/>
      <c r="M17" s="1"/>
    </row>
    <row r="18" ht="15" customHeight="1">
      <c r="A18" s="1"/>
      <c r="B18" s="1" t="s">
        <v>383</v>
      </c>
      <c r="C18" s="35">
        <v>7426</v>
      </c>
      <c r="D18" s="35">
        <v>7523</v>
      </c>
      <c r="E18" s="35">
        <v>7608</v>
      </c>
      <c r="F18" s="35">
        <v>7987</v>
      </c>
      <c r="G18" s="17">
        <f t="shared" si="3"/>
        <v>7987</v>
      </c>
      <c r="H18" s="35">
        <v>7973</v>
      </c>
      <c r="I18" s="35">
        <v>8135</v>
      </c>
      <c r="J18" s="31">
        <f>I18-'Cash Flow Statement'!J52-'Cash Flow Statement'!J55-'Cash Flow Statement'!J13</f>
        <v>8220</v>
      </c>
      <c r="K18" s="1" t="s">
        <v>384</v>
      </c>
      <c r="L18" s="1"/>
      <c r="M18" s="1"/>
    </row>
    <row r="19" ht="15" customHeight="1">
      <c r="A19" s="1"/>
      <c r="B19" s="1" t="s">
        <v>385</v>
      </c>
      <c r="C19" s="35">
        <v>8696</v>
      </c>
      <c r="D19" s="35">
        <v>9006</v>
      </c>
      <c r="E19" s="35">
        <v>9041</v>
      </c>
      <c r="F19" s="35">
        <v>9060</v>
      </c>
      <c r="G19" s="17">
        <f t="shared" si="3"/>
        <v>9060</v>
      </c>
      <c r="H19" s="35">
        <v>9003</v>
      </c>
      <c r="I19" s="35">
        <v>8954</v>
      </c>
      <c r="J19" s="37">
        <f t="shared" si="3"/>
        <v>8954</v>
      </c>
      <c r="K19" s="1"/>
      <c r="L19" s="1"/>
      <c r="M19" s="1"/>
    </row>
    <row r="20" ht="15" customHeight="1">
      <c r="A20" s="1"/>
      <c r="B20" s="1" t="s">
        <v>386</v>
      </c>
      <c r="C20" s="35">
        <v>4277</v>
      </c>
      <c r="D20" s="35">
        <v>4336</v>
      </c>
      <c r="E20" s="35">
        <v>4283</v>
      </c>
      <c r="F20" s="35">
        <v>4225</v>
      </c>
      <c r="G20" s="17">
        <f t="shared" si="3"/>
        <v>4225</v>
      </c>
      <c r="H20" s="35">
        <v>4151</v>
      </c>
      <c r="I20" s="35">
        <v>4085</v>
      </c>
      <c r="J20" s="31">
        <f>I20-'Cash Flow Statement'!J16</f>
        <v>3997</v>
      </c>
      <c r="K20" s="1" t="s">
        <v>387</v>
      </c>
      <c r="L20" s="1"/>
      <c r="M20" s="1"/>
    </row>
    <row r="21" ht="15" customHeight="1">
      <c r="A21" s="1"/>
      <c r="B21" s="1" t="s">
        <v>388</v>
      </c>
      <c r="C21" s="35">
        <v>4835</v>
      </c>
      <c r="D21" s="35">
        <v>4803</v>
      </c>
      <c r="E21" s="35">
        <v>4720</v>
      </c>
      <c r="F21" s="35">
        <v>4920</v>
      </c>
      <c r="G21" s="17">
        <f t="shared" si="3"/>
        <v>4920</v>
      </c>
      <c r="H21" s="35">
        <v>4966</v>
      </c>
      <c r="I21" s="35">
        <v>4976</v>
      </c>
      <c r="J21" s="37">
        <f t="shared" si="3"/>
        <v>4976</v>
      </c>
      <c r="K21" s="1"/>
      <c r="L21" s="1"/>
      <c r="M21" s="1"/>
    </row>
    <row r="22" ht="15" customHeight="1">
      <c r="A22" s="1"/>
      <c r="B22" s="1" t="s">
        <v>389</v>
      </c>
      <c r="C22" s="35">
        <v>14453</v>
      </c>
      <c r="D22" s="35">
        <v>15002</v>
      </c>
      <c r="E22" s="35">
        <v>15558</v>
      </c>
      <c r="F22" s="35">
        <v>15277</v>
      </c>
      <c r="G22" s="17">
        <f t="shared" si="3"/>
        <v>15277</v>
      </c>
      <c r="H22" s="35">
        <v>15159</v>
      </c>
      <c r="I22" s="35">
        <v>15469</v>
      </c>
      <c r="J22" s="31">
        <f>I22-'Cash Flow Statement'!J19</f>
        <v>15669</v>
      </c>
      <c r="K22" s="1" t="s">
        <v>390</v>
      </c>
      <c r="L22" s="1"/>
      <c r="M22" s="1"/>
    </row>
    <row r="23" ht="15" customHeight="1">
      <c r="A23" s="1"/>
      <c r="B23" s="1" t="s">
        <v>391</v>
      </c>
      <c r="C23" s="35">
        <v>6956</v>
      </c>
      <c r="D23" s="35">
        <v>6890</v>
      </c>
      <c r="E23" s="35">
        <v>6845</v>
      </c>
      <c r="F23" s="35">
        <v>7459</v>
      </c>
      <c r="G23" s="17">
        <f t="shared" si="3"/>
        <v>7459</v>
      </c>
      <c r="H23" s="35">
        <v>6973</v>
      </c>
      <c r="I23" s="35">
        <v>6929</v>
      </c>
      <c r="J23" s="37">
        <f t="shared" si="3"/>
        <v>6929</v>
      </c>
      <c r="K23" s="1"/>
      <c r="L23" s="1"/>
      <c r="M23" s="1"/>
    </row>
    <row r="24" ht="15" customHeight="1">
      <c r="A24" s="1"/>
      <c r="B24" s="1" t="s">
        <v>392</v>
      </c>
      <c r="C24" s="35">
        <v>1895</v>
      </c>
      <c r="D24" s="35">
        <v>2007</v>
      </c>
      <c r="E24" s="35">
        <v>1957</v>
      </c>
      <c r="F24" s="35">
        <v>1855</v>
      </c>
      <c r="G24" s="17">
        <f t="shared" si="3"/>
        <v>1855</v>
      </c>
      <c r="H24" s="35">
        <v>1666</v>
      </c>
      <c r="I24" s="35">
        <v>1517</v>
      </c>
      <c r="J24" s="37">
        <f t="shared" si="3"/>
        <v>1517</v>
      </c>
      <c r="K24" s="1"/>
      <c r="L24" s="1"/>
      <c r="M24" s="1"/>
    </row>
    <row r="25" ht="15" customHeight="1">
      <c r="A25" s="1"/>
      <c r="B25" s="3" t="s">
        <v>393</v>
      </c>
      <c r="C25" s="38">
        <f t="shared" si="5" ref="C25:J25">C16+SUM(C17:C24)</f>
        <v>124123</v>
      </c>
      <c r="D25" s="38">
        <f t="shared" si="5"/>
        <v>125254</v>
      </c>
      <c r="E25" s="38">
        <f t="shared" si="5"/>
        <v>128244</v>
      </c>
      <c r="F25" s="38">
        <f t="shared" si="5"/>
        <v>130167</v>
      </c>
      <c r="G25" s="38">
        <f t="shared" si="5"/>
        <v>130167</v>
      </c>
      <c r="H25" s="38">
        <f t="shared" si="5"/>
        <v>128444</v>
      </c>
      <c r="I25" s="38">
        <f t="shared" si="5"/>
        <v>127671</v>
      </c>
      <c r="J25" s="39">
        <f t="shared" si="5"/>
        <v>127886.09132131425</v>
      </c>
      <c r="K25" s="1"/>
      <c r="L25" s="1"/>
      <c r="M25" s="1"/>
    </row>
    <row r="26" ht="15" customHeight="1">
      <c r="A26" s="1"/>
      <c r="B26" s="28" t="s">
        <v>394</v>
      </c>
      <c r="C26" s="29"/>
      <c r="D26" s="29"/>
      <c r="E26" s="29"/>
      <c r="F26" s="29"/>
      <c r="G26" s="29"/>
      <c r="H26" s="29"/>
      <c r="I26" s="29"/>
      <c r="J26" s="30"/>
      <c r="K26" s="29"/>
      <c r="L26" s="1"/>
      <c r="M26" s="1"/>
    </row>
    <row r="27" ht="15" customHeight="1">
      <c r="A27" s="1"/>
      <c r="B27" s="1" t="s">
        <v>395</v>
      </c>
      <c r="C27" s="35">
        <v>2084</v>
      </c>
      <c r="D27" s="35">
        <v>1889</v>
      </c>
      <c r="E27" s="35">
        <v>2067</v>
      </c>
      <c r="F27" s="35">
        <v>1686</v>
      </c>
      <c r="G27" s="17">
        <f t="shared" si="3"/>
        <v>1686</v>
      </c>
      <c r="H27" s="35">
        <v>2103</v>
      </c>
      <c r="I27" s="35">
        <v>2000</v>
      </c>
      <c r="J27" s="37">
        <f t="shared" si="3"/>
        <v>2000</v>
      </c>
      <c r="K27" s="1"/>
      <c r="L27" s="1"/>
      <c r="M27" s="1"/>
    </row>
    <row r="28" ht="15" customHeight="1">
      <c r="A28" s="1"/>
      <c r="B28" s="1" t="s">
        <v>396</v>
      </c>
      <c r="C28" s="35">
        <v>8625</v>
      </c>
      <c r="D28" s="35">
        <v>9495</v>
      </c>
      <c r="E28" s="35">
        <v>9485</v>
      </c>
      <c r="F28" s="35">
        <v>10078</v>
      </c>
      <c r="G28" s="17">
        <f t="shared" si="3"/>
        <v>10078</v>
      </c>
      <c r="H28" s="35">
        <v>10683</v>
      </c>
      <c r="I28" s="35">
        <v>10822</v>
      </c>
      <c r="J28" s="37">
        <f t="shared" si="3"/>
        <v>10822</v>
      </c>
      <c r="K28" s="1"/>
      <c r="L28" s="1"/>
      <c r="M28" s="1"/>
    </row>
    <row r="29" ht="15" customHeight="1">
      <c r="A29" s="1"/>
      <c r="B29" s="1" t="s">
        <v>397</v>
      </c>
      <c r="C29" s="35">
        <v>6842</v>
      </c>
      <c r="D29" s="35">
        <v>7026</v>
      </c>
      <c r="E29" s="35">
        <v>6982</v>
      </c>
      <c r="F29" s="35">
        <v>7662</v>
      </c>
      <c r="G29" s="17">
        <f t="shared" si="3"/>
        <v>7662</v>
      </c>
      <c r="H29" s="35">
        <v>7721</v>
      </c>
      <c r="I29" s="35">
        <v>7937</v>
      </c>
      <c r="J29" s="37">
        <f t="shared" si="3"/>
        <v>7937</v>
      </c>
      <c r="K29" s="1"/>
      <c r="L29" s="1"/>
      <c r="M29" s="1"/>
    </row>
    <row r="30" ht="15" customHeight="1">
      <c r="A30" s="1"/>
      <c r="B30" s="1" t="s">
        <v>398</v>
      </c>
      <c r="C30" s="35">
        <v>9624</v>
      </c>
      <c r="D30" s="35">
        <v>9738</v>
      </c>
      <c r="E30" s="35">
        <v>9852</v>
      </c>
      <c r="F30" s="35">
        <v>10333</v>
      </c>
      <c r="G30" s="17">
        <f t="shared" si="3"/>
        <v>10333</v>
      </c>
      <c r="H30" s="35">
        <v>10204</v>
      </c>
      <c r="I30" s="35">
        <v>10159</v>
      </c>
      <c r="J30" s="37">
        <f t="shared" si="3"/>
        <v>10159</v>
      </c>
      <c r="K30" s="1" t="s">
        <v>399</v>
      </c>
      <c r="L30" s="1"/>
      <c r="M30" s="1"/>
    </row>
    <row r="31" ht="15" customHeight="1">
      <c r="A31" s="1"/>
      <c r="B31" s="1" t="s">
        <v>400</v>
      </c>
      <c r="C31" s="35">
        <v>3555</v>
      </c>
      <c r="D31" s="35">
        <v>3923</v>
      </c>
      <c r="E31" s="35">
        <v>4029</v>
      </c>
      <c r="F31" s="35">
        <v>4037</v>
      </c>
      <c r="G31" s="17">
        <f t="shared" si="3"/>
        <v>4037</v>
      </c>
      <c r="H31" s="35">
        <v>5037</v>
      </c>
      <c r="I31" s="35">
        <v>4993</v>
      </c>
      <c r="J31" s="37">
        <f t="shared" si="3"/>
        <v>4993</v>
      </c>
      <c r="K31" s="1"/>
      <c r="L31" s="1"/>
      <c r="M31" s="1"/>
    </row>
    <row r="32" ht="15" customHeight="1">
      <c r="A32" s="1"/>
      <c r="B32" s="1" t="s">
        <v>401</v>
      </c>
      <c r="C32" s="35">
        <v>4211</v>
      </c>
      <c r="D32" s="35">
        <v>4395</v>
      </c>
      <c r="E32" s="35">
        <v>4788</v>
      </c>
      <c r="F32" s="35">
        <v>5185</v>
      </c>
      <c r="G32" s="17">
        <f t="shared" si="3"/>
        <v>5185</v>
      </c>
      <c r="H32" s="35">
        <v>4280</v>
      </c>
      <c r="I32" s="35">
        <v>4518</v>
      </c>
      <c r="J32" s="31">
        <f>I32+'Cash Flow Statement'!J44+'Cash Flow Statement'!J31+'Cash Flow Statement'!J34</f>
        <v>4884.39974528</v>
      </c>
      <c r="K32" s="1" t="s">
        <v>402</v>
      </c>
      <c r="L32" s="1"/>
      <c r="M32" s="1"/>
    </row>
    <row r="33" ht="15" customHeight="1">
      <c r="A33" s="1"/>
      <c r="B33" s="3" t="s">
        <v>403</v>
      </c>
      <c r="C33" s="38">
        <f t="shared" si="4"/>
        <v>34941</v>
      </c>
      <c r="D33" s="38">
        <f t="shared" si="4"/>
        <v>36466</v>
      </c>
      <c r="E33" s="38">
        <f t="shared" si="4"/>
        <v>37203</v>
      </c>
      <c r="F33" s="38">
        <f t="shared" si="4"/>
        <v>38981</v>
      </c>
      <c r="G33" s="38">
        <f t="shared" si="4"/>
        <v>38981</v>
      </c>
      <c r="H33" s="38">
        <f t="shared" si="4"/>
        <v>40028</v>
      </c>
      <c r="I33" s="38">
        <f t="shared" si="4"/>
        <v>40429</v>
      </c>
      <c r="J33" s="39">
        <f t="shared" si="4"/>
        <v>40795.39974528</v>
      </c>
      <c r="K33" s="1"/>
      <c r="L33" s="1"/>
      <c r="M33" s="1"/>
    </row>
    <row r="34" ht="15" customHeight="1">
      <c r="A34" s="1"/>
      <c r="B34" s="1" t="s">
        <v>404</v>
      </c>
      <c r="C34" s="35">
        <v>1054</v>
      </c>
      <c r="D34" s="35">
        <v>1040</v>
      </c>
      <c r="E34" s="35">
        <v>1081</v>
      </c>
      <c r="F34" s="35">
        <v>1065</v>
      </c>
      <c r="G34" s="17">
        <f t="shared" si="3"/>
        <v>1065</v>
      </c>
      <c r="H34" s="35">
        <v>1084</v>
      </c>
      <c r="I34" s="35">
        <v>1070</v>
      </c>
      <c r="J34" s="37">
        <f t="shared" si="3"/>
        <v>1070</v>
      </c>
      <c r="K34" s="1"/>
      <c r="L34" s="1"/>
      <c r="M34" s="1"/>
    </row>
    <row r="35" ht="15" customHeight="1">
      <c r="A35" s="1"/>
      <c r="B35" s="1" t="s">
        <v>405</v>
      </c>
      <c r="C35" s="35">
        <v>17487</v>
      </c>
      <c r="D35" s="35">
        <v>16998</v>
      </c>
      <c r="E35" s="35">
        <v>18771</v>
      </c>
      <c r="F35" s="35">
        <v>18808</v>
      </c>
      <c r="G35" s="17">
        <f t="shared" si="3"/>
        <v>18808</v>
      </c>
      <c r="H35" s="35">
        <v>18174</v>
      </c>
      <c r="I35" s="35">
        <v>17157</v>
      </c>
      <c r="J35" s="37">
        <f t="shared" si="3"/>
        <v>17157</v>
      </c>
      <c r="K35" s="1"/>
      <c r="L35" s="1"/>
      <c r="M35" s="1"/>
    </row>
    <row r="36" ht="15" customHeight="1">
      <c r="A36" s="1"/>
      <c r="B36" s="1" t="s">
        <v>406</v>
      </c>
      <c r="C36" s="35">
        <v>36424</v>
      </c>
      <c r="D36" s="35">
        <v>36745</v>
      </c>
      <c r="E36" s="35">
        <v>37153</v>
      </c>
      <c r="F36" s="35">
        <v>36894</v>
      </c>
      <c r="G36" s="17">
        <f t="shared" si="3"/>
        <v>36894</v>
      </c>
      <c r="H36" s="35">
        <v>35699</v>
      </c>
      <c r="I36" s="35">
        <v>36195</v>
      </c>
      <c r="J36" s="37">
        <f t="shared" si="3"/>
        <v>36195</v>
      </c>
      <c r="K36" s="1" t="s">
        <v>407</v>
      </c>
      <c r="L36" s="1"/>
      <c r="M36" s="1"/>
    </row>
    <row r="37" ht="15" customHeight="1">
      <c r="A37" s="1"/>
      <c r="B37" s="1" t="s">
        <v>408</v>
      </c>
      <c r="C37" s="35">
        <v>6872</v>
      </c>
      <c r="D37" s="35">
        <v>6796</v>
      </c>
      <c r="E37" s="35">
        <v>6725</v>
      </c>
      <c r="F37" s="35">
        <v>6833</v>
      </c>
      <c r="G37" s="17">
        <f t="shared" si="3"/>
        <v>6833</v>
      </c>
      <c r="H37" s="35">
        <v>6661</v>
      </c>
      <c r="I37" s="35">
        <v>6537</v>
      </c>
      <c r="J37" s="31">
        <f>I37+'Cash Flow Statement'!J22+'Cash Flow Statement'!J25+'Cash Flow Statement'!J28</f>
        <v>6271</v>
      </c>
      <c r="K37" s="1" t="s">
        <v>409</v>
      </c>
      <c r="L37" s="1"/>
      <c r="M37" s="1"/>
    </row>
    <row r="38" ht="15" customHeight="1">
      <c r="A38" s="1"/>
      <c r="B38" s="1" t="s">
        <v>410</v>
      </c>
      <c r="C38" s="35">
        <v>6538</v>
      </c>
      <c r="D38" s="35">
        <v>6504</v>
      </c>
      <c r="E38" s="35">
        <v>6999</v>
      </c>
      <c r="F38" s="35">
        <v>7276</v>
      </c>
      <c r="G38" s="17">
        <f t="shared" si="3"/>
        <v>7276</v>
      </c>
      <c r="H38" s="35">
        <v>7226</v>
      </c>
      <c r="I38" s="35">
        <v>7273</v>
      </c>
      <c r="J38" s="37">
        <f t="shared" si="3"/>
        <v>7273</v>
      </c>
      <c r="K38" s="1"/>
      <c r="L38" s="1"/>
      <c r="M38" s="1"/>
    </row>
    <row r="39" ht="15" customHeight="1">
      <c r="A39" s="1"/>
      <c r="B39" s="1" t="s">
        <v>411</v>
      </c>
      <c r="C39" s="35">
        <v>1339</v>
      </c>
      <c r="D39" s="35">
        <v>1362</v>
      </c>
      <c r="E39" s="35">
        <v>1290</v>
      </c>
      <c r="F39" s="35">
        <v>1413</v>
      </c>
      <c r="G39" s="17">
        <f t="shared" si="3"/>
        <v>1413</v>
      </c>
      <c r="H39" s="35">
        <v>1279</v>
      </c>
      <c r="I39" s="35">
        <v>1144</v>
      </c>
      <c r="J39" s="37">
        <f t="shared" si="3"/>
        <v>1144</v>
      </c>
      <c r="K39" s="1" t="s">
        <v>412</v>
      </c>
      <c r="L39" s="1"/>
      <c r="M39" s="1"/>
    </row>
    <row r="40" ht="15" customHeight="1">
      <c r="A40" s="1"/>
      <c r="B40" s="3" t="s">
        <v>413</v>
      </c>
      <c r="C40" s="38">
        <f t="shared" si="6" ref="C40:J40">C33+SUM(C34:C39)</f>
        <v>104655</v>
      </c>
      <c r="D40" s="38">
        <f t="shared" si="6"/>
        <v>105911</v>
      </c>
      <c r="E40" s="38">
        <f t="shared" si="6"/>
        <v>109222</v>
      </c>
      <c r="F40" s="38">
        <f t="shared" si="6"/>
        <v>111270</v>
      </c>
      <c r="G40" s="38">
        <f t="shared" si="6"/>
        <v>111270</v>
      </c>
      <c r="H40" s="38">
        <f t="shared" si="6"/>
        <v>110151</v>
      </c>
      <c r="I40" s="38">
        <f t="shared" si="6"/>
        <v>109805</v>
      </c>
      <c r="J40" s="39">
        <f t="shared" si="6"/>
        <v>109905.39974528001</v>
      </c>
      <c r="K40" s="1"/>
      <c r="L40" s="1"/>
      <c r="M40" s="1"/>
    </row>
    <row r="41" ht="15" customHeight="1">
      <c r="A41" s="1"/>
      <c r="B41" s="28" t="s">
        <v>414</v>
      </c>
      <c r="C41" s="29"/>
      <c r="D41" s="29"/>
      <c r="E41" s="29"/>
      <c r="F41" s="29"/>
      <c r="G41" s="29"/>
      <c r="H41" s="29"/>
      <c r="I41" s="29"/>
      <c r="J41" s="30"/>
      <c r="K41" s="29"/>
      <c r="L41" s="1"/>
      <c r="M41" s="1"/>
    </row>
    <row r="42" ht="15" customHeight="1">
      <c r="A42" s="1"/>
      <c r="B42" s="1" t="s">
        <v>415</v>
      </c>
      <c r="C42" s="35">
        <v>15</v>
      </c>
      <c r="D42" s="35">
        <v>15</v>
      </c>
      <c r="E42" s="35">
        <v>15</v>
      </c>
      <c r="F42" s="35">
        <v>15</v>
      </c>
      <c r="G42" s="17">
        <f t="shared" si="3"/>
        <v>15</v>
      </c>
      <c r="H42" s="35">
        <v>15</v>
      </c>
      <c r="I42" s="35">
        <v>15</v>
      </c>
      <c r="J42" s="37">
        <f t="shared" si="3"/>
        <v>15</v>
      </c>
      <c r="K42" s="1"/>
      <c r="L42" s="1"/>
      <c r="M42" s="1"/>
    </row>
    <row r="43" ht="15" customHeight="1">
      <c r="A43" s="1"/>
      <c r="B43" s="1" t="s">
        <v>416</v>
      </c>
      <c r="C43" s="35">
        <v>-3733</v>
      </c>
      <c r="D43" s="35">
        <v>-4024</v>
      </c>
      <c r="E43" s="35">
        <v>-4347</v>
      </c>
      <c r="F43" s="35">
        <v>-4798</v>
      </c>
      <c r="G43" s="17">
        <f t="shared" si="3"/>
        <v>-4798</v>
      </c>
      <c r="H43" s="35">
        <v>-4486</v>
      </c>
      <c r="I43" s="35">
        <v>-4948</v>
      </c>
      <c r="J43" s="37">
        <f t="shared" si="3"/>
        <v>-4948</v>
      </c>
      <c r="K43" s="1" t="s">
        <v>417</v>
      </c>
      <c r="L43" s="1"/>
      <c r="M43" s="1"/>
    </row>
    <row r="44" ht="15" customHeight="1">
      <c r="A44" s="1"/>
      <c r="B44" s="1" t="s">
        <v>418</v>
      </c>
      <c r="C44" s="35">
        <v>23912</v>
      </c>
      <c r="D44" s="35">
        <v>23839</v>
      </c>
      <c r="E44" s="35">
        <v>23645</v>
      </c>
      <c r="F44" s="35">
        <v>23599</v>
      </c>
      <c r="G44" s="17">
        <f t="shared" si="3"/>
        <v>23599</v>
      </c>
      <c r="H44" s="35">
        <v>23146</v>
      </c>
      <c r="I44" s="35">
        <v>23074</v>
      </c>
      <c r="J44" s="37">
        <f t="shared" si="3"/>
        <v>23074</v>
      </c>
      <c r="K44" s="1"/>
      <c r="L44" s="1"/>
      <c r="M44" s="1"/>
    </row>
    <row r="45" ht="15" customHeight="1">
      <c r="A45" s="1"/>
      <c r="B45" s="1" t="s">
        <v>419</v>
      </c>
      <c r="C45" s="35">
        <v>82081</v>
      </c>
      <c r="D45" s="35">
        <v>83726</v>
      </c>
      <c r="E45" s="35">
        <v>85502</v>
      </c>
      <c r="F45" s="35">
        <v>87663</v>
      </c>
      <c r="G45" s="17">
        <f t="shared" si="3"/>
        <v>87663</v>
      </c>
      <c r="H45" s="35">
        <v>89073</v>
      </c>
      <c r="I45" s="35">
        <v>90953</v>
      </c>
      <c r="J45" s="31">
        <f>I45+'Income Statement'!J59+'Cash Flow Statement'!J70</f>
        <v>93067.69157603425</v>
      </c>
      <c r="K45" s="1" t="s">
        <v>420</v>
      </c>
      <c r="L45" s="1"/>
      <c r="M45" s="1"/>
    </row>
    <row r="46" ht="15" customHeight="1">
      <c r="A46" s="1"/>
      <c r="B46" s="1" t="s">
        <v>421</v>
      </c>
      <c r="C46" s="35">
        <v>-83024</v>
      </c>
      <c r="D46" s="35">
        <v>-84421</v>
      </c>
      <c r="E46" s="35">
        <v>-86002</v>
      </c>
      <c r="F46" s="35">
        <v>-87801</v>
      </c>
      <c r="G46" s="17">
        <f t="shared" si="3"/>
        <v>-87801</v>
      </c>
      <c r="H46" s="35">
        <v>-89690</v>
      </c>
      <c r="I46" s="35">
        <v>-91454</v>
      </c>
      <c r="J46" s="31">
        <f>I46+'Cash Flow Statement'!J73</f>
        <v>-93454</v>
      </c>
      <c r="K46" s="1" t="s">
        <v>422</v>
      </c>
      <c r="L46" s="1"/>
      <c r="M46" s="1"/>
    </row>
    <row r="47" ht="15" customHeight="1">
      <c r="A47" s="1"/>
      <c r="B47" s="3" t="s">
        <v>423</v>
      </c>
      <c r="C47" s="38">
        <f t="shared" si="7" ref="C47:J47">SUM(C42:C46)</f>
        <v>19251</v>
      </c>
      <c r="D47" s="38">
        <f t="shared" si="7"/>
        <v>19135</v>
      </c>
      <c r="E47" s="38">
        <f t="shared" si="7"/>
        <v>18813</v>
      </c>
      <c r="F47" s="38">
        <f t="shared" si="7"/>
        <v>18678</v>
      </c>
      <c r="G47" s="38">
        <f t="shared" si="7"/>
        <v>18678</v>
      </c>
      <c r="H47" s="38">
        <f t="shared" si="7"/>
        <v>18058</v>
      </c>
      <c r="I47" s="38">
        <f t="shared" si="7"/>
        <v>17640</v>
      </c>
      <c r="J47" s="39">
        <f t="shared" si="7"/>
        <v>17754.691576034253</v>
      </c>
      <c r="K47" s="1"/>
      <c r="L47" s="1"/>
      <c r="M47" s="1"/>
    </row>
    <row r="48" ht="15" customHeight="1">
      <c r="A48" s="1"/>
      <c r="B48" s="1" t="s">
        <v>424</v>
      </c>
      <c r="C48" s="35">
        <v>217</v>
      </c>
      <c r="D48" s="35">
        <v>210</v>
      </c>
      <c r="E48" s="35">
        <v>209</v>
      </c>
      <c r="F48" s="35">
        <v>221</v>
      </c>
      <c r="G48" s="17">
        <f t="shared" si="3"/>
        <v>221</v>
      </c>
      <c r="H48" s="35">
        <v>240</v>
      </c>
      <c r="I48" s="35">
        <v>227</v>
      </c>
      <c r="J48" s="31">
        <f>I48+'Income Statement'!J58</f>
        <v>227</v>
      </c>
      <c r="K48" s="1"/>
      <c r="L48" s="1"/>
      <c r="M48" s="1"/>
    </row>
    <row r="49" ht="15" customHeight="1">
      <c r="A49" s="1"/>
      <c r="B49" s="3" t="s">
        <v>425</v>
      </c>
      <c r="C49" s="38">
        <f t="shared" si="8" ref="C49:J49">C47+C48</f>
        <v>19468</v>
      </c>
      <c r="D49" s="38">
        <f t="shared" si="8"/>
        <v>19345</v>
      </c>
      <c r="E49" s="38">
        <f t="shared" si="8"/>
        <v>19022</v>
      </c>
      <c r="F49" s="38">
        <f t="shared" si="8"/>
        <v>18899</v>
      </c>
      <c r="G49" s="38">
        <f t="shared" si="8"/>
        <v>18899</v>
      </c>
      <c r="H49" s="38">
        <f t="shared" si="8"/>
        <v>18298</v>
      </c>
      <c r="I49" s="38">
        <f t="shared" si="8"/>
        <v>17867</v>
      </c>
      <c r="J49" s="39">
        <f t="shared" si="8"/>
        <v>17981.691576034253</v>
      </c>
      <c r="K49" s="1"/>
      <c r="L49" s="1"/>
      <c r="M49" s="1"/>
    </row>
    <row r="50" ht="15" customHeight="1">
      <c r="A50" s="1"/>
      <c r="B50" s="3" t="s">
        <v>426</v>
      </c>
      <c r="C50" s="38">
        <f t="shared" si="9" ref="C50:J50">C40+C49</f>
        <v>124123</v>
      </c>
      <c r="D50" s="38">
        <f t="shared" si="9"/>
        <v>125256</v>
      </c>
      <c r="E50" s="38">
        <f t="shared" si="9"/>
        <v>128244</v>
      </c>
      <c r="F50" s="38">
        <f t="shared" si="9"/>
        <v>130169</v>
      </c>
      <c r="G50" s="38">
        <f t="shared" si="9"/>
        <v>130169</v>
      </c>
      <c r="H50" s="38">
        <f t="shared" si="9"/>
        <v>128449</v>
      </c>
      <c r="I50" s="38">
        <f t="shared" si="9"/>
        <v>127672</v>
      </c>
      <c r="J50" s="39">
        <f t="shared" si="9"/>
        <v>127887.09132131426</v>
      </c>
      <c r="K50" s="1"/>
      <c r="L50" s="1"/>
      <c r="M50" s="1"/>
    </row>
    <row r="51" ht="15" customHeight="1">
      <c r="A51" s="1"/>
      <c r="B51" s="28" t="s">
        <v>427</v>
      </c>
      <c r="C51" s="29"/>
      <c r="D51" s="29"/>
      <c r="E51" s="29"/>
      <c r="F51" s="29"/>
      <c r="G51" s="29"/>
      <c r="H51" s="29"/>
      <c r="I51" s="29"/>
      <c r="J51" s="30"/>
      <c r="K51" s="29"/>
      <c r="L51" s="1"/>
      <c r="M51" s="1"/>
    </row>
    <row r="52" ht="15" customHeight="1">
      <c r="A52" s="1"/>
      <c r="B52" s="1" t="s">
        <v>428</v>
      </c>
      <c r="C52" s="17">
        <f t="shared" si="10" ref="C52:J52">C25-C40-C49</f>
        <v>0</v>
      </c>
      <c r="D52" s="17">
        <f t="shared" si="10"/>
        <v>-2</v>
      </c>
      <c r="E52" s="17">
        <f t="shared" si="10"/>
        <v>0</v>
      </c>
      <c r="F52" s="17">
        <f t="shared" si="10"/>
        <v>-2</v>
      </c>
      <c r="G52" s="17">
        <f t="shared" si="10"/>
        <v>-2</v>
      </c>
      <c r="H52" s="17">
        <f t="shared" si="10"/>
        <v>-5</v>
      </c>
      <c r="I52" s="17">
        <f t="shared" si="10"/>
        <v>-1</v>
      </c>
      <c r="J52" s="37">
        <f t="shared" si="10"/>
        <v>-1.000000000014552</v>
      </c>
      <c r="K52" s="1" t="s">
        <v>429</v>
      </c>
      <c r="L52" s="1"/>
      <c r="M52" s="1"/>
    </row>
    <row r="53" ht="15" customHeight="1">
      <c r="A53" s="1"/>
      <c r="B53" s="1" t="s">
        <v>430</v>
      </c>
      <c r="C53" s="40" t="b">
        <f t="shared" si="11" ref="C53:I53">ABS(C52)&lt;=5</f>
        <v>1</v>
      </c>
      <c r="D53" s="40" t="b">
        <f t="shared" si="11"/>
        <v>1</v>
      </c>
      <c r="E53" s="40" t="b">
        <f t="shared" si="11"/>
        <v>1</v>
      </c>
      <c r="F53" s="40" t="b">
        <f t="shared" si="11"/>
        <v>1</v>
      </c>
      <c r="G53" s="40" t="b">
        <f t="shared" si="11"/>
        <v>1</v>
      </c>
      <c r="H53" s="40" t="b">
        <f t="shared" si="11"/>
        <v>1</v>
      </c>
      <c r="I53" s="40" t="b">
        <f t="shared" si="11"/>
        <v>1</v>
      </c>
      <c r="J53" s="41" t="b">
        <f>ABS(J52-I52)&lt;0.001</f>
        <v>1</v>
      </c>
      <c r="K53" s="1" t="s">
        <v>431</v>
      </c>
      <c r="L53" s="1"/>
      <c r="M53" s="1"/>
    </row>
    <row r="54" ht="15" customHeight="1">
      <c r="A54" s="1"/>
      <c r="B54" s="1" t="s">
        <v>432</v>
      </c>
      <c r="C54" s="35">
        <v>124123</v>
      </c>
      <c r="D54" s="35">
        <v>125256</v>
      </c>
      <c r="E54" s="35">
        <v>128243</v>
      </c>
      <c r="F54" s="35">
        <v>130169</v>
      </c>
      <c r="G54" s="17">
        <f t="shared" si="3"/>
        <v>130169</v>
      </c>
      <c r="H54" s="35">
        <v>128445</v>
      </c>
      <c r="I54" s="35">
        <v>127672</v>
      </c>
      <c r="J54" s="37"/>
      <c r="K54" s="1"/>
      <c r="L54" s="1"/>
      <c r="M54" s="1"/>
    </row>
    <row r="55" ht="15" customHeight="1">
      <c r="A55" s="1"/>
      <c r="B55" s="1" t="s">
        <v>433</v>
      </c>
      <c r="C55" s="17">
        <f t="shared" si="12" ref="C55:I55">C25-C54</f>
        <v>0</v>
      </c>
      <c r="D55" s="17">
        <f t="shared" si="12"/>
        <v>-2</v>
      </c>
      <c r="E55" s="17">
        <f t="shared" si="12"/>
        <v>1</v>
      </c>
      <c r="F55" s="17">
        <f t="shared" si="12"/>
        <v>-2</v>
      </c>
      <c r="G55" s="17">
        <f t="shared" si="12"/>
        <v>-2</v>
      </c>
      <c r="H55" s="17">
        <f t="shared" si="12"/>
        <v>-1</v>
      </c>
      <c r="I55" s="17">
        <f t="shared" si="12"/>
        <v>-1</v>
      </c>
      <c r="J55" s="37"/>
      <c r="K55" s="1" t="s">
        <v>434</v>
      </c>
      <c r="L55" s="1"/>
      <c r="M55" s="1"/>
    </row>
    <row r="56" ht="15" customHeight="1">
      <c r="A56" s="1"/>
      <c r="B56" s="28" t="s">
        <v>435</v>
      </c>
      <c r="C56" s="29"/>
      <c r="D56" s="29"/>
      <c r="E56" s="29"/>
      <c r="F56" s="29"/>
      <c r="G56" s="29"/>
      <c r="H56" s="29"/>
      <c r="I56" s="29"/>
      <c r="J56" s="30"/>
      <c r="K56" s="29"/>
      <c r="L56" s="1"/>
      <c r="M56" s="1"/>
    </row>
    <row r="57" ht="15" customHeight="1">
      <c r="A57" s="1"/>
      <c r="B57" s="3" t="s">
        <v>436</v>
      </c>
      <c r="C57" s="38">
        <f t="shared" si="13" ref="C57:J57">C27+C35</f>
        <v>19571</v>
      </c>
      <c r="D57" s="38">
        <f t="shared" si="13"/>
        <v>18887</v>
      </c>
      <c r="E57" s="38">
        <f t="shared" si="13"/>
        <v>20838</v>
      </c>
      <c r="F57" s="38">
        <f t="shared" si="13"/>
        <v>20494</v>
      </c>
      <c r="G57" s="38">
        <f t="shared" si="13"/>
        <v>20494</v>
      </c>
      <c r="H57" s="38">
        <f t="shared" si="13"/>
        <v>20277</v>
      </c>
      <c r="I57" s="38">
        <f t="shared" si="13"/>
        <v>19157</v>
      </c>
      <c r="J57" s="39">
        <f t="shared" si="13"/>
        <v>19157</v>
      </c>
      <c r="K57" s="1"/>
      <c r="L57" s="1"/>
      <c r="M57" s="1"/>
    </row>
    <row r="58" ht="15" customHeight="1">
      <c r="A58" s="1"/>
      <c r="B58" s="1" t="s">
        <v>113</v>
      </c>
      <c r="C58" s="17"/>
      <c r="D58" s="17">
        <f t="shared" si="14" ref="D58:J62">IF(AND(ISNUMBER(D57),ISNUMBER(C57)),D57-C57,"")</f>
        <v>-684</v>
      </c>
      <c r="E58" s="17">
        <f t="shared" si="14"/>
        <v>1951</v>
      </c>
      <c r="F58" s="17">
        <f t="shared" si="14"/>
        <v>-344</v>
      </c>
      <c r="G58" s="17"/>
      <c r="H58" s="17">
        <f t="shared" si="16" ref="H58:H62">IF(AND(ISNUMBER(H57),ISNUMBER(F57)),H57-F57,"")</f>
        <v>-217</v>
      </c>
      <c r="I58" s="17">
        <f t="shared" si="14"/>
        <v>-1120</v>
      </c>
      <c r="J58" s="37">
        <f t="shared" si="14"/>
        <v>0</v>
      </c>
      <c r="K58" s="1"/>
      <c r="L58" s="1"/>
      <c r="M58" s="1"/>
    </row>
    <row r="59" ht="15" customHeight="1">
      <c r="A59" s="1"/>
      <c r="B59" s="1" t="s">
        <v>437</v>
      </c>
      <c r="C59" s="17">
        <f t="shared" si="15" ref="C59:J59">C57-C10</f>
        <v>7166</v>
      </c>
      <c r="D59" s="17">
        <f t="shared" si="15"/>
        <v>8026</v>
      </c>
      <c r="E59" s="17">
        <f t="shared" si="15"/>
        <v>8337</v>
      </c>
      <c r="F59" s="17">
        <f t="shared" si="15"/>
        <v>8102</v>
      </c>
      <c r="G59" s="17">
        <f t="shared" si="15"/>
        <v>8102</v>
      </c>
      <c r="H59" s="17">
        <f t="shared" si="15"/>
        <v>9296</v>
      </c>
      <c r="I59" s="17">
        <f t="shared" si="15"/>
        <v>9812</v>
      </c>
      <c r="J59" s="37">
        <f t="shared" si="15"/>
        <v>9793.908678685757</v>
      </c>
      <c r="K59" s="1"/>
      <c r="L59" s="1"/>
      <c r="M59" s="1"/>
    </row>
    <row r="60" ht="15" customHeight="1">
      <c r="A60" s="1"/>
      <c r="B60" s="1" t="s">
        <v>113</v>
      </c>
      <c r="C60" s="17"/>
      <c r="D60" s="17">
        <f t="shared" si="14"/>
        <v>860</v>
      </c>
      <c r="E60" s="17">
        <f t="shared" si="14"/>
        <v>311</v>
      </c>
      <c r="F60" s="17">
        <f t="shared" si="14"/>
        <v>-235</v>
      </c>
      <c r="G60" s="17"/>
      <c r="H60" s="17">
        <f t="shared" si="16"/>
        <v>1194</v>
      </c>
      <c r="I60" s="17">
        <f t="shared" si="14"/>
        <v>516</v>
      </c>
      <c r="J60" s="37">
        <f t="shared" si="14"/>
        <v>-18.091321314243032</v>
      </c>
      <c r="K60" s="1"/>
      <c r="L60" s="1"/>
      <c r="M60" s="1"/>
    </row>
    <row r="61" ht="15" customHeight="1">
      <c r="A61" s="1"/>
      <c r="B61" s="1" t="s">
        <v>438</v>
      </c>
      <c r="C61" s="17">
        <f t="shared" si="17" ref="C61:J61">C12+C13+C14-C28-C29-C30</f>
        <v>-1994</v>
      </c>
      <c r="D61" s="17">
        <f t="shared" si="17"/>
        <v>-1391</v>
      </c>
      <c r="E61" s="17">
        <f t="shared" si="17"/>
        <v>-870</v>
      </c>
      <c r="F61" s="17">
        <f t="shared" si="17"/>
        <v>-921</v>
      </c>
      <c r="G61" s="17">
        <f t="shared" si="17"/>
        <v>-921</v>
      </c>
      <c r="H61" s="17">
        <f t="shared" si="17"/>
        <v>-336</v>
      </c>
      <c r="I61" s="17">
        <f t="shared" si="17"/>
        <v>-645</v>
      </c>
      <c r="J61" s="37">
        <f t="shared" si="17"/>
        <v>-645</v>
      </c>
      <c r="K61" s="1" t="s">
        <v>439</v>
      </c>
      <c r="L61" s="1"/>
      <c r="M61" s="1"/>
    </row>
    <row r="62" ht="15" customHeight="1">
      <c r="A62" s="1"/>
      <c r="B62" s="1" t="s">
        <v>113</v>
      </c>
      <c r="C62" s="17"/>
      <c r="D62" s="17">
        <f t="shared" si="14"/>
        <v>603</v>
      </c>
      <c r="E62" s="17">
        <f t="shared" si="14"/>
        <v>521</v>
      </c>
      <c r="F62" s="17">
        <f t="shared" si="14"/>
        <v>-51</v>
      </c>
      <c r="G62" s="17"/>
      <c r="H62" s="17">
        <f t="shared" si="16"/>
        <v>585</v>
      </c>
      <c r="I62" s="17">
        <f t="shared" si="14"/>
        <v>-309</v>
      </c>
      <c r="J62" s="37">
        <f t="shared" si="14"/>
        <v>0</v>
      </c>
      <c r="K62" s="1"/>
      <c r="L62" s="1"/>
      <c r="M62" s="1"/>
    </row>
    <row r="63" ht="1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ht="1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ht="1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D4A1111-F394-DF18-A3BB-5198BB759274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46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440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52</v>
      </c>
      <c r="C5" s="6" t="s">
        <v>53</v>
      </c>
      <c r="D5" s="6" t="s">
        <v>54</v>
      </c>
      <c r="E5" s="6" t="s">
        <v>55</v>
      </c>
      <c r="F5" s="6" t="s">
        <v>56</v>
      </c>
      <c r="G5" s="6" t="s">
        <v>57</v>
      </c>
      <c r="H5" s="6" t="s">
        <v>58</v>
      </c>
      <c r="I5" s="6" t="s">
        <v>59</v>
      </c>
      <c r="J5" s="26" t="s">
        <v>60</v>
      </c>
      <c r="K5" s="5" t="s">
        <v>3</v>
      </c>
      <c r="L5" s="1"/>
      <c r="M5" s="1"/>
    </row>
    <row r="6" ht="15" customHeight="1">
      <c r="A6" s="1"/>
      <c r="B6" s="8" t="s">
        <v>61</v>
      </c>
      <c r="C6" s="9">
        <f>DATE(2025,3,31)</f>
        <v>45747</v>
      </c>
      <c r="D6" s="9">
        <f>DATE(2025,6,30)</f>
        <v>45838</v>
      </c>
      <c r="E6" s="9">
        <f>DATE(2025,9,30)</f>
        <v>45930</v>
      </c>
      <c r="F6" s="9">
        <f t="shared" si="0" ref="F6:G6">DATE(2025,12,31)</f>
        <v>46022</v>
      </c>
      <c r="G6" s="9">
        <f t="shared" si="0"/>
        <v>46022</v>
      </c>
      <c r="H6" s="9">
        <f>DATE(2026,3,31)</f>
        <v>46112</v>
      </c>
      <c r="I6" s="9">
        <f>DATE(2026,6,30)</f>
        <v>46203</v>
      </c>
      <c r="J6" s="9">
        <f>DATE(2026,9,30)</f>
        <v>46295</v>
      </c>
      <c r="K6" s="8"/>
      <c r="L6" s="1"/>
      <c r="M6" s="1"/>
    </row>
    <row r="7" ht="15" customHeight="1">
      <c r="A7" s="1"/>
      <c r="B7" s="10" t="s">
        <v>62</v>
      </c>
      <c r="C7" s="11">
        <f t="shared" si="2" ref="C7:G7">C6-DATE(2024,12,31)</f>
        <v>90</v>
      </c>
      <c r="D7" s="11">
        <f t="shared" si="1" ref="D7:J86">D6-C6</f>
        <v>91</v>
      </c>
      <c r="E7" s="11">
        <f t="shared" si="1"/>
        <v>92</v>
      </c>
      <c r="F7" s="11">
        <f t="shared" si="1"/>
        <v>92</v>
      </c>
      <c r="G7" s="11">
        <f t="shared" si="2"/>
        <v>365</v>
      </c>
      <c r="H7" s="11">
        <f t="shared" si="55" ref="H7:H86">H6-F6</f>
        <v>90</v>
      </c>
      <c r="I7" s="11">
        <f t="shared" si="1"/>
        <v>91</v>
      </c>
      <c r="J7" s="11">
        <f t="shared" si="1"/>
        <v>92</v>
      </c>
      <c r="K7" s="10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27"/>
      <c r="K8" s="1"/>
      <c r="L8" s="1"/>
      <c r="M8" s="1"/>
    </row>
    <row r="9" ht="15" customHeight="1">
      <c r="A9" s="1"/>
      <c r="B9" s="28" t="s">
        <v>441</v>
      </c>
      <c r="C9" s="29"/>
      <c r="D9" s="29"/>
      <c r="E9" s="29"/>
      <c r="F9" s="29"/>
      <c r="G9" s="29"/>
      <c r="H9" s="29"/>
      <c r="I9" s="29"/>
      <c r="J9" s="30"/>
      <c r="K9" s="29"/>
      <c r="L9" s="1"/>
      <c r="M9" s="1"/>
    </row>
    <row r="10" ht="15" customHeight="1">
      <c r="A10" s="1"/>
      <c r="B10" s="28" t="s">
        <v>442</v>
      </c>
      <c r="C10" s="29"/>
      <c r="D10" s="29"/>
      <c r="E10" s="29"/>
      <c r="F10" s="29"/>
      <c r="G10" s="29"/>
      <c r="H10" s="29"/>
      <c r="I10" s="29"/>
      <c r="J10" s="30"/>
      <c r="K10" s="29"/>
      <c r="L10" s="1"/>
      <c r="M10" s="1"/>
    </row>
    <row r="11" ht="15" customHeight="1">
      <c r="A11" s="1"/>
      <c r="B11" s="1" t="s">
        <v>443</v>
      </c>
      <c r="C11" s="17">
        <f t="shared" si="4" ref="C11:H13">C114</f>
        <v>1972</v>
      </c>
      <c r="D11" s="17">
        <f t="shared" si="3" ref="D11:I13">D114-C114</f>
        <v>2021</v>
      </c>
      <c r="E11" s="17">
        <f t="shared" si="3"/>
        <v>2154</v>
      </c>
      <c r="F11" s="17">
        <f t="shared" si="3"/>
        <v>2551</v>
      </c>
      <c r="G11" s="17">
        <f t="shared" si="5" ref="G11:G102">SUM(C11:F11)</f>
        <v>8698</v>
      </c>
      <c r="H11" s="17">
        <f t="shared" si="4"/>
        <v>1920</v>
      </c>
      <c r="I11" s="17">
        <f t="shared" si="3"/>
        <v>2356</v>
      </c>
      <c r="J11" s="31">
        <f>'Income Statement'!J57</f>
        <v>2601.0392147200005</v>
      </c>
      <c r="K11" s="1"/>
      <c r="L11" s="1"/>
      <c r="M11" s="1"/>
    </row>
    <row r="12" ht="15" customHeight="1">
      <c r="A12" s="1"/>
      <c r="B12" s="1" t="s">
        <v>444</v>
      </c>
      <c r="C12" s="17">
        <f t="shared" si="4"/>
        <v>-10</v>
      </c>
      <c r="D12" s="17">
        <f t="shared" si="3"/>
        <v>-21</v>
      </c>
      <c r="E12" s="17">
        <f t="shared" si="3"/>
        <v>17</v>
      </c>
      <c r="F12" s="17">
        <f t="shared" si="3"/>
        <v>-89</v>
      </c>
      <c r="G12" s="17">
        <f t="shared" si="5"/>
        <v>-103</v>
      </c>
      <c r="H12" s="17">
        <f t="shared" si="4"/>
        <v>26</v>
      </c>
      <c r="I12" s="17">
        <f t="shared" si="3"/>
        <v>39</v>
      </c>
      <c r="J12" s="31">
        <f>-'Income Statement'!J56</f>
        <v>0</v>
      </c>
      <c r="K12" s="1" t="s">
        <v>445</v>
      </c>
      <c r="L12" s="1"/>
      <c r="M12" s="1"/>
    </row>
    <row r="13" ht="15" customHeight="1">
      <c r="A13" s="1"/>
      <c r="B13" s="1" t="s">
        <v>446</v>
      </c>
      <c r="C13" s="17">
        <f t="shared" si="4"/>
        <v>210</v>
      </c>
      <c r="D13" s="17">
        <f t="shared" si="3"/>
        <v>218</v>
      </c>
      <c r="E13" s="17">
        <f t="shared" si="3"/>
        <v>215</v>
      </c>
      <c r="F13" s="17">
        <f t="shared" si="3"/>
        <v>220</v>
      </c>
      <c r="G13" s="17">
        <f t="shared" si="5"/>
        <v>863</v>
      </c>
      <c r="H13" s="17">
        <f t="shared" si="4"/>
        <v>227</v>
      </c>
      <c r="I13" s="17">
        <f t="shared" si="3"/>
        <v>225</v>
      </c>
      <c r="J13" s="36">
        <v>240</v>
      </c>
      <c r="K13" s="1" t="s">
        <v>447</v>
      </c>
      <c r="L13" s="1"/>
      <c r="M13" s="1"/>
    </row>
    <row r="14" ht="15" customHeight="1">
      <c r="A14" s="1"/>
      <c r="B14" s="1" t="s">
        <v>112</v>
      </c>
      <c r="C14" s="17"/>
      <c r="D14" s="17"/>
      <c r="E14" s="17"/>
      <c r="F14" s="17"/>
      <c r="G14" s="17"/>
      <c r="H14" s="17">
        <f t="shared" si="6" ref="H14:J103">IF(AND(ISNUMBER(H13),ISNUMBER(C13)),H13-C13,"")</f>
        <v>17</v>
      </c>
      <c r="I14" s="17">
        <f t="shared" si="6"/>
        <v>7</v>
      </c>
      <c r="J14" s="37">
        <f t="shared" si="6"/>
        <v>25</v>
      </c>
      <c r="K14" s="1"/>
      <c r="L14" s="1"/>
      <c r="M14" s="1"/>
    </row>
    <row r="15" ht="15" customHeight="1">
      <c r="A15" s="1"/>
      <c r="B15" s="1" t="s">
        <v>113</v>
      </c>
      <c r="C15" s="17"/>
      <c r="D15" s="17">
        <f t="shared" si="7" ref="D15:J104">IF(AND(ISNUMBER(D13),ISNUMBER(C13)),D13-C13,"")</f>
        <v>8</v>
      </c>
      <c r="E15" s="17">
        <f t="shared" si="7"/>
        <v>-3</v>
      </c>
      <c r="F15" s="17">
        <f t="shared" si="7"/>
        <v>5</v>
      </c>
      <c r="G15" s="17"/>
      <c r="H15" s="17">
        <f t="shared" si="10" ref="H15:H104">IF(AND(ISNUMBER(H13),ISNUMBER(F13)),H13-F13,"")</f>
        <v>7</v>
      </c>
      <c r="I15" s="17">
        <f t="shared" si="7"/>
        <v>-2</v>
      </c>
      <c r="J15" s="37">
        <f t="shared" si="7"/>
        <v>15</v>
      </c>
      <c r="K15" s="1"/>
      <c r="L15" s="1"/>
      <c r="M15" s="1"/>
    </row>
    <row r="16" ht="15" customHeight="1">
      <c r="A16" s="1"/>
      <c r="B16" s="1" t="s">
        <v>448</v>
      </c>
      <c r="C16" s="17">
        <f t="shared" si="9" ref="C16:H16">C117</f>
        <v>89</v>
      </c>
      <c r="D16" s="17">
        <f t="shared" si="8" ref="D16:I16">D117-C117</f>
        <v>93</v>
      </c>
      <c r="E16" s="17">
        <f t="shared" si="8"/>
        <v>88</v>
      </c>
      <c r="F16" s="17">
        <f t="shared" si="8"/>
        <v>87</v>
      </c>
      <c r="G16" s="17">
        <f t="shared" si="5"/>
        <v>357</v>
      </c>
      <c r="H16" s="17">
        <f t="shared" si="9"/>
        <v>85</v>
      </c>
      <c r="I16" s="17">
        <f t="shared" si="8"/>
        <v>88</v>
      </c>
      <c r="J16" s="36">
        <v>88</v>
      </c>
      <c r="K16" s="1" t="s">
        <v>449</v>
      </c>
      <c r="L16" s="1"/>
      <c r="M16" s="1"/>
    </row>
    <row r="17" ht="15" customHeight="1">
      <c r="A17" s="1"/>
      <c r="B17" s="1" t="s">
        <v>112</v>
      </c>
      <c r="C17" s="17"/>
      <c r="D17" s="17"/>
      <c r="E17" s="17"/>
      <c r="F17" s="17"/>
      <c r="G17" s="17"/>
      <c r="H17" s="17">
        <f t="shared" si="6"/>
        <v>-4</v>
      </c>
      <c r="I17" s="17">
        <f t="shared" si="6"/>
        <v>-5</v>
      </c>
      <c r="J17" s="37">
        <f t="shared" si="6"/>
        <v>0</v>
      </c>
      <c r="K17" s="1"/>
      <c r="L17" s="1"/>
      <c r="M17" s="1"/>
    </row>
    <row r="18" ht="15" customHeight="1">
      <c r="A18" s="1"/>
      <c r="B18" s="1" t="s">
        <v>113</v>
      </c>
      <c r="C18" s="17"/>
      <c r="D18" s="17">
        <f t="shared" si="7"/>
        <v>4</v>
      </c>
      <c r="E18" s="17">
        <f t="shared" si="7"/>
        <v>-5</v>
      </c>
      <c r="F18" s="17">
        <f t="shared" si="7"/>
        <v>-1</v>
      </c>
      <c r="G18" s="17"/>
      <c r="H18" s="17">
        <f t="shared" si="10"/>
        <v>-2</v>
      </c>
      <c r="I18" s="17">
        <f t="shared" si="7"/>
        <v>3</v>
      </c>
      <c r="J18" s="37">
        <f t="shared" si="7"/>
        <v>0</v>
      </c>
      <c r="K18" s="1"/>
      <c r="L18" s="1"/>
      <c r="M18" s="1"/>
    </row>
    <row r="19" ht="15" customHeight="1">
      <c r="A19" s="1"/>
      <c r="B19" s="1" t="s">
        <v>450</v>
      </c>
      <c r="C19" s="17">
        <f t="shared" si="12" ref="C19:H19">C118</f>
        <v>-43</v>
      </c>
      <c r="D19" s="17">
        <f t="shared" si="11" ref="D19:I19">D118-C118</f>
        <v>-66</v>
      </c>
      <c r="E19" s="17">
        <f t="shared" si="11"/>
        <v>-68</v>
      </c>
      <c r="F19" s="17">
        <f t="shared" si="11"/>
        <v>-331</v>
      </c>
      <c r="G19" s="17">
        <f t="shared" si="5"/>
        <v>-508</v>
      </c>
      <c r="H19" s="17">
        <f t="shared" si="12"/>
        <v>271</v>
      </c>
      <c r="I19" s="17">
        <f t="shared" si="11"/>
        <v>-98</v>
      </c>
      <c r="J19" s="31">
        <f>-'Income Statement'!J139</f>
        <v>-200</v>
      </c>
      <c r="K19" s="1"/>
      <c r="L19" s="1"/>
      <c r="M19" s="1"/>
    </row>
    <row r="20" ht="15" customHeight="1">
      <c r="A20" s="1"/>
      <c r="B20" s="1" t="s">
        <v>112</v>
      </c>
      <c r="C20" s="17"/>
      <c r="D20" s="17"/>
      <c r="E20" s="17"/>
      <c r="F20" s="17"/>
      <c r="G20" s="17"/>
      <c r="H20" s="17">
        <f t="shared" si="6"/>
        <v>314</v>
      </c>
      <c r="I20" s="17">
        <f t="shared" si="6"/>
        <v>-32</v>
      </c>
      <c r="J20" s="37">
        <f t="shared" si="6"/>
        <v>-132</v>
      </c>
      <c r="K20" s="1"/>
      <c r="L20" s="1"/>
      <c r="M20" s="1"/>
    </row>
    <row r="21" ht="15" customHeight="1">
      <c r="A21" s="1"/>
      <c r="B21" s="1" t="s">
        <v>113</v>
      </c>
      <c r="C21" s="17"/>
      <c r="D21" s="17">
        <f t="shared" si="7"/>
        <v>-23</v>
      </c>
      <c r="E21" s="17">
        <f t="shared" si="7"/>
        <v>-2</v>
      </c>
      <c r="F21" s="17">
        <f t="shared" si="7"/>
        <v>-263</v>
      </c>
      <c r="G21" s="17"/>
      <c r="H21" s="17">
        <f t="shared" si="10"/>
        <v>602</v>
      </c>
      <c r="I21" s="17">
        <f t="shared" si="7"/>
        <v>-369</v>
      </c>
      <c r="J21" s="37">
        <f t="shared" si="7"/>
        <v>-102</v>
      </c>
      <c r="K21" s="1"/>
      <c r="L21" s="1"/>
      <c r="M21" s="1"/>
    </row>
    <row r="22" ht="15" customHeight="1">
      <c r="A22" s="1"/>
      <c r="B22" s="1" t="s">
        <v>451</v>
      </c>
      <c r="C22" s="17">
        <f t="shared" si="14" ref="C22:H22">C119</f>
        <v>-161</v>
      </c>
      <c r="D22" s="17">
        <f t="shared" si="13" ref="D22:I22">D119-C119</f>
        <v>-163</v>
      </c>
      <c r="E22" s="17">
        <f t="shared" si="13"/>
        <v>-164</v>
      </c>
      <c r="F22" s="17">
        <f t="shared" si="13"/>
        <v>-167</v>
      </c>
      <c r="G22" s="17">
        <f t="shared" si="5"/>
        <v>-655</v>
      </c>
      <c r="H22" s="17">
        <f t="shared" si="14"/>
        <v>-147</v>
      </c>
      <c r="I22" s="17">
        <f t="shared" si="13"/>
        <v>-146</v>
      </c>
      <c r="J22" s="36">
        <v>-147</v>
      </c>
      <c r="K22" s="1" t="s">
        <v>452</v>
      </c>
      <c r="L22" s="1"/>
      <c r="M22" s="1"/>
    </row>
    <row r="23" ht="15" customHeight="1">
      <c r="A23" s="1"/>
      <c r="B23" s="1" t="s">
        <v>112</v>
      </c>
      <c r="C23" s="17"/>
      <c r="D23" s="17"/>
      <c r="E23" s="17"/>
      <c r="F23" s="17"/>
      <c r="G23" s="17"/>
      <c r="H23" s="17">
        <f t="shared" si="6"/>
        <v>14</v>
      </c>
      <c r="I23" s="17">
        <f t="shared" si="6"/>
        <v>17</v>
      </c>
      <c r="J23" s="37">
        <f t="shared" si="6"/>
        <v>17</v>
      </c>
      <c r="K23" s="1"/>
      <c r="L23" s="1"/>
      <c r="M23" s="1"/>
    </row>
    <row r="24" ht="15" customHeight="1">
      <c r="A24" s="1"/>
      <c r="B24" s="1" t="s">
        <v>113</v>
      </c>
      <c r="C24" s="17"/>
      <c r="D24" s="17">
        <f t="shared" si="7"/>
        <v>-2</v>
      </c>
      <c r="E24" s="17">
        <f t="shared" si="7"/>
        <v>-1</v>
      </c>
      <c r="F24" s="17">
        <f t="shared" si="7"/>
        <v>-3</v>
      </c>
      <c r="G24" s="17"/>
      <c r="H24" s="17">
        <f t="shared" si="10"/>
        <v>20</v>
      </c>
      <c r="I24" s="17">
        <f t="shared" si="7"/>
        <v>1</v>
      </c>
      <c r="J24" s="37">
        <f t="shared" si="7"/>
        <v>-1</v>
      </c>
      <c r="K24" s="1"/>
      <c r="L24" s="1"/>
      <c r="M24" s="1"/>
    </row>
    <row r="25" ht="15" customHeight="1">
      <c r="A25" s="1"/>
      <c r="B25" s="1" t="s">
        <v>453</v>
      </c>
      <c r="C25" s="17">
        <f t="shared" si="16" ref="C25:H25">C120</f>
        <v>-48</v>
      </c>
      <c r="D25" s="17">
        <f t="shared" si="15" ref="D25:I25">D120-C120</f>
        <v>-47</v>
      </c>
      <c r="E25" s="17">
        <f t="shared" si="15"/>
        <v>-49</v>
      </c>
      <c r="F25" s="17">
        <f t="shared" si="15"/>
        <v>-67</v>
      </c>
      <c r="G25" s="17">
        <f t="shared" si="5"/>
        <v>-211</v>
      </c>
      <c r="H25" s="17">
        <f t="shared" si="16"/>
        <v>-49</v>
      </c>
      <c r="I25" s="17">
        <f t="shared" si="15"/>
        <v>-48</v>
      </c>
      <c r="J25" s="36">
        <v>-49</v>
      </c>
      <c r="K25" s="1" t="s">
        <v>454</v>
      </c>
      <c r="L25" s="1"/>
      <c r="M25" s="1"/>
    </row>
    <row r="26" ht="15" customHeight="1">
      <c r="A26" s="1"/>
      <c r="B26" s="1" t="s">
        <v>112</v>
      </c>
      <c r="C26" s="17"/>
      <c r="D26" s="17"/>
      <c r="E26" s="17"/>
      <c r="F26" s="17"/>
      <c r="G26" s="17"/>
      <c r="H26" s="17">
        <f t="shared" si="6"/>
        <v>-1</v>
      </c>
      <c r="I26" s="17">
        <f t="shared" si="6"/>
        <v>-1</v>
      </c>
      <c r="J26" s="37">
        <f t="shared" si="6"/>
        <v>0</v>
      </c>
      <c r="K26" s="1"/>
      <c r="L26" s="1"/>
      <c r="M26" s="1"/>
    </row>
    <row r="27" ht="15" customHeight="1">
      <c r="A27" s="1"/>
      <c r="B27" s="1" t="s">
        <v>113</v>
      </c>
      <c r="C27" s="17"/>
      <c r="D27" s="17">
        <f t="shared" si="7"/>
        <v>1</v>
      </c>
      <c r="E27" s="17">
        <f t="shared" si="7"/>
        <v>-2</v>
      </c>
      <c r="F27" s="17">
        <f t="shared" si="7"/>
        <v>-18</v>
      </c>
      <c r="G27" s="17"/>
      <c r="H27" s="17">
        <f t="shared" si="10"/>
        <v>18</v>
      </c>
      <c r="I27" s="17">
        <f t="shared" si="7"/>
        <v>1</v>
      </c>
      <c r="J27" s="37">
        <f t="shared" si="7"/>
        <v>-1</v>
      </c>
      <c r="K27" s="1"/>
      <c r="L27" s="1"/>
      <c r="M27" s="1"/>
    </row>
    <row r="28" ht="15" customHeight="1">
      <c r="A28" s="1"/>
      <c r="B28" s="1" t="s">
        <v>455</v>
      </c>
      <c r="C28" s="17">
        <f t="shared" si="18" ref="C28:H28">C121</f>
        <v>-74</v>
      </c>
      <c r="D28" s="17">
        <f t="shared" si="17" ref="D28:I28">D121-C121</f>
        <v>-59</v>
      </c>
      <c r="E28" s="17">
        <f t="shared" si="17"/>
        <v>-61</v>
      </c>
      <c r="F28" s="17">
        <f t="shared" si="17"/>
        <v>-36</v>
      </c>
      <c r="G28" s="17">
        <f t="shared" si="5"/>
        <v>-230</v>
      </c>
      <c r="H28" s="17">
        <f t="shared" si="18"/>
        <v>-79</v>
      </c>
      <c r="I28" s="17">
        <f t="shared" si="17"/>
        <v>-57</v>
      </c>
      <c r="J28" s="36">
        <v>-70</v>
      </c>
      <c r="K28" s="1" t="s">
        <v>456</v>
      </c>
      <c r="L28" s="1"/>
      <c r="M28" s="1"/>
    </row>
    <row r="29" ht="15" customHeight="1">
      <c r="A29" s="1"/>
      <c r="B29" s="1" t="s">
        <v>112</v>
      </c>
      <c r="C29" s="17"/>
      <c r="D29" s="17"/>
      <c r="E29" s="17"/>
      <c r="F29" s="17"/>
      <c r="G29" s="17"/>
      <c r="H29" s="17">
        <f t="shared" si="6"/>
        <v>-5</v>
      </c>
      <c r="I29" s="17">
        <f t="shared" si="6"/>
        <v>2</v>
      </c>
      <c r="J29" s="37">
        <f t="shared" si="6"/>
        <v>-9</v>
      </c>
      <c r="K29" s="1"/>
      <c r="L29" s="1"/>
      <c r="M29" s="1"/>
    </row>
    <row r="30" ht="15" customHeight="1">
      <c r="A30" s="1"/>
      <c r="B30" s="1" t="s">
        <v>113</v>
      </c>
      <c r="C30" s="17"/>
      <c r="D30" s="17">
        <f t="shared" si="7"/>
        <v>15</v>
      </c>
      <c r="E30" s="17">
        <f t="shared" si="7"/>
        <v>-2</v>
      </c>
      <c r="F30" s="17">
        <f t="shared" si="7"/>
        <v>25</v>
      </c>
      <c r="G30" s="17"/>
      <c r="H30" s="17">
        <f t="shared" si="10"/>
        <v>-43</v>
      </c>
      <c r="I30" s="17">
        <f t="shared" si="7"/>
        <v>22</v>
      </c>
      <c r="J30" s="37">
        <f t="shared" si="7"/>
        <v>-13</v>
      </c>
      <c r="K30" s="1"/>
      <c r="L30" s="1"/>
      <c r="M30" s="1"/>
    </row>
    <row r="31" ht="15" customHeight="1">
      <c r="A31" s="1"/>
      <c r="B31" s="1" t="s">
        <v>457</v>
      </c>
      <c r="C31" s="17">
        <f t="shared" si="20" ref="C31:H31">C122</f>
        <v>283</v>
      </c>
      <c r="D31" s="17">
        <f t="shared" si="19" ref="D31:I31">D122-C122</f>
        <v>388</v>
      </c>
      <c r="E31" s="17">
        <f t="shared" si="19"/>
        <v>344</v>
      </c>
      <c r="F31" s="17">
        <f t="shared" si="19"/>
        <v>390</v>
      </c>
      <c r="G31" s="17">
        <f t="shared" si="5"/>
        <v>1405</v>
      </c>
      <c r="H31" s="17">
        <f t="shared" si="20"/>
        <v>252</v>
      </c>
      <c r="I31" s="17">
        <f t="shared" si="19"/>
        <v>406</v>
      </c>
      <c r="J31" s="31">
        <f>-'Income Statement'!J51</f>
        <v>466.3997452800001</v>
      </c>
      <c r="K31" s="1" t="s">
        <v>458</v>
      </c>
      <c r="L31" s="1"/>
      <c r="M31" s="1"/>
    </row>
    <row r="32" ht="15" customHeight="1">
      <c r="A32" s="1"/>
      <c r="B32" s="1" t="s">
        <v>112</v>
      </c>
      <c r="C32" s="17"/>
      <c r="D32" s="17"/>
      <c r="E32" s="17"/>
      <c r="F32" s="17"/>
      <c r="G32" s="17"/>
      <c r="H32" s="17">
        <f t="shared" si="6"/>
        <v>-31</v>
      </c>
      <c r="I32" s="17">
        <f t="shared" si="6"/>
        <v>18</v>
      </c>
      <c r="J32" s="37">
        <f t="shared" si="6"/>
        <v>122.3997452800001</v>
      </c>
      <c r="K32" s="1"/>
      <c r="L32" s="1"/>
      <c r="M32" s="1"/>
    </row>
    <row r="33" ht="15" customHeight="1">
      <c r="A33" s="1"/>
      <c r="B33" s="1" t="s">
        <v>113</v>
      </c>
      <c r="C33" s="17"/>
      <c r="D33" s="17">
        <f t="shared" si="7"/>
        <v>105</v>
      </c>
      <c r="E33" s="17">
        <f t="shared" si="7"/>
        <v>-44</v>
      </c>
      <c r="F33" s="17">
        <f t="shared" si="7"/>
        <v>46</v>
      </c>
      <c r="G33" s="17"/>
      <c r="H33" s="17">
        <f t="shared" si="10"/>
        <v>-138</v>
      </c>
      <c r="I33" s="17">
        <f t="shared" si="7"/>
        <v>154</v>
      </c>
      <c r="J33" s="37">
        <f t="shared" si="7"/>
        <v>60.399745280000104</v>
      </c>
      <c r="K33" s="1"/>
      <c r="L33" s="1"/>
      <c r="M33" s="1"/>
    </row>
    <row r="34" ht="15" customHeight="1">
      <c r="A34" s="1"/>
      <c r="B34" s="1" t="s">
        <v>459</v>
      </c>
      <c r="C34" s="17">
        <f t="shared" si="22" ref="C34:H34">C123</f>
        <v>-112</v>
      </c>
      <c r="D34" s="17">
        <f t="shared" si="21" ref="D34:I34">D123-C123</f>
        <v>-141</v>
      </c>
      <c r="E34" s="17">
        <f t="shared" si="21"/>
        <v>-184</v>
      </c>
      <c r="F34" s="17">
        <f t="shared" si="21"/>
        <v>-302</v>
      </c>
      <c r="G34" s="17">
        <f t="shared" si="5"/>
        <v>-739</v>
      </c>
      <c r="H34" s="17">
        <f t="shared" si="22"/>
        <v>-34</v>
      </c>
      <c r="I34" s="17">
        <f t="shared" si="21"/>
        <v>-107</v>
      </c>
      <c r="J34" s="36">
        <v>-200</v>
      </c>
      <c r="K34" s="1" t="s">
        <v>460</v>
      </c>
      <c r="L34" s="1"/>
      <c r="M34" s="1"/>
    </row>
    <row r="35" ht="15" customHeight="1">
      <c r="A35" s="1"/>
      <c r="B35" s="1" t="s">
        <v>112</v>
      </c>
      <c r="C35" s="17"/>
      <c r="D35" s="17"/>
      <c r="E35" s="17"/>
      <c r="F35" s="17"/>
      <c r="G35" s="17"/>
      <c r="H35" s="17">
        <f t="shared" si="6"/>
        <v>78</v>
      </c>
      <c r="I35" s="17">
        <f t="shared" si="6"/>
        <v>34</v>
      </c>
      <c r="J35" s="37">
        <f t="shared" si="6"/>
        <v>-16</v>
      </c>
      <c r="K35" s="1"/>
      <c r="L35" s="1"/>
      <c r="M35" s="1"/>
    </row>
    <row r="36" ht="15" customHeight="1">
      <c r="A36" s="1"/>
      <c r="B36" s="1" t="s">
        <v>113</v>
      </c>
      <c r="C36" s="17"/>
      <c r="D36" s="17">
        <f t="shared" si="7"/>
        <v>-29</v>
      </c>
      <c r="E36" s="17">
        <f t="shared" si="7"/>
        <v>-43</v>
      </c>
      <c r="F36" s="17">
        <f t="shared" si="7"/>
        <v>-118</v>
      </c>
      <c r="G36" s="17"/>
      <c r="H36" s="17">
        <f t="shared" si="10"/>
        <v>268</v>
      </c>
      <c r="I36" s="17">
        <f t="shared" si="7"/>
        <v>-73</v>
      </c>
      <c r="J36" s="37">
        <f t="shared" si="7"/>
        <v>-93</v>
      </c>
      <c r="K36" s="1"/>
      <c r="L36" s="1"/>
      <c r="M36" s="1"/>
    </row>
    <row r="37" ht="15" customHeight="1">
      <c r="A37" s="1"/>
      <c r="B37" s="1" t="s">
        <v>461</v>
      </c>
      <c r="C37" s="17">
        <f t="shared" si="24" ref="C37:H44">C124</f>
        <v>-326</v>
      </c>
      <c r="D37" s="17">
        <f t="shared" si="23" ref="D37:I44">D124-C124</f>
        <v>-831</v>
      </c>
      <c r="E37" s="17">
        <f t="shared" si="23"/>
        <v>-113</v>
      </c>
      <c r="F37" s="17">
        <f t="shared" si="23"/>
        <v>-1167</v>
      </c>
      <c r="G37" s="17">
        <f t="shared" si="5"/>
        <v>-2437</v>
      </c>
      <c r="H37" s="17">
        <f t="shared" si="24"/>
        <v>-709</v>
      </c>
      <c r="I37" s="17">
        <f t="shared" si="23"/>
        <v>15</v>
      </c>
      <c r="J37" s="36">
        <v>0</v>
      </c>
      <c r="K37" s="1" t="s">
        <v>462</v>
      </c>
      <c r="L37" s="1"/>
      <c r="M37" s="1"/>
    </row>
    <row r="38" ht="15" customHeight="1">
      <c r="A38" s="1"/>
      <c r="B38" s="1" t="s">
        <v>463</v>
      </c>
      <c r="C38" s="17">
        <f t="shared" si="24"/>
        <v>-724</v>
      </c>
      <c r="D38" s="17">
        <f t="shared" si="23"/>
        <v>-670</v>
      </c>
      <c r="E38" s="17">
        <f t="shared" si="23"/>
        <v>-393</v>
      </c>
      <c r="F38" s="17">
        <f t="shared" si="23"/>
        <v>-194</v>
      </c>
      <c r="G38" s="17">
        <f t="shared" si="5"/>
        <v>-1981</v>
      </c>
      <c r="H38" s="17">
        <f t="shared" si="24"/>
        <v>-534</v>
      </c>
      <c r="I38" s="17">
        <f t="shared" si="23"/>
        <v>-109</v>
      </c>
      <c r="J38" s="36">
        <v>0</v>
      </c>
      <c r="K38" s="1" t="s">
        <v>464</v>
      </c>
      <c r="L38" s="1"/>
      <c r="M38" s="1"/>
    </row>
    <row r="39" ht="15" customHeight="1">
      <c r="A39" s="1"/>
      <c r="B39" s="1" t="s">
        <v>465</v>
      </c>
      <c r="C39" s="17">
        <f t="shared" si="24"/>
        <v>46</v>
      </c>
      <c r="D39" s="17">
        <f t="shared" si="23"/>
        <v>-111</v>
      </c>
      <c r="E39" s="17">
        <f t="shared" si="23"/>
        <v>-51</v>
      </c>
      <c r="F39" s="17">
        <f t="shared" si="23"/>
        <v>-395</v>
      </c>
      <c r="G39" s="17">
        <f t="shared" si="5"/>
        <v>-511</v>
      </c>
      <c r="H39" s="17">
        <f t="shared" si="24"/>
        <v>68</v>
      </c>
      <c r="I39" s="17">
        <f t="shared" si="23"/>
        <v>-36</v>
      </c>
      <c r="J39" s="36">
        <v>0</v>
      </c>
      <c r="K39" s="1" t="s">
        <v>466</v>
      </c>
      <c r="L39" s="1"/>
      <c r="M39" s="1"/>
    </row>
    <row r="40" ht="15" customHeight="1">
      <c r="A40" s="1"/>
      <c r="B40" s="1" t="s">
        <v>467</v>
      </c>
      <c r="C40" s="17">
        <f t="shared" si="24"/>
        <v>270</v>
      </c>
      <c r="D40" s="17">
        <f t="shared" si="23"/>
        <v>114</v>
      </c>
      <c r="E40" s="17">
        <f t="shared" si="23"/>
        <v>209</v>
      </c>
      <c r="F40" s="17">
        <f t="shared" si="23"/>
        <v>473</v>
      </c>
      <c r="G40" s="17">
        <f t="shared" si="5"/>
        <v>1066</v>
      </c>
      <c r="H40" s="17">
        <f t="shared" si="24"/>
        <v>-91</v>
      </c>
      <c r="I40" s="17">
        <f t="shared" si="23"/>
        <v>-44</v>
      </c>
      <c r="J40" s="36">
        <v>0</v>
      </c>
      <c r="K40" s="1" t="s">
        <v>468</v>
      </c>
      <c r="L40" s="1"/>
      <c r="M40" s="1"/>
    </row>
    <row r="41" ht="15" customHeight="1">
      <c r="A41" s="1"/>
      <c r="B41" s="1" t="s">
        <v>469</v>
      </c>
      <c r="C41" s="17">
        <f t="shared" si="24"/>
        <v>132</v>
      </c>
      <c r="D41" s="17">
        <f t="shared" si="23"/>
        <v>137</v>
      </c>
      <c r="E41" s="17">
        <f t="shared" si="23"/>
        <v>-96</v>
      </c>
      <c r="F41" s="17">
        <f t="shared" si="23"/>
        <v>665</v>
      </c>
      <c r="G41" s="17">
        <f t="shared" si="5"/>
        <v>838</v>
      </c>
      <c r="H41" s="17">
        <f t="shared" si="24"/>
        <v>55</v>
      </c>
      <c r="I41" s="17">
        <f t="shared" si="23"/>
        <v>226</v>
      </c>
      <c r="J41" s="36">
        <v>0</v>
      </c>
      <c r="K41" s="1" t="s">
        <v>470</v>
      </c>
      <c r="L41" s="1"/>
      <c r="M41" s="1"/>
    </row>
    <row r="42" ht="15" customHeight="1">
      <c r="A42" s="1"/>
      <c r="B42" s="1" t="s">
        <v>471</v>
      </c>
      <c r="C42" s="17">
        <f t="shared" si="24"/>
        <v>706</v>
      </c>
      <c r="D42" s="17">
        <f t="shared" si="23"/>
        <v>789</v>
      </c>
      <c r="E42" s="17">
        <f t="shared" si="23"/>
        <v>3</v>
      </c>
      <c r="F42" s="17">
        <f t="shared" si="23"/>
        <v>495</v>
      </c>
      <c r="G42" s="17">
        <f t="shared" si="5"/>
        <v>1993</v>
      </c>
      <c r="H42" s="17">
        <f t="shared" si="24"/>
        <v>668</v>
      </c>
      <c r="I42" s="17">
        <f t="shared" si="23"/>
        <v>188</v>
      </c>
      <c r="J42" s="36">
        <v>0</v>
      </c>
      <c r="K42" s="1" t="s">
        <v>472</v>
      </c>
      <c r="L42" s="1"/>
      <c r="M42" s="1"/>
    </row>
    <row r="43" ht="15" customHeight="1">
      <c r="A43" s="1"/>
      <c r="B43" s="1" t="s">
        <v>473</v>
      </c>
      <c r="C43" s="17">
        <f t="shared" si="24"/>
        <v>80</v>
      </c>
      <c r="D43" s="17">
        <f t="shared" si="23"/>
        <v>367</v>
      </c>
      <c r="E43" s="17">
        <f t="shared" si="23"/>
        <v>107</v>
      </c>
      <c r="F43" s="17">
        <f t="shared" si="23"/>
        <v>8</v>
      </c>
      <c r="G43" s="17">
        <f t="shared" si="5"/>
        <v>562</v>
      </c>
      <c r="H43" s="17">
        <f t="shared" si="24"/>
        <v>1000</v>
      </c>
      <c r="I43" s="17">
        <f t="shared" si="23"/>
        <v>-44</v>
      </c>
      <c r="J43" s="36">
        <v>0</v>
      </c>
      <c r="K43" s="1" t="s">
        <v>474</v>
      </c>
      <c r="L43" s="1"/>
      <c r="M43" s="1"/>
    </row>
    <row r="44" ht="15" customHeight="1">
      <c r="A44" s="1"/>
      <c r="B44" s="1" t="s">
        <v>475</v>
      </c>
      <c r="C44" s="17">
        <f t="shared" si="24"/>
        <v>-746</v>
      </c>
      <c r="D44" s="17">
        <f t="shared" si="23"/>
        <v>329</v>
      </c>
      <c r="E44" s="17">
        <f t="shared" si="23"/>
        <v>597</v>
      </c>
      <c r="F44" s="17">
        <f t="shared" si="23"/>
        <v>-44</v>
      </c>
      <c r="G44" s="17">
        <f t="shared" si="5"/>
        <v>136</v>
      </c>
      <c r="H44" s="17">
        <f t="shared" si="24"/>
        <v>-1063</v>
      </c>
      <c r="I44" s="17">
        <f t="shared" si="23"/>
        <v>405</v>
      </c>
      <c r="J44" s="36">
        <v>100</v>
      </c>
      <c r="K44" s="1" t="s">
        <v>476</v>
      </c>
      <c r="L44" s="1"/>
      <c r="M44" s="1"/>
    </row>
    <row r="45" ht="15" customHeight="1">
      <c r="A45" s="1"/>
      <c r="B45" s="1" t="s">
        <v>112</v>
      </c>
      <c r="C45" s="17"/>
      <c r="D45" s="17"/>
      <c r="E45" s="17"/>
      <c r="F45" s="17"/>
      <c r="G45" s="17"/>
      <c r="H45" s="17">
        <f t="shared" si="6"/>
        <v>-317</v>
      </c>
      <c r="I45" s="17">
        <f t="shared" si="6"/>
        <v>76</v>
      </c>
      <c r="J45" s="37">
        <f t="shared" si="6"/>
        <v>-497</v>
      </c>
      <c r="K45" s="1"/>
      <c r="L45" s="1"/>
      <c r="M45" s="1"/>
    </row>
    <row r="46" ht="15" customHeight="1">
      <c r="A46" s="1"/>
      <c r="B46" s="1" t="s">
        <v>113</v>
      </c>
      <c r="C46" s="17"/>
      <c r="D46" s="17">
        <f t="shared" si="7"/>
        <v>1075</v>
      </c>
      <c r="E46" s="17">
        <f t="shared" si="7"/>
        <v>268</v>
      </c>
      <c r="F46" s="17">
        <f t="shared" si="7"/>
        <v>-641</v>
      </c>
      <c r="G46" s="17"/>
      <c r="H46" s="17">
        <f t="shared" si="10"/>
        <v>-1019</v>
      </c>
      <c r="I46" s="17">
        <f t="shared" si="7"/>
        <v>1468</v>
      </c>
      <c r="J46" s="37">
        <f t="shared" si="7"/>
        <v>-305</v>
      </c>
      <c r="K46" s="1"/>
      <c r="L46" s="1"/>
      <c r="M46" s="1"/>
    </row>
    <row r="47" ht="15" customHeight="1">
      <c r="A47" s="1"/>
      <c r="B47" s="3" t="s">
        <v>477</v>
      </c>
      <c r="C47" s="38">
        <f t="shared" si="25" ref="C47:J47">C11+C12+C13+C16+C19+C22+C25+C28+C31+C34+C37+C38+C39+C40+C41+C42+C43+C44</f>
        <v>1544</v>
      </c>
      <c r="D47" s="38">
        <f t="shared" si="25"/>
        <v>2347</v>
      </c>
      <c r="E47" s="38">
        <f t="shared" si="25"/>
        <v>2555</v>
      </c>
      <c r="F47" s="38">
        <f t="shared" si="25"/>
        <v>2097</v>
      </c>
      <c r="G47" s="38">
        <f t="shared" si="25"/>
        <v>8543</v>
      </c>
      <c r="H47" s="38">
        <f t="shared" si="25"/>
        <v>1866</v>
      </c>
      <c r="I47" s="38">
        <f t="shared" si="25"/>
        <v>3259</v>
      </c>
      <c r="J47" s="39">
        <f t="shared" si="25"/>
        <v>2829.4389600000004</v>
      </c>
      <c r="K47" s="1" t="s">
        <v>478</v>
      </c>
      <c r="L47" s="1"/>
      <c r="M47" s="1"/>
    </row>
    <row r="48" ht="15" customHeight="1">
      <c r="A48" s="1"/>
      <c r="B48" s="4" t="s">
        <v>104</v>
      </c>
      <c r="C48" s="18"/>
      <c r="D48" s="18"/>
      <c r="E48" s="18"/>
      <c r="F48" s="18"/>
      <c r="G48" s="18"/>
      <c r="H48" s="18">
        <f t="shared" si="26" ref="H48:J106">IF(AND(ISNUMBER(H47),ISNUMBER(C47)),IF(C47&lt;&gt;0,H47/C47-1,""),"")</f>
        <v>0.20854922279792754</v>
      </c>
      <c r="I48" s="18">
        <f t="shared" si="26"/>
        <v>0.3885811674478057</v>
      </c>
      <c r="J48" s="32">
        <f t="shared" si="26"/>
        <v>0.1074125088062623</v>
      </c>
      <c r="K48" s="1"/>
      <c r="L48" s="1"/>
      <c r="M48" s="1"/>
    </row>
    <row r="49" ht="15" customHeight="1">
      <c r="A49" s="1"/>
      <c r="B49" s="1" t="s">
        <v>479</v>
      </c>
      <c r="C49" s="17">
        <f t="shared" si="28" ref="C49:H49">C135</f>
        <v>-33</v>
      </c>
      <c r="D49" s="17">
        <f t="shared" si="27" ref="D49:I49">D135-C135</f>
        <v>-103</v>
      </c>
      <c r="E49" s="17">
        <f t="shared" si="27"/>
        <v>-55</v>
      </c>
      <c r="F49" s="17">
        <f t="shared" si="27"/>
        <v>185</v>
      </c>
      <c r="G49" s="17">
        <f t="shared" si="5"/>
        <v>-6</v>
      </c>
      <c r="H49" s="17">
        <f t="shared" si="28"/>
        <v>-44</v>
      </c>
      <c r="I49" s="17">
        <f t="shared" si="27"/>
        <v>-64</v>
      </c>
      <c r="J49" s="36">
        <v>0</v>
      </c>
      <c r="K49" s="1" t="s">
        <v>480</v>
      </c>
      <c r="L49" s="1"/>
      <c r="M49" s="1"/>
    </row>
    <row r="50" ht="15" customHeight="1">
      <c r="A50" s="1"/>
      <c r="B50" s="3" t="s">
        <v>481</v>
      </c>
      <c r="C50" s="38">
        <f t="shared" si="29" ref="C50:J50">C47+C49</f>
        <v>1511</v>
      </c>
      <c r="D50" s="38">
        <f t="shared" si="29"/>
        <v>2244</v>
      </c>
      <c r="E50" s="38">
        <f t="shared" si="29"/>
        <v>2500</v>
      </c>
      <c r="F50" s="38">
        <f t="shared" si="29"/>
        <v>2282</v>
      </c>
      <c r="G50" s="38">
        <f t="shared" si="29"/>
        <v>8537</v>
      </c>
      <c r="H50" s="38">
        <f t="shared" si="29"/>
        <v>1822</v>
      </c>
      <c r="I50" s="38">
        <f t="shared" si="29"/>
        <v>3195</v>
      </c>
      <c r="J50" s="39">
        <f t="shared" si="29"/>
        <v>2829.4389600000004</v>
      </c>
      <c r="K50" s="1" t="s">
        <v>482</v>
      </c>
      <c r="L50" s="1"/>
      <c r="M50" s="1"/>
    </row>
    <row r="51" ht="15" customHeight="1">
      <c r="A51" s="1"/>
      <c r="B51" s="28" t="s">
        <v>483</v>
      </c>
      <c r="C51" s="29"/>
      <c r="D51" s="29"/>
      <c r="E51" s="29"/>
      <c r="F51" s="29"/>
      <c r="G51" s="29"/>
      <c r="H51" s="29"/>
      <c r="I51" s="29"/>
      <c r="J51" s="30"/>
      <c r="K51" s="29"/>
      <c r="L51" s="1"/>
      <c r="M51" s="1"/>
    </row>
    <row r="52" ht="15" customHeight="1">
      <c r="A52" s="1"/>
      <c r="B52" s="1" t="s">
        <v>484</v>
      </c>
      <c r="C52" s="17">
        <f t="shared" si="31" ref="C52:H52">C136</f>
        <v>-208</v>
      </c>
      <c r="D52" s="17">
        <f t="shared" si="30" ref="D52:I52">D136-C136</f>
        <v>-327</v>
      </c>
      <c r="E52" s="17">
        <f t="shared" si="30"/>
        <v>-307</v>
      </c>
      <c r="F52" s="17">
        <f t="shared" si="30"/>
        <v>-431</v>
      </c>
      <c r="G52" s="17">
        <f t="shared" si="5"/>
        <v>-1273</v>
      </c>
      <c r="H52" s="17">
        <f t="shared" si="31"/>
        <v>-331</v>
      </c>
      <c r="I52" s="17">
        <f t="shared" si="30"/>
        <v>-335</v>
      </c>
      <c r="J52" s="36">
        <v>-340</v>
      </c>
      <c r="K52" s="1" t="s">
        <v>485</v>
      </c>
      <c r="L52" s="1"/>
      <c r="M52" s="1"/>
    </row>
    <row r="53" ht="15" customHeight="1">
      <c r="A53" s="1"/>
      <c r="B53" s="1" t="s">
        <v>112</v>
      </c>
      <c r="C53" s="17"/>
      <c r="D53" s="17"/>
      <c r="E53" s="17"/>
      <c r="F53" s="17"/>
      <c r="G53" s="17"/>
      <c r="H53" s="17">
        <f t="shared" si="6"/>
        <v>-123</v>
      </c>
      <c r="I53" s="17">
        <f t="shared" si="6"/>
        <v>-8</v>
      </c>
      <c r="J53" s="37">
        <f t="shared" si="6"/>
        <v>-33</v>
      </c>
      <c r="K53" s="1"/>
      <c r="L53" s="1"/>
      <c r="M53" s="1"/>
    </row>
    <row r="54" ht="15" customHeight="1">
      <c r="A54" s="1"/>
      <c r="B54" s="1" t="s">
        <v>113</v>
      </c>
      <c r="C54" s="17"/>
      <c r="D54" s="17">
        <f t="shared" si="7"/>
        <v>-119</v>
      </c>
      <c r="E54" s="17">
        <f t="shared" si="7"/>
        <v>20</v>
      </c>
      <c r="F54" s="17">
        <f t="shared" si="7"/>
        <v>-124</v>
      </c>
      <c r="G54" s="17"/>
      <c r="H54" s="17">
        <f t="shared" si="10"/>
        <v>100</v>
      </c>
      <c r="I54" s="17">
        <f t="shared" si="7"/>
        <v>-4</v>
      </c>
      <c r="J54" s="37">
        <f t="shared" si="7"/>
        <v>-5</v>
      </c>
      <c r="K54" s="1"/>
      <c r="L54" s="1"/>
      <c r="M54" s="1"/>
    </row>
    <row r="55" ht="15" customHeight="1">
      <c r="A55" s="1"/>
      <c r="B55" s="1" t="s">
        <v>486</v>
      </c>
      <c r="C55" s="17">
        <f t="shared" si="33" ref="C55:H55">C137</f>
        <v>10</v>
      </c>
      <c r="D55" s="17">
        <f t="shared" si="32" ref="D55:I55">D137-C137</f>
        <v>15</v>
      </c>
      <c r="E55" s="17">
        <f t="shared" si="32"/>
        <v>51</v>
      </c>
      <c r="F55" s="17">
        <f t="shared" si="32"/>
        <v>47</v>
      </c>
      <c r="G55" s="17">
        <f t="shared" si="5"/>
        <v>123</v>
      </c>
      <c r="H55" s="17">
        <f t="shared" si="33"/>
        <v>13</v>
      </c>
      <c r="I55" s="17">
        <f t="shared" si="32"/>
        <v>45</v>
      </c>
      <c r="J55" s="36">
        <v>15</v>
      </c>
      <c r="K55" s="1" t="s">
        <v>487</v>
      </c>
      <c r="L55" s="1"/>
      <c r="M55" s="1"/>
    </row>
    <row r="56" ht="15" customHeight="1">
      <c r="A56" s="1"/>
      <c r="B56" s="1" t="s">
        <v>112</v>
      </c>
      <c r="C56" s="17"/>
      <c r="D56" s="17"/>
      <c r="E56" s="17"/>
      <c r="F56" s="17"/>
      <c r="G56" s="17"/>
      <c r="H56" s="17">
        <f t="shared" si="6"/>
        <v>3</v>
      </c>
      <c r="I56" s="17">
        <f t="shared" si="6"/>
        <v>30</v>
      </c>
      <c r="J56" s="37">
        <f t="shared" si="6"/>
        <v>-36</v>
      </c>
      <c r="K56" s="1"/>
      <c r="L56" s="1"/>
      <c r="M56" s="1"/>
    </row>
    <row r="57" ht="15" customHeight="1">
      <c r="A57" s="1"/>
      <c r="B57" s="1" t="s">
        <v>113</v>
      </c>
      <c r="C57" s="17"/>
      <c r="D57" s="17">
        <f t="shared" si="7"/>
        <v>5</v>
      </c>
      <c r="E57" s="17">
        <f t="shared" si="7"/>
        <v>36</v>
      </c>
      <c r="F57" s="17">
        <f t="shared" si="7"/>
        <v>-4</v>
      </c>
      <c r="G57" s="17"/>
      <c r="H57" s="17">
        <f t="shared" si="10"/>
        <v>-34</v>
      </c>
      <c r="I57" s="17">
        <f t="shared" si="7"/>
        <v>32</v>
      </c>
      <c r="J57" s="37">
        <f t="shared" si="7"/>
        <v>-30</v>
      </c>
      <c r="K57" s="1"/>
      <c r="L57" s="1"/>
      <c r="M57" s="1"/>
    </row>
    <row r="58" ht="15" customHeight="1">
      <c r="A58" s="1"/>
      <c r="B58" s="1" t="s">
        <v>488</v>
      </c>
      <c r="C58" s="17">
        <f t="shared" si="35" ref="C58:H62">C138</f>
        <v>0</v>
      </c>
      <c r="D58" s="17">
        <f t="shared" si="34" ref="D58:I62">D138-C138</f>
        <v>0</v>
      </c>
      <c r="E58" s="17">
        <f t="shared" si="34"/>
        <v>0</v>
      </c>
      <c r="F58" s="17">
        <f t="shared" si="34"/>
        <v>0</v>
      </c>
      <c r="G58" s="17">
        <f t="shared" si="5"/>
        <v>0</v>
      </c>
      <c r="H58" s="17">
        <f t="shared" si="35"/>
        <v>0</v>
      </c>
      <c r="I58" s="17">
        <f t="shared" si="34"/>
        <v>0</v>
      </c>
      <c r="J58" s="36">
        <v>0</v>
      </c>
      <c r="K58" s="1" t="s">
        <v>489</v>
      </c>
      <c r="L58" s="1"/>
      <c r="M58" s="1"/>
    </row>
    <row r="59" ht="15" customHeight="1">
      <c r="A59" s="1"/>
      <c r="B59" s="1" t="s">
        <v>490</v>
      </c>
      <c r="C59" s="17">
        <f t="shared" si="35"/>
        <v>-100</v>
      </c>
      <c r="D59" s="17">
        <f t="shared" si="34"/>
        <v>-254</v>
      </c>
      <c r="E59" s="17">
        <f t="shared" si="34"/>
        <v>-6</v>
      </c>
      <c r="F59" s="17">
        <f t="shared" si="34"/>
        <v>0</v>
      </c>
      <c r="G59" s="17">
        <f t="shared" si="5"/>
        <v>-360</v>
      </c>
      <c r="H59" s="17">
        <f t="shared" si="35"/>
        <v>0</v>
      </c>
      <c r="I59" s="17">
        <f t="shared" si="34"/>
        <v>-1</v>
      </c>
      <c r="J59" s="36">
        <v>0</v>
      </c>
      <c r="K59" s="1" t="s">
        <v>491</v>
      </c>
      <c r="L59" s="1"/>
      <c r="M59" s="1"/>
    </row>
    <row r="60" ht="15" customHeight="1">
      <c r="A60" s="1"/>
      <c r="B60" s="1" t="s">
        <v>492</v>
      </c>
      <c r="C60" s="17">
        <f t="shared" si="35"/>
        <v>0</v>
      </c>
      <c r="D60" s="17">
        <f t="shared" si="34"/>
        <v>0</v>
      </c>
      <c r="E60" s="17">
        <f t="shared" si="34"/>
        <v>0</v>
      </c>
      <c r="F60" s="17">
        <f t="shared" si="34"/>
        <v>0</v>
      </c>
      <c r="G60" s="17">
        <f t="shared" si="5"/>
        <v>0</v>
      </c>
      <c r="H60" s="17">
        <f t="shared" si="35"/>
        <v>0</v>
      </c>
      <c r="I60" s="17">
        <f t="shared" si="34"/>
        <v>0</v>
      </c>
      <c r="J60" s="36">
        <v>0</v>
      </c>
      <c r="K60" s="1" t="s">
        <v>480</v>
      </c>
      <c r="L60" s="1"/>
      <c r="M60" s="1"/>
    </row>
    <row r="61" ht="15" customHeight="1">
      <c r="A61" s="1"/>
      <c r="B61" s="1" t="s">
        <v>493</v>
      </c>
      <c r="C61" s="17">
        <f t="shared" si="35"/>
        <v>99</v>
      </c>
      <c r="D61" s="17">
        <f t="shared" si="34"/>
        <v>262</v>
      </c>
      <c r="E61" s="17">
        <f t="shared" si="34"/>
        <v>234</v>
      </c>
      <c r="F61" s="17">
        <f t="shared" si="34"/>
        <v>-170</v>
      </c>
      <c r="G61" s="17">
        <f t="shared" si="5"/>
        <v>425</v>
      </c>
      <c r="H61" s="17">
        <f t="shared" si="35"/>
        <v>-351</v>
      </c>
      <c r="I61" s="17">
        <f t="shared" si="34"/>
        <v>344</v>
      </c>
      <c r="J61" s="36">
        <v>0</v>
      </c>
      <c r="K61" s="1" t="s">
        <v>494</v>
      </c>
      <c r="L61" s="1"/>
      <c r="M61" s="1"/>
    </row>
    <row r="62" ht="15" customHeight="1">
      <c r="A62" s="1"/>
      <c r="B62" s="1" t="s">
        <v>495</v>
      </c>
      <c r="C62" s="17">
        <f t="shared" si="35"/>
        <v>-121</v>
      </c>
      <c r="D62" s="17">
        <f t="shared" si="34"/>
        <v>-309</v>
      </c>
      <c r="E62" s="17">
        <f t="shared" si="34"/>
        <v>-365</v>
      </c>
      <c r="F62" s="17">
        <f t="shared" si="34"/>
        <v>1104</v>
      </c>
      <c r="G62" s="17">
        <f t="shared" si="5"/>
        <v>309</v>
      </c>
      <c r="H62" s="17">
        <f t="shared" si="35"/>
        <v>-206</v>
      </c>
      <c r="I62" s="17">
        <f t="shared" si="34"/>
        <v>-1041</v>
      </c>
      <c r="J62" s="36">
        <v>0</v>
      </c>
      <c r="K62" s="1" t="s">
        <v>480</v>
      </c>
      <c r="L62" s="1"/>
      <c r="M62" s="1"/>
    </row>
    <row r="63" ht="15" customHeight="1">
      <c r="A63" s="1"/>
      <c r="B63" s="3" t="s">
        <v>496</v>
      </c>
      <c r="C63" s="38">
        <f t="shared" si="36" ref="C63:J63">C52+C55+C58+C59+C60+C61+C62</f>
        <v>-320</v>
      </c>
      <c r="D63" s="38">
        <f t="shared" si="36"/>
        <v>-613</v>
      </c>
      <c r="E63" s="38">
        <f t="shared" si="36"/>
        <v>-393</v>
      </c>
      <c r="F63" s="38">
        <f t="shared" si="36"/>
        <v>550</v>
      </c>
      <c r="G63" s="38">
        <f t="shared" si="36"/>
        <v>-776</v>
      </c>
      <c r="H63" s="38">
        <f t="shared" si="36"/>
        <v>-875</v>
      </c>
      <c r="I63" s="38">
        <f t="shared" si="36"/>
        <v>-988</v>
      </c>
      <c r="J63" s="39">
        <f t="shared" si="36"/>
        <v>-325</v>
      </c>
      <c r="K63" s="1" t="s">
        <v>497</v>
      </c>
      <c r="L63" s="1"/>
      <c r="M63" s="1"/>
    </row>
    <row r="64" ht="15" customHeight="1">
      <c r="A64" s="1"/>
      <c r="B64" s="1" t="s">
        <v>498</v>
      </c>
      <c r="C64" s="17">
        <f t="shared" si="38" ref="C64:H64">C143</f>
        <v>3</v>
      </c>
      <c r="D64" s="17">
        <f t="shared" si="37" ref="D64:I64">D143-C143</f>
        <v>79</v>
      </c>
      <c r="E64" s="17">
        <f t="shared" si="37"/>
        <v>-213</v>
      </c>
      <c r="F64" s="17">
        <f t="shared" si="37"/>
        <v>-246</v>
      </c>
      <c r="G64" s="17">
        <f t="shared" si="5"/>
        <v>-377</v>
      </c>
      <c r="H64" s="17">
        <f t="shared" si="38"/>
        <v>-44</v>
      </c>
      <c r="I64" s="17">
        <f t="shared" si="37"/>
        <v>-66</v>
      </c>
      <c r="J64" s="36">
        <v>0</v>
      </c>
      <c r="K64" s="1" t="s">
        <v>480</v>
      </c>
      <c r="L64" s="1"/>
      <c r="M64" s="1"/>
    </row>
    <row r="65" ht="15" customHeight="1">
      <c r="A65" s="1"/>
      <c r="B65" s="3" t="s">
        <v>499</v>
      </c>
      <c r="C65" s="38">
        <f t="shared" si="39" ref="C65:J85">C63+C64</f>
        <v>-317</v>
      </c>
      <c r="D65" s="38">
        <f t="shared" si="39"/>
        <v>-534</v>
      </c>
      <c r="E65" s="38">
        <f t="shared" si="39"/>
        <v>-606</v>
      </c>
      <c r="F65" s="38">
        <f t="shared" si="39"/>
        <v>304</v>
      </c>
      <c r="G65" s="38">
        <f t="shared" si="39"/>
        <v>-1153</v>
      </c>
      <c r="H65" s="38">
        <f t="shared" si="39"/>
        <v>-919</v>
      </c>
      <c r="I65" s="38">
        <f t="shared" si="39"/>
        <v>-1054</v>
      </c>
      <c r="J65" s="39">
        <f t="shared" si="39"/>
        <v>-325</v>
      </c>
      <c r="K65" s="1" t="s">
        <v>500</v>
      </c>
      <c r="L65" s="1"/>
      <c r="M65" s="1"/>
    </row>
    <row r="66" ht="15" customHeight="1">
      <c r="A66" s="1"/>
      <c r="B66" s="28" t="s">
        <v>501</v>
      </c>
      <c r="C66" s="29"/>
      <c r="D66" s="29"/>
      <c r="E66" s="29"/>
      <c r="F66" s="29"/>
      <c r="G66" s="29"/>
      <c r="H66" s="29"/>
      <c r="I66" s="29"/>
      <c r="J66" s="30"/>
      <c r="K66" s="29"/>
      <c r="L66" s="1"/>
      <c r="M66" s="1"/>
    </row>
    <row r="67" ht="15" customHeight="1">
      <c r="A67" s="1"/>
      <c r="B67" s="1" t="s">
        <v>502</v>
      </c>
      <c r="C67" s="17">
        <f t="shared" si="41" ref="C67:H70">C144</f>
        <v>0</v>
      </c>
      <c r="D67" s="17">
        <f t="shared" si="40" ref="D67:I70">D144-C144</f>
        <v>25</v>
      </c>
      <c r="E67" s="17">
        <f t="shared" si="40"/>
        <v>-8</v>
      </c>
      <c r="F67" s="17">
        <f t="shared" si="40"/>
        <v>8</v>
      </c>
      <c r="G67" s="17">
        <f t="shared" si="5"/>
        <v>25</v>
      </c>
      <c r="H67" s="17">
        <f t="shared" si="41"/>
        <v>0</v>
      </c>
      <c r="I67" s="17">
        <f t="shared" si="40"/>
        <v>-20</v>
      </c>
      <c r="J67" s="36">
        <v>0</v>
      </c>
      <c r="K67" s="1" t="s">
        <v>503</v>
      </c>
      <c r="L67" s="1"/>
      <c r="M67" s="1"/>
    </row>
    <row r="68" ht="15" customHeight="1">
      <c r="A68" s="1"/>
      <c r="B68" s="1" t="s">
        <v>504</v>
      </c>
      <c r="C68" s="17">
        <f t="shared" si="41"/>
        <v>0</v>
      </c>
      <c r="D68" s="17">
        <f t="shared" si="40"/>
        <v>0</v>
      </c>
      <c r="E68" s="17">
        <f t="shared" si="40"/>
        <v>1985</v>
      </c>
      <c r="F68" s="17">
        <f t="shared" si="40"/>
        <v>0</v>
      </c>
      <c r="G68" s="17">
        <f t="shared" si="5"/>
        <v>1985</v>
      </c>
      <c r="H68" s="17">
        <f t="shared" si="41"/>
        <v>0</v>
      </c>
      <c r="I68" s="17">
        <f t="shared" si="40"/>
        <v>0</v>
      </c>
      <c r="J68" s="36">
        <v>0</v>
      </c>
      <c r="K68" s="1" t="s">
        <v>480</v>
      </c>
      <c r="L68" s="1"/>
      <c r="M68" s="1"/>
    </row>
    <row r="69" ht="15" customHeight="1">
      <c r="A69" s="1"/>
      <c r="B69" s="1" t="s">
        <v>505</v>
      </c>
      <c r="C69" s="17">
        <f t="shared" si="41"/>
        <v>-56</v>
      </c>
      <c r="D69" s="17">
        <f t="shared" si="40"/>
        <v>-1197</v>
      </c>
      <c r="E69" s="17">
        <f t="shared" si="40"/>
        <v>-51</v>
      </c>
      <c r="F69" s="17">
        <f t="shared" si="40"/>
        <v>-507</v>
      </c>
      <c r="G69" s="17">
        <f t="shared" si="5"/>
        <v>-1811</v>
      </c>
      <c r="H69" s="17">
        <f t="shared" si="41"/>
        <v>-60</v>
      </c>
      <c r="I69" s="17">
        <f t="shared" si="40"/>
        <v>-966</v>
      </c>
      <c r="J69" s="36">
        <v>0</v>
      </c>
      <c r="K69" s="1" t="s">
        <v>506</v>
      </c>
      <c r="L69" s="1"/>
      <c r="M69" s="1"/>
    </row>
    <row r="70" ht="15" customHeight="1">
      <c r="A70" s="1"/>
      <c r="B70" s="1" t="s">
        <v>507</v>
      </c>
      <c r="C70" s="17">
        <f t="shared" si="41"/>
        <v>-302</v>
      </c>
      <c r="D70" s="17">
        <f t="shared" si="40"/>
        <v>-386</v>
      </c>
      <c r="E70" s="17">
        <f t="shared" si="40"/>
        <v>-383</v>
      </c>
      <c r="F70" s="17">
        <f t="shared" si="40"/>
        <v>-381</v>
      </c>
      <c r="G70" s="17">
        <f t="shared" si="5"/>
        <v>-1452</v>
      </c>
      <c r="H70" s="17">
        <f t="shared" si="41"/>
        <v>-381</v>
      </c>
      <c r="I70" s="17">
        <f t="shared" si="40"/>
        <v>-492</v>
      </c>
      <c r="J70" s="31">
        <f>-'Share Count'!J36*'Share Count'!J26</f>
        <v>-486.3476386857576</v>
      </c>
      <c r="K70" s="1" t="s">
        <v>508</v>
      </c>
      <c r="L70" s="1"/>
      <c r="M70" s="1"/>
    </row>
    <row r="71" ht="15" customHeight="1">
      <c r="A71" s="1"/>
      <c r="B71" s="1" t="s">
        <v>112</v>
      </c>
      <c r="C71" s="17"/>
      <c r="D71" s="17"/>
      <c r="E71" s="17"/>
      <c r="F71" s="17"/>
      <c r="G71" s="17"/>
      <c r="H71" s="17">
        <f t="shared" si="6"/>
        <v>-79</v>
      </c>
      <c r="I71" s="17">
        <f t="shared" si="6"/>
        <v>-106</v>
      </c>
      <c r="J71" s="37">
        <f t="shared" si="6"/>
        <v>-103.3476386857576</v>
      </c>
      <c r="K71" s="1"/>
      <c r="L71" s="1"/>
      <c r="M71" s="1"/>
    </row>
    <row r="72" ht="15" customHeight="1">
      <c r="A72" s="1"/>
      <c r="B72" s="1" t="s">
        <v>113</v>
      </c>
      <c r="C72" s="17"/>
      <c r="D72" s="17">
        <f t="shared" si="7"/>
        <v>-84</v>
      </c>
      <c r="E72" s="17">
        <f t="shared" si="7"/>
        <v>3</v>
      </c>
      <c r="F72" s="17">
        <f t="shared" si="7"/>
        <v>2</v>
      </c>
      <c r="G72" s="17"/>
      <c r="H72" s="17">
        <f t="shared" si="10"/>
        <v>0</v>
      </c>
      <c r="I72" s="17">
        <f t="shared" si="7"/>
        <v>-111</v>
      </c>
      <c r="J72" s="37">
        <f t="shared" si="7"/>
        <v>5.652361314242398</v>
      </c>
      <c r="K72" s="1"/>
      <c r="L72" s="1"/>
      <c r="M72" s="1"/>
    </row>
    <row r="73" ht="15" customHeight="1">
      <c r="A73" s="1"/>
      <c r="B73" s="1" t="s">
        <v>509</v>
      </c>
      <c r="C73" s="17">
        <f t="shared" si="43" ref="C73:H73">C148</f>
        <v>-1965</v>
      </c>
      <c r="D73" s="17">
        <f t="shared" si="42" ref="D73:I73">D148-C148</f>
        <v>-1745</v>
      </c>
      <c r="E73" s="17">
        <f t="shared" si="42"/>
        <v>-1844</v>
      </c>
      <c r="F73" s="17">
        <f t="shared" si="42"/>
        <v>-1997</v>
      </c>
      <c r="G73" s="17">
        <f t="shared" si="5"/>
        <v>-7551</v>
      </c>
      <c r="H73" s="17">
        <f t="shared" si="43"/>
        <v>-2399</v>
      </c>
      <c r="I73" s="17">
        <f t="shared" si="42"/>
        <v>-2128</v>
      </c>
      <c r="J73" s="31">
        <f>-'Share Count'!J18</f>
        <v>-2000</v>
      </c>
      <c r="K73" s="1" t="s">
        <v>510</v>
      </c>
      <c r="L73" s="1"/>
      <c r="M73" s="1"/>
    </row>
    <row r="74" ht="15" customHeight="1">
      <c r="A74" s="1"/>
      <c r="B74" s="1" t="s">
        <v>112</v>
      </c>
      <c r="C74" s="17"/>
      <c r="D74" s="17"/>
      <c r="E74" s="17"/>
      <c r="F74" s="17"/>
      <c r="G74" s="17"/>
      <c r="H74" s="17">
        <f t="shared" si="6"/>
        <v>-434</v>
      </c>
      <c r="I74" s="17">
        <f t="shared" si="6"/>
        <v>-383</v>
      </c>
      <c r="J74" s="37">
        <f t="shared" si="6"/>
        <v>-156</v>
      </c>
      <c r="K74" s="1"/>
      <c r="L74" s="1"/>
      <c r="M74" s="1"/>
    </row>
    <row r="75" ht="15" customHeight="1">
      <c r="A75" s="1"/>
      <c r="B75" s="1" t="s">
        <v>113</v>
      </c>
      <c r="C75" s="17"/>
      <c r="D75" s="17">
        <f t="shared" si="7"/>
        <v>220</v>
      </c>
      <c r="E75" s="17">
        <f t="shared" si="7"/>
        <v>-99</v>
      </c>
      <c r="F75" s="17">
        <f t="shared" si="7"/>
        <v>-153</v>
      </c>
      <c r="G75" s="17"/>
      <c r="H75" s="17">
        <f t="shared" si="10"/>
        <v>-402</v>
      </c>
      <c r="I75" s="17">
        <f t="shared" si="7"/>
        <v>271</v>
      </c>
      <c r="J75" s="37">
        <f t="shared" si="7"/>
        <v>128</v>
      </c>
      <c r="K75" s="1"/>
      <c r="L75" s="1"/>
      <c r="M75" s="1"/>
    </row>
    <row r="76" ht="15" customHeight="1">
      <c r="A76" s="1"/>
      <c r="B76" s="1" t="s">
        <v>511</v>
      </c>
      <c r="C76" s="17">
        <f t="shared" si="45" ref="C76:H76">C149</f>
        <v>39</v>
      </c>
      <c r="D76" s="17">
        <f t="shared" si="44" ref="D76:I76">D149-C149</f>
        <v>97</v>
      </c>
      <c r="E76" s="17">
        <f t="shared" si="44"/>
        <v>-65</v>
      </c>
      <c r="F76" s="17">
        <f t="shared" si="44"/>
        <v>49</v>
      </c>
      <c r="G76" s="17">
        <f t="shared" si="5"/>
        <v>120</v>
      </c>
      <c r="H76" s="17">
        <f t="shared" si="45"/>
        <v>9</v>
      </c>
      <c r="I76" s="17">
        <f t="shared" si="44"/>
        <v>45</v>
      </c>
      <c r="J76" s="36">
        <v>0</v>
      </c>
      <c r="K76" s="1" t="s">
        <v>480</v>
      </c>
      <c r="L76" s="1"/>
      <c r="M76" s="1"/>
    </row>
    <row r="77" ht="15" customHeight="1">
      <c r="A77" s="1"/>
      <c r="B77" s="3" t="s">
        <v>512</v>
      </c>
      <c r="C77" s="38">
        <f t="shared" si="46" ref="C77:J77">C67+C68+C69+C70+C73+C76</f>
        <v>-2284</v>
      </c>
      <c r="D77" s="38">
        <f t="shared" si="46"/>
        <v>-3206</v>
      </c>
      <c r="E77" s="38">
        <f t="shared" si="46"/>
        <v>-366</v>
      </c>
      <c r="F77" s="38">
        <f t="shared" si="46"/>
        <v>-2828</v>
      </c>
      <c r="G77" s="38">
        <f t="shared" si="46"/>
        <v>-8684</v>
      </c>
      <c r="H77" s="38">
        <f t="shared" si="46"/>
        <v>-2831</v>
      </c>
      <c r="I77" s="38">
        <f t="shared" si="46"/>
        <v>-3561</v>
      </c>
      <c r="J77" s="39">
        <f t="shared" si="46"/>
        <v>-2486.3476386857574</v>
      </c>
      <c r="K77" s="1" t="s">
        <v>513</v>
      </c>
      <c r="L77" s="1"/>
      <c r="M77" s="1"/>
    </row>
    <row r="78" ht="15" customHeight="1">
      <c r="A78" s="1"/>
      <c r="B78" s="1" t="s">
        <v>514</v>
      </c>
      <c r="C78" s="17">
        <f t="shared" si="48" ref="C78:H78">C150</f>
        <v>0</v>
      </c>
      <c r="D78" s="17">
        <f t="shared" si="47" ref="D78:I78">D150-C150</f>
        <v>0</v>
      </c>
      <c r="E78" s="17">
        <f t="shared" si="47"/>
        <v>0</v>
      </c>
      <c r="F78" s="17">
        <f t="shared" si="47"/>
        <v>0</v>
      </c>
      <c r="G78" s="17">
        <f t="shared" si="5"/>
        <v>0</v>
      </c>
      <c r="H78" s="17">
        <f t="shared" si="48"/>
        <v>0</v>
      </c>
      <c r="I78" s="17">
        <f t="shared" si="47"/>
        <v>0</v>
      </c>
      <c r="J78" s="36">
        <v>0</v>
      </c>
      <c r="K78" s="1" t="s">
        <v>480</v>
      </c>
      <c r="L78" s="1"/>
      <c r="M78" s="1"/>
    </row>
    <row r="79" ht="15" customHeight="1">
      <c r="A79" s="1"/>
      <c r="B79" s="3" t="s">
        <v>515</v>
      </c>
      <c r="C79" s="38">
        <f t="shared" si="39"/>
        <v>-2284</v>
      </c>
      <c r="D79" s="38">
        <f t="shared" si="39"/>
        <v>-3206</v>
      </c>
      <c r="E79" s="38">
        <f t="shared" si="39"/>
        <v>-366</v>
      </c>
      <c r="F79" s="38">
        <f t="shared" si="39"/>
        <v>-2828</v>
      </c>
      <c r="G79" s="38">
        <f t="shared" si="39"/>
        <v>-8684</v>
      </c>
      <c r="H79" s="38">
        <f t="shared" si="39"/>
        <v>-2831</v>
      </c>
      <c r="I79" s="38">
        <f t="shared" si="39"/>
        <v>-3561</v>
      </c>
      <c r="J79" s="39">
        <f t="shared" si="39"/>
        <v>-2486.3476386857574</v>
      </c>
      <c r="K79" s="1" t="s">
        <v>516</v>
      </c>
      <c r="L79" s="1"/>
      <c r="M79" s="1"/>
    </row>
    <row r="80" ht="15" customHeight="1">
      <c r="A80" s="1"/>
      <c r="B80" s="1" t="s">
        <v>517</v>
      </c>
      <c r="C80" s="17">
        <f t="shared" si="50" ref="C80:H80">C151</f>
        <v>84</v>
      </c>
      <c r="D80" s="17">
        <f t="shared" si="49" ref="D80:I80">D151-C151</f>
        <v>104</v>
      </c>
      <c r="E80" s="17">
        <f t="shared" si="49"/>
        <v>1</v>
      </c>
      <c r="F80" s="17">
        <f t="shared" si="49"/>
        <v>12</v>
      </c>
      <c r="G80" s="17">
        <f t="shared" si="5"/>
        <v>201</v>
      </c>
      <c r="H80" s="17">
        <f t="shared" si="50"/>
        <v>-57</v>
      </c>
      <c r="I80" s="17">
        <f t="shared" si="49"/>
        <v>-11</v>
      </c>
      <c r="J80" s="36">
        <v>0</v>
      </c>
      <c r="K80" s="1" t="s">
        <v>518</v>
      </c>
      <c r="L80" s="1"/>
      <c r="M80" s="1"/>
    </row>
    <row r="81" ht="15" customHeight="1">
      <c r="A81" s="1"/>
      <c r="B81" s="3" t="s">
        <v>519</v>
      </c>
      <c r="C81" s="38">
        <f t="shared" si="51" ref="C81:J81">C50+C65+C79+C80</f>
        <v>-1006</v>
      </c>
      <c r="D81" s="38">
        <f t="shared" si="51"/>
        <v>-1392</v>
      </c>
      <c r="E81" s="38">
        <f t="shared" si="51"/>
        <v>1529</v>
      </c>
      <c r="F81" s="38">
        <f t="shared" si="51"/>
        <v>-230</v>
      </c>
      <c r="G81" s="38">
        <f t="shared" si="51"/>
        <v>-1099</v>
      </c>
      <c r="H81" s="38">
        <f t="shared" si="51"/>
        <v>-1985</v>
      </c>
      <c r="I81" s="38">
        <f t="shared" si="51"/>
        <v>-1431</v>
      </c>
      <c r="J81" s="39">
        <f t="shared" si="51"/>
        <v>18.091321314243032</v>
      </c>
      <c r="K81" s="1" t="s">
        <v>520</v>
      </c>
      <c r="L81" s="1"/>
      <c r="M81" s="1"/>
    </row>
    <row r="82" ht="15" customHeight="1">
      <c r="A82" s="1"/>
      <c r="B82" s="1" t="s">
        <v>521</v>
      </c>
      <c r="C82" s="17">
        <f t="shared" si="53" ref="C82:I84">C152</f>
        <v>15880</v>
      </c>
      <c r="D82" s="17">
        <f t="shared" si="52" ref="D82:J82">C83</f>
        <v>14874</v>
      </c>
      <c r="E82" s="17">
        <f t="shared" si="52"/>
        <v>13482</v>
      </c>
      <c r="F82" s="17">
        <f t="shared" si="52"/>
        <v>15011</v>
      </c>
      <c r="G82" s="17">
        <f t="shared" si="74" ref="G82:G153">C82</f>
        <v>15880</v>
      </c>
      <c r="H82" s="17">
        <f t="shared" si="53"/>
        <v>14782</v>
      </c>
      <c r="I82" s="17">
        <f t="shared" si="52"/>
        <v>12797</v>
      </c>
      <c r="J82" s="37">
        <f t="shared" si="52"/>
        <v>11366</v>
      </c>
      <c r="K82" s="1" t="s">
        <v>522</v>
      </c>
      <c r="L82" s="1"/>
      <c r="M82" s="1"/>
    </row>
    <row r="83" ht="15" customHeight="1">
      <c r="A83" s="1"/>
      <c r="B83" s="3" t="s">
        <v>523</v>
      </c>
      <c r="C83" s="38">
        <f t="shared" si="54" ref="C83:J83">C82+C81</f>
        <v>14874</v>
      </c>
      <c r="D83" s="38">
        <f t="shared" si="54"/>
        <v>13482</v>
      </c>
      <c r="E83" s="38">
        <f t="shared" si="54"/>
        <v>15011</v>
      </c>
      <c r="F83" s="38">
        <f t="shared" si="54"/>
        <v>14781</v>
      </c>
      <c r="G83" s="38">
        <f t="shared" si="54"/>
        <v>14781</v>
      </c>
      <c r="H83" s="38">
        <f t="shared" si="54"/>
        <v>12797</v>
      </c>
      <c r="I83" s="38">
        <f t="shared" si="54"/>
        <v>11366</v>
      </c>
      <c r="J83" s="39">
        <f t="shared" si="54"/>
        <v>11384.091321314243</v>
      </c>
      <c r="K83" s="1" t="s">
        <v>524</v>
      </c>
      <c r="L83" s="1"/>
      <c r="M83" s="1"/>
    </row>
    <row r="84" ht="15" customHeight="1">
      <c r="A84" s="1"/>
      <c r="B84" s="1" t="s">
        <v>525</v>
      </c>
      <c r="C84" s="17">
        <f t="shared" si="53"/>
        <v>-1372</v>
      </c>
      <c r="D84" s="17">
        <f t="shared" si="53"/>
        <v>-1429</v>
      </c>
      <c r="E84" s="17">
        <f t="shared" si="53"/>
        <v>-1171</v>
      </c>
      <c r="F84" s="17">
        <f t="shared" si="53"/>
        <v>-1126</v>
      </c>
      <c r="G84" s="17">
        <f>F154</f>
        <v>-1126</v>
      </c>
      <c r="H84" s="17">
        <f t="shared" si="53"/>
        <v>-1000</v>
      </c>
      <c r="I84" s="17">
        <f t="shared" si="53"/>
        <v>-854</v>
      </c>
      <c r="J84" s="37">
        <f>I84</f>
        <v>-854</v>
      </c>
      <c r="K84" s="1" t="s">
        <v>526</v>
      </c>
      <c r="L84" s="1"/>
      <c r="M84" s="1"/>
    </row>
    <row r="85" ht="15" customHeight="1">
      <c r="A85" s="1"/>
      <c r="B85" s="3" t="s">
        <v>527</v>
      </c>
      <c r="C85" s="38">
        <f t="shared" si="39"/>
        <v>13502</v>
      </c>
      <c r="D85" s="38">
        <f t="shared" si="39"/>
        <v>12053</v>
      </c>
      <c r="E85" s="38">
        <f t="shared" si="39"/>
        <v>13840</v>
      </c>
      <c r="F85" s="38">
        <f t="shared" si="39"/>
        <v>13655</v>
      </c>
      <c r="G85" s="38">
        <f t="shared" si="39"/>
        <v>13655</v>
      </c>
      <c r="H85" s="38">
        <f t="shared" si="39"/>
        <v>11797</v>
      </c>
      <c r="I85" s="38">
        <f t="shared" si="39"/>
        <v>10512</v>
      </c>
      <c r="J85" s="39">
        <f t="shared" si="39"/>
        <v>10530.091321314243</v>
      </c>
      <c r="K85" s="1" t="s">
        <v>528</v>
      </c>
      <c r="L85" s="1"/>
      <c r="M85" s="1"/>
    </row>
    <row r="86" ht="15" customHeight="1">
      <c r="A86" s="1"/>
      <c r="B86" s="1" t="s">
        <v>529</v>
      </c>
      <c r="C86" s="17">
        <f>C85-(C152+C153)</f>
        <v>-1051</v>
      </c>
      <c r="D86" s="17">
        <f t="shared" si="1"/>
        <v>-1449</v>
      </c>
      <c r="E86" s="17">
        <f t="shared" si="1"/>
        <v>1787</v>
      </c>
      <c r="F86" s="17">
        <f t="shared" si="1"/>
        <v>-185</v>
      </c>
      <c r="G86" s="17">
        <f t="shared" si="5"/>
        <v>-898</v>
      </c>
      <c r="H86" s="17">
        <f t="shared" si="55"/>
        <v>-1858</v>
      </c>
      <c r="I86" s="17">
        <f t="shared" si="1"/>
        <v>-1285</v>
      </c>
      <c r="J86" s="37">
        <f t="shared" si="1"/>
        <v>18.091321314243032</v>
      </c>
      <c r="K86" s="1" t="s">
        <v>530</v>
      </c>
      <c r="L86" s="1"/>
      <c r="M86" s="1"/>
    </row>
    <row r="87" ht="15" customHeight="1">
      <c r="A87" s="1"/>
      <c r="B87" s="28" t="s">
        <v>531</v>
      </c>
      <c r="C87" s="29"/>
      <c r="D87" s="29"/>
      <c r="E87" s="29"/>
      <c r="F87" s="29"/>
      <c r="G87" s="29"/>
      <c r="H87" s="29"/>
      <c r="I87" s="29"/>
      <c r="J87" s="30"/>
      <c r="K87" s="29"/>
      <c r="L87" s="1"/>
      <c r="M87" s="1"/>
    </row>
    <row r="88" ht="15" customHeight="1">
      <c r="A88" s="1"/>
      <c r="B88" s="1" t="s">
        <v>532</v>
      </c>
      <c r="C88" s="16">
        <f>'Balance Sheet'!C10</f>
        <v>12405</v>
      </c>
      <c r="D88" s="16">
        <f>'Balance Sheet'!D10</f>
        <v>10861</v>
      </c>
      <c r="E88" s="16">
        <f>'Balance Sheet'!E10</f>
        <v>12501</v>
      </c>
      <c r="F88" s="16">
        <f>'Balance Sheet'!F10</f>
        <v>12392</v>
      </c>
      <c r="G88" s="16">
        <f>'Balance Sheet'!G10</f>
        <v>12392</v>
      </c>
      <c r="H88" s="16">
        <f>'Balance Sheet'!H10</f>
        <v>10981</v>
      </c>
      <c r="I88" s="16">
        <f>'Balance Sheet'!I10</f>
        <v>9345</v>
      </c>
      <c r="J88" s="31">
        <f>'Balance Sheet'!J10</f>
        <v>9363.091321314243</v>
      </c>
      <c r="K88" s="1" t="s">
        <v>533</v>
      </c>
      <c r="L88" s="1"/>
      <c r="M88" s="1"/>
    </row>
    <row r="89" ht="15" customHeight="1">
      <c r="A89" s="1"/>
      <c r="B89" s="1" t="s">
        <v>534</v>
      </c>
      <c r="C89" s="17">
        <f t="shared" si="56" ref="C89:J89">C85-C88</f>
        <v>1097</v>
      </c>
      <c r="D89" s="17">
        <f t="shared" si="56"/>
        <v>1192</v>
      </c>
      <c r="E89" s="17">
        <f t="shared" si="56"/>
        <v>1339</v>
      </c>
      <c r="F89" s="17">
        <f t="shared" si="56"/>
        <v>1263</v>
      </c>
      <c r="G89" s="17">
        <f t="shared" si="56"/>
        <v>1263</v>
      </c>
      <c r="H89" s="17">
        <f t="shared" si="56"/>
        <v>816</v>
      </c>
      <c r="I89" s="17">
        <f t="shared" si="56"/>
        <v>1167</v>
      </c>
      <c r="J89" s="37">
        <f t="shared" si="56"/>
        <v>1167</v>
      </c>
      <c r="K89" s="1" t="s">
        <v>535</v>
      </c>
      <c r="L89" s="1"/>
      <c r="M89" s="1"/>
    </row>
    <row r="90" ht="15" customHeight="1">
      <c r="A90" s="1"/>
      <c r="B90" s="1" t="s">
        <v>536</v>
      </c>
      <c r="C90" s="35">
        <v>1100</v>
      </c>
      <c r="D90" s="35">
        <v>1200</v>
      </c>
      <c r="E90" s="35">
        <v>1300</v>
      </c>
      <c r="F90" s="35">
        <v>1300</v>
      </c>
      <c r="G90" s="17">
        <f t="shared" si="57" ref="G90:J152">F90</f>
        <v>1300</v>
      </c>
      <c r="H90" s="35">
        <v>800</v>
      </c>
      <c r="I90" s="35">
        <v>1200</v>
      </c>
      <c r="J90" s="37">
        <f t="shared" si="57"/>
        <v>1200</v>
      </c>
      <c r="K90" s="1" t="s">
        <v>537</v>
      </c>
      <c r="L90" s="1"/>
      <c r="M90" s="1"/>
    </row>
    <row r="91" ht="15" customHeight="1">
      <c r="A91" s="1"/>
      <c r="B91" s="1" t="s">
        <v>538</v>
      </c>
      <c r="C91" s="40" t="b">
        <f t="shared" si="58" ref="C91:J91">ABS(C89-C90)&lt;=60</f>
        <v>1</v>
      </c>
      <c r="D91" s="40" t="b">
        <f t="shared" si="58"/>
        <v>1</v>
      </c>
      <c r="E91" s="40" t="b">
        <f t="shared" si="58"/>
        <v>1</v>
      </c>
      <c r="F91" s="40" t="b">
        <f t="shared" si="58"/>
        <v>1</v>
      </c>
      <c r="G91" s="40" t="b">
        <f t="shared" si="58"/>
        <v>1</v>
      </c>
      <c r="H91" s="40" t="b">
        <f t="shared" si="58"/>
        <v>1</v>
      </c>
      <c r="I91" s="40" t="b">
        <f t="shared" si="58"/>
        <v>1</v>
      </c>
      <c r="J91" s="41" t="b">
        <f t="shared" si="58"/>
        <v>1</v>
      </c>
      <c r="K91" s="1" t="s">
        <v>539</v>
      </c>
      <c r="L91" s="1"/>
      <c r="M91" s="1"/>
    </row>
    <row r="92" ht="15" customHeight="1">
      <c r="A92" s="1"/>
      <c r="B92" s="1" t="s">
        <v>540</v>
      </c>
      <c r="C92" s="17"/>
      <c r="D92" s="17">
        <f t="shared" si="59" ref="D92:J92">(D88-C88)+(D90-C90)-D86</f>
        <v>5</v>
      </c>
      <c r="E92" s="17">
        <f t="shared" si="59"/>
        <v>-47</v>
      </c>
      <c r="F92" s="17">
        <f t="shared" si="59"/>
        <v>76</v>
      </c>
      <c r="G92" s="17"/>
      <c r="H92" s="17">
        <f>(H88-F88)+(H90-F90)-H86</f>
        <v>-53</v>
      </c>
      <c r="I92" s="17">
        <f t="shared" si="59"/>
        <v>49</v>
      </c>
      <c r="J92" s="37">
        <f t="shared" si="59"/>
        <v>0</v>
      </c>
      <c r="K92" s="1" t="s">
        <v>541</v>
      </c>
      <c r="L92" s="1"/>
      <c r="M92" s="1"/>
    </row>
    <row r="93" ht="15" customHeight="1">
      <c r="A93" s="1"/>
      <c r="B93" s="1" t="s">
        <v>542</v>
      </c>
      <c r="C93" s="1"/>
      <c r="D93" s="40" t="b">
        <f t="shared" si="60" ref="D93:I93">ABS(D92)&lt;=110</f>
        <v>1</v>
      </c>
      <c r="E93" s="40" t="b">
        <f t="shared" si="60"/>
        <v>1</v>
      </c>
      <c r="F93" s="40" t="b">
        <f t="shared" si="60"/>
        <v>1</v>
      </c>
      <c r="G93" s="40"/>
      <c r="H93" s="40" t="b">
        <f t="shared" si="60"/>
        <v>1</v>
      </c>
      <c r="I93" s="40" t="b">
        <f t="shared" si="60"/>
        <v>1</v>
      </c>
      <c r="J93" s="41" t="b">
        <f>ABS(J92)&lt;0.001</f>
        <v>1</v>
      </c>
      <c r="K93" s="1" t="s">
        <v>543</v>
      </c>
      <c r="L93" s="1"/>
      <c r="M93" s="1"/>
    </row>
    <row r="94" ht="15" customHeight="1">
      <c r="A94" s="1"/>
      <c r="B94" s="1" t="s">
        <v>544</v>
      </c>
      <c r="C94" s="1"/>
      <c r="D94" s="1"/>
      <c r="E94" s="1"/>
      <c r="F94" s="1"/>
      <c r="G94" s="40" t="b">
        <f>ABS(G47-F132)&lt;0.001</f>
        <v>1</v>
      </c>
      <c r="H94" s="1"/>
      <c r="I94" s="1"/>
      <c r="J94" s="27"/>
      <c r="K94" s="1" t="s">
        <v>545</v>
      </c>
      <c r="L94" s="1"/>
      <c r="M94" s="1"/>
    </row>
    <row r="95" ht="15" customHeight="1">
      <c r="A95" s="1"/>
      <c r="B95" s="28" t="s">
        <v>546</v>
      </c>
      <c r="C95" s="29"/>
      <c r="D95" s="29"/>
      <c r="E95" s="29"/>
      <c r="F95" s="29"/>
      <c r="G95" s="29"/>
      <c r="H95" s="29"/>
      <c r="I95" s="29"/>
      <c r="J95" s="30"/>
      <c r="K95" s="29"/>
      <c r="L95" s="1"/>
      <c r="M95" s="1"/>
    </row>
    <row r="96" ht="15" customHeight="1">
      <c r="A96" s="1"/>
      <c r="B96" s="1" t="s">
        <v>477</v>
      </c>
      <c r="C96" s="17">
        <f t="shared" si="61" ref="C96:J96">C47</f>
        <v>1544</v>
      </c>
      <c r="D96" s="17">
        <f t="shared" si="61"/>
        <v>2347</v>
      </c>
      <c r="E96" s="17">
        <f t="shared" si="61"/>
        <v>2555</v>
      </c>
      <c r="F96" s="17">
        <f t="shared" si="61"/>
        <v>2097</v>
      </c>
      <c r="G96" s="17">
        <f t="shared" si="61"/>
        <v>8543</v>
      </c>
      <c r="H96" s="17">
        <f t="shared" si="61"/>
        <v>1866</v>
      </c>
      <c r="I96" s="17">
        <f t="shared" si="61"/>
        <v>3259</v>
      </c>
      <c r="J96" s="37">
        <f t="shared" si="61"/>
        <v>2829.4389600000004</v>
      </c>
      <c r="K96" s="1"/>
      <c r="L96" s="1"/>
      <c r="M96" s="1"/>
    </row>
    <row r="97" ht="15" customHeight="1">
      <c r="A97" s="1"/>
      <c r="B97" s="1" t="s">
        <v>547</v>
      </c>
      <c r="C97" s="17">
        <f t="shared" si="62" ref="C97:J97">C52</f>
        <v>-208</v>
      </c>
      <c r="D97" s="17">
        <f t="shared" si="62"/>
        <v>-327</v>
      </c>
      <c r="E97" s="17">
        <f t="shared" si="62"/>
        <v>-307</v>
      </c>
      <c r="F97" s="17">
        <f t="shared" si="62"/>
        <v>-431</v>
      </c>
      <c r="G97" s="17">
        <f t="shared" si="62"/>
        <v>-1273</v>
      </c>
      <c r="H97" s="17">
        <f t="shared" si="62"/>
        <v>-331</v>
      </c>
      <c r="I97" s="17">
        <f t="shared" si="62"/>
        <v>-335</v>
      </c>
      <c r="J97" s="37">
        <f t="shared" si="62"/>
        <v>-340</v>
      </c>
      <c r="K97" s="1" t="s">
        <v>548</v>
      </c>
      <c r="L97" s="1"/>
      <c r="M97" s="1"/>
    </row>
    <row r="98" ht="15" customHeight="1">
      <c r="A98" s="1"/>
      <c r="B98" s="1" t="s">
        <v>549</v>
      </c>
      <c r="C98" s="17">
        <f t="shared" si="63" ref="C98:J98">C55</f>
        <v>10</v>
      </c>
      <c r="D98" s="17">
        <f t="shared" si="63"/>
        <v>15</v>
      </c>
      <c r="E98" s="17">
        <f t="shared" si="63"/>
        <v>51</v>
      </c>
      <c r="F98" s="17">
        <f t="shared" si="63"/>
        <v>47</v>
      </c>
      <c r="G98" s="17">
        <f t="shared" si="63"/>
        <v>123</v>
      </c>
      <c r="H98" s="17">
        <f t="shared" si="63"/>
        <v>13</v>
      </c>
      <c r="I98" s="17">
        <f t="shared" si="63"/>
        <v>45</v>
      </c>
      <c r="J98" s="37">
        <f t="shared" si="63"/>
        <v>15</v>
      </c>
      <c r="K98" s="1"/>
      <c r="L98" s="1"/>
      <c r="M98" s="1"/>
    </row>
    <row r="99" ht="15" customHeight="1">
      <c r="A99" s="1"/>
      <c r="B99" s="1" t="s">
        <v>550</v>
      </c>
      <c r="C99" s="35">
        <v>-76</v>
      </c>
      <c r="D99" s="35">
        <v>-70</v>
      </c>
      <c r="E99" s="35">
        <v>-56</v>
      </c>
      <c r="F99" s="35">
        <v>-43</v>
      </c>
      <c r="G99" s="17">
        <f t="shared" si="5"/>
        <v>-245</v>
      </c>
      <c r="H99" s="35">
        <v>-83</v>
      </c>
      <c r="I99" s="35">
        <v>-33</v>
      </c>
      <c r="J99" s="36">
        <v>-20</v>
      </c>
      <c r="K99" s="1" t="s">
        <v>551</v>
      </c>
      <c r="L99" s="1"/>
      <c r="M99" s="1"/>
    </row>
    <row r="100" ht="15" customHeight="1">
      <c r="A100" s="1"/>
      <c r="B100" s="1" t="s">
        <v>112</v>
      </c>
      <c r="C100" s="17"/>
      <c r="D100" s="17"/>
      <c r="E100" s="17"/>
      <c r="F100" s="17"/>
      <c r="G100" s="17"/>
      <c r="H100" s="17">
        <f t="shared" si="6"/>
        <v>-7</v>
      </c>
      <c r="I100" s="17">
        <f t="shared" si="6"/>
        <v>37</v>
      </c>
      <c r="J100" s="37">
        <f t="shared" si="6"/>
        <v>36</v>
      </c>
      <c r="K100" s="1"/>
      <c r="L100" s="1"/>
      <c r="M100" s="1"/>
    </row>
    <row r="101" ht="15" customHeight="1">
      <c r="A101" s="1"/>
      <c r="B101" s="1" t="s">
        <v>113</v>
      </c>
      <c r="C101" s="17"/>
      <c r="D101" s="17">
        <f t="shared" si="7"/>
        <v>6</v>
      </c>
      <c r="E101" s="17">
        <f t="shared" si="7"/>
        <v>14</v>
      </c>
      <c r="F101" s="17">
        <f t="shared" si="7"/>
        <v>13</v>
      </c>
      <c r="G101" s="17"/>
      <c r="H101" s="17">
        <f t="shared" si="10"/>
        <v>-40</v>
      </c>
      <c r="I101" s="17">
        <f t="shared" si="7"/>
        <v>50</v>
      </c>
      <c r="J101" s="37">
        <f t="shared" si="7"/>
        <v>13</v>
      </c>
      <c r="K101" s="1"/>
      <c r="L101" s="1"/>
      <c r="M101" s="1"/>
    </row>
    <row r="102" ht="15" customHeight="1">
      <c r="A102" s="1"/>
      <c r="B102" s="1" t="s">
        <v>552</v>
      </c>
      <c r="C102" s="35">
        <v>-31</v>
      </c>
      <c r="D102" s="35">
        <v>-14</v>
      </c>
      <c r="E102" s="35">
        <v>-6</v>
      </c>
      <c r="F102" s="35">
        <v>-5</v>
      </c>
      <c r="G102" s="17">
        <f t="shared" si="5"/>
        <v>-56</v>
      </c>
      <c r="H102" s="35">
        <v>-26</v>
      </c>
      <c r="I102" s="35">
        <v>-26</v>
      </c>
      <c r="J102" s="36">
        <v>-20</v>
      </c>
      <c r="K102" s="1" t="s">
        <v>553</v>
      </c>
      <c r="L102" s="1"/>
      <c r="M102" s="1"/>
    </row>
    <row r="103" ht="15" customHeight="1">
      <c r="A103" s="1"/>
      <c r="B103" s="1" t="s">
        <v>112</v>
      </c>
      <c r="C103" s="17"/>
      <c r="D103" s="17"/>
      <c r="E103" s="17"/>
      <c r="F103" s="17"/>
      <c r="G103" s="17"/>
      <c r="H103" s="17">
        <f t="shared" si="6"/>
        <v>5</v>
      </c>
      <c r="I103" s="17">
        <f t="shared" si="6"/>
        <v>-12</v>
      </c>
      <c r="J103" s="37">
        <f t="shared" si="6"/>
        <v>-14</v>
      </c>
      <c r="K103" s="1"/>
      <c r="L103" s="1"/>
      <c r="M103" s="1"/>
    </row>
    <row r="104" ht="15" customHeight="1">
      <c r="A104" s="1"/>
      <c r="B104" s="1" t="s">
        <v>113</v>
      </c>
      <c r="C104" s="17"/>
      <c r="D104" s="17">
        <f t="shared" si="7"/>
        <v>17</v>
      </c>
      <c r="E104" s="17">
        <f t="shared" si="7"/>
        <v>8</v>
      </c>
      <c r="F104" s="17">
        <f t="shared" si="7"/>
        <v>1</v>
      </c>
      <c r="G104" s="17"/>
      <c r="H104" s="17">
        <f t="shared" si="10"/>
        <v>-21</v>
      </c>
      <c r="I104" s="17">
        <f t="shared" si="7"/>
        <v>0</v>
      </c>
      <c r="J104" s="37">
        <f t="shared" si="7"/>
        <v>6</v>
      </c>
      <c r="K104" s="1"/>
      <c r="L104" s="1"/>
      <c r="M104" s="1"/>
    </row>
    <row r="105" ht="15" customHeight="1">
      <c r="A105" s="1"/>
      <c r="B105" s="3" t="s">
        <v>554</v>
      </c>
      <c r="C105" s="38">
        <f t="shared" si="64" ref="C105:J105">C96+C97+C98-C99-C102</f>
        <v>1453</v>
      </c>
      <c r="D105" s="38">
        <f t="shared" si="64"/>
        <v>2119</v>
      </c>
      <c r="E105" s="38">
        <f t="shared" si="64"/>
        <v>2361</v>
      </c>
      <c r="F105" s="38">
        <f t="shared" si="64"/>
        <v>1761</v>
      </c>
      <c r="G105" s="38">
        <f t="shared" si="64"/>
        <v>7694</v>
      </c>
      <c r="H105" s="38">
        <f t="shared" si="64"/>
        <v>1657</v>
      </c>
      <c r="I105" s="38">
        <f t="shared" si="64"/>
        <v>3028</v>
      </c>
      <c r="J105" s="39">
        <f t="shared" si="64"/>
        <v>2544.4389600000004</v>
      </c>
      <c r="K105" s="1"/>
      <c r="L105" s="1"/>
      <c r="M105" s="1"/>
    </row>
    <row r="106" ht="15" customHeight="1">
      <c r="A106" s="1"/>
      <c r="B106" s="4" t="s">
        <v>104</v>
      </c>
      <c r="C106" s="18"/>
      <c r="D106" s="18"/>
      <c r="E106" s="18"/>
      <c r="F106" s="18"/>
      <c r="G106" s="18"/>
      <c r="H106" s="18">
        <f t="shared" si="26"/>
        <v>0.14039917412250524</v>
      </c>
      <c r="I106" s="18">
        <f t="shared" si="26"/>
        <v>0.4289759320434168</v>
      </c>
      <c r="J106" s="32">
        <f t="shared" si="26"/>
        <v>0.07769545108005094</v>
      </c>
      <c r="K106" s="1"/>
      <c r="L106" s="1"/>
      <c r="M106" s="1"/>
    </row>
    <row r="107" ht="15" customHeight="1">
      <c r="A107" s="1"/>
      <c r="B107" s="4" t="s">
        <v>67</v>
      </c>
      <c r="C107" s="18"/>
      <c r="D107" s="18">
        <f t="shared" si="65" ref="D107:J107">IF(AND(ISNUMBER(D105),ISNUMBER(C105)),IF(C105&lt;&gt;0,D105/C105-1,""),"")</f>
        <v>0.45836200963523743</v>
      </c>
      <c r="E107" s="18">
        <f t="shared" si="65"/>
        <v>0.11420481359131673</v>
      </c>
      <c r="F107" s="18">
        <f t="shared" si="65"/>
        <v>-0.2541296060991105</v>
      </c>
      <c r="G107" s="18"/>
      <c r="H107" s="18">
        <f>IF(AND(ISNUMBER(H105),ISNUMBER(F105)),IF(F105&lt;&gt;0,H105/F105-1,""),"")</f>
        <v>-0.05905735377626353</v>
      </c>
      <c r="I107" s="18">
        <f t="shared" si="65"/>
        <v>0.8273989136994568</v>
      </c>
      <c r="J107" s="32">
        <f t="shared" si="65"/>
        <v>-0.15969651254953754</v>
      </c>
      <c r="K107" s="1"/>
      <c r="L107" s="1"/>
      <c r="M107" s="1"/>
    </row>
    <row r="108" ht="15" customHeight="1">
      <c r="A108" s="1"/>
      <c r="B108" s="1" t="s">
        <v>555</v>
      </c>
      <c r="C108" s="35">
        <v>1451</v>
      </c>
      <c r="D108" s="35">
        <v>2120</v>
      </c>
      <c r="E108" s="35">
        <v>2362</v>
      </c>
      <c r="F108" s="35">
        <v>1760</v>
      </c>
      <c r="G108" s="35">
        <v>7694</v>
      </c>
      <c r="H108" s="35">
        <v>1658</v>
      </c>
      <c r="I108" s="35">
        <v>3027</v>
      </c>
      <c r="J108" s="37"/>
      <c r="K108" s="1"/>
      <c r="L108" s="1"/>
      <c r="M108" s="1"/>
    </row>
    <row r="109" ht="15" customHeight="1">
      <c r="A109" s="1"/>
      <c r="B109" s="1" t="s">
        <v>556</v>
      </c>
      <c r="C109" s="40" t="b">
        <f t="shared" si="66" ref="C109:I109">ABS(C105-C108)&lt;=3</f>
        <v>1</v>
      </c>
      <c r="D109" s="40" t="b">
        <f t="shared" si="66"/>
        <v>1</v>
      </c>
      <c r="E109" s="40" t="b">
        <f t="shared" si="66"/>
        <v>1</v>
      </c>
      <c r="F109" s="40" t="b">
        <f t="shared" si="66"/>
        <v>1</v>
      </c>
      <c r="G109" s="40" t="b">
        <f t="shared" si="66"/>
        <v>1</v>
      </c>
      <c r="H109" s="40" t="b">
        <f t="shared" si="66"/>
        <v>1</v>
      </c>
      <c r="I109" s="40" t="b">
        <f t="shared" si="66"/>
        <v>1</v>
      </c>
      <c r="J109" s="27"/>
      <c r="K109" s="1" t="s">
        <v>557</v>
      </c>
      <c r="L109" s="1"/>
      <c r="M109" s="1"/>
    </row>
    <row r="110" ht="15" customHeight="1">
      <c r="A110" s="1"/>
      <c r="B110" s="4" t="s">
        <v>558</v>
      </c>
      <c r="C110" s="44">
        <f>_xlfn.IFERROR(C105/'Income Statement'!C94,"")</f>
        <v>0.9075577763897564</v>
      </c>
      <c r="D110" s="44">
        <f>_xlfn.IFERROR(D105/'Income Statement'!D94,"")</f>
        <v>1.1924592009003938</v>
      </c>
      <c r="E110" s="44">
        <f>_xlfn.IFERROR(E105/'Income Statement'!E94,"")</f>
        <v>1.33843537414966</v>
      </c>
      <c r="F110" s="44">
        <f>_xlfn.IFERROR(F105/'Income Statement'!F94,"")</f>
        <v>1.0557553956834533</v>
      </c>
      <c r="G110" s="44">
        <f>_xlfn.IFERROR(G105/'Income Statement'!G94,"")</f>
        <v>1.1298091042584435</v>
      </c>
      <c r="H110" s="44">
        <f>_xlfn.IFERROR(H105/'Income Statement'!H94,"")</f>
        <v>0.8436863543788188</v>
      </c>
      <c r="I110" s="44">
        <f>_xlfn.IFERROR(I105/'Income Statement'!I94,"")</f>
        <v>1.4323557237464521</v>
      </c>
      <c r="J110" s="45">
        <f>_xlfn.IFERROR(J105/'Income Statement'!J94,"")</f>
        <v>1.1739649448835658</v>
      </c>
      <c r="K110" s="1" t="s">
        <v>559</v>
      </c>
      <c r="L110" s="1"/>
      <c r="M110" s="1"/>
    </row>
    <row r="111" ht="15" customHeight="1">
      <c r="A111" s="1"/>
      <c r="B111" s="4" t="s">
        <v>560</v>
      </c>
      <c r="C111" s="44">
        <f>_xlfn.IFERROR(-C97/'Revenue summary'!C38,"")</f>
        <v>0.023108543495167205</v>
      </c>
      <c r="D111" s="44">
        <f>_xlfn.IFERROR(-D97/'Revenue summary'!D38,"")</f>
        <v>0.03221357501723968</v>
      </c>
      <c r="E111" s="44">
        <f>_xlfn.IFERROR(-E97/'Revenue summary'!E38,"")</f>
        <v>0.027153723686538123</v>
      </c>
      <c r="F111" s="44">
        <f>_xlfn.IFERROR(-F97/'Revenue summary'!F38,"")</f>
        <v>0.03632226529580314</v>
      </c>
      <c r="G111" s="44">
        <f>_xlfn.IFERROR(-G97/'Revenue summary'!G38,"")</f>
        <v>0.030077497401001796</v>
      </c>
      <c r="H111" s="44">
        <f>_xlfn.IFERROR(-H97/'Revenue summary'!H38,"")</f>
        <v>0.028500086102979164</v>
      </c>
      <c r="I111" s="44">
        <f>_xlfn.IFERROR(-I97/'Revenue summary'!I38,"")</f>
        <v>0.026515751147696692</v>
      </c>
      <c r="J111" s="45">
        <f>_xlfn.IFERROR(-J97/'Revenue summary'!J38,"")</f>
        <v>0.02635701821502521</v>
      </c>
      <c r="K111" s="1" t="s">
        <v>561</v>
      </c>
      <c r="L111" s="1"/>
      <c r="M111" s="1"/>
    </row>
    <row r="112" ht="15" customHeight="1">
      <c r="A112" s="1"/>
      <c r="B112" s="1" t="s">
        <v>106</v>
      </c>
      <c r="C112" s="33"/>
      <c r="D112" s="33"/>
      <c r="E112" s="33"/>
      <c r="F112" s="33"/>
      <c r="G112" s="33"/>
      <c r="H112" s="33">
        <f t="shared" si="67" ref="H112:J112">IF(AND(ISNUMBER(H111),ISNUMBER(C111)),(H111-C111)*10000,"")</f>
        <v>53.915426078119594</v>
      </c>
      <c r="I112" s="33">
        <f t="shared" si="67"/>
        <v>-56.97823869542991</v>
      </c>
      <c r="J112" s="34">
        <f t="shared" si="67"/>
        <v>-7.967054715129137</v>
      </c>
      <c r="K112" s="1"/>
      <c r="L112" s="1"/>
      <c r="M112" s="1"/>
    </row>
    <row r="113" ht="15" customHeight="1">
      <c r="A113" s="1"/>
      <c r="B113" s="28" t="s">
        <v>562</v>
      </c>
      <c r="C113" s="29"/>
      <c r="D113" s="29"/>
      <c r="E113" s="29"/>
      <c r="F113" s="29"/>
      <c r="G113" s="29"/>
      <c r="H113" s="29"/>
      <c r="I113" s="29"/>
      <c r="J113" s="30"/>
      <c r="K113" s="29"/>
      <c r="L113" s="1"/>
      <c r="M113" s="1"/>
    </row>
    <row r="114" ht="15" customHeight="1">
      <c r="A114" s="1"/>
      <c r="B114" s="1" t="s">
        <v>443</v>
      </c>
      <c r="C114" s="35">
        <v>1972</v>
      </c>
      <c r="D114" s="35">
        <v>3993</v>
      </c>
      <c r="E114" s="35">
        <v>6147</v>
      </c>
      <c r="F114" s="35">
        <v>8698</v>
      </c>
      <c r="G114" s="17">
        <f t="shared" si="57"/>
        <v>8698</v>
      </c>
      <c r="H114" s="35">
        <v>1920</v>
      </c>
      <c r="I114" s="35">
        <v>4276</v>
      </c>
      <c r="J114" s="37">
        <f t="shared" si="68" ref="J114:J116">I114+J11</f>
        <v>6877.03921472</v>
      </c>
      <c r="K114" s="1"/>
      <c r="L114" s="1"/>
      <c r="M114" s="1"/>
    </row>
    <row r="115" ht="15" customHeight="1">
      <c r="A115" s="1"/>
      <c r="B115" s="1" t="s">
        <v>444</v>
      </c>
      <c r="C115" s="35">
        <v>-10</v>
      </c>
      <c r="D115" s="35">
        <v>-31</v>
      </c>
      <c r="E115" s="35">
        <v>-14</v>
      </c>
      <c r="F115" s="35">
        <v>-103</v>
      </c>
      <c r="G115" s="17">
        <f t="shared" si="57"/>
        <v>-103</v>
      </c>
      <c r="H115" s="35">
        <v>26</v>
      </c>
      <c r="I115" s="35">
        <v>65</v>
      </c>
      <c r="J115" s="37">
        <f t="shared" si="68"/>
        <v>65</v>
      </c>
      <c r="K115" s="1" t="s">
        <v>445</v>
      </c>
      <c r="L115" s="1"/>
      <c r="M115" s="1"/>
    </row>
    <row r="116" ht="15" customHeight="1">
      <c r="A116" s="1"/>
      <c r="B116" s="1" t="s">
        <v>446</v>
      </c>
      <c r="C116" s="35">
        <v>210</v>
      </c>
      <c r="D116" s="35">
        <v>428</v>
      </c>
      <c r="E116" s="35">
        <v>643</v>
      </c>
      <c r="F116" s="35">
        <v>863</v>
      </c>
      <c r="G116" s="17">
        <f t="shared" si="57"/>
        <v>863</v>
      </c>
      <c r="H116" s="35">
        <v>227</v>
      </c>
      <c r="I116" s="35">
        <v>452</v>
      </c>
      <c r="J116" s="37">
        <f t="shared" si="68"/>
        <v>692</v>
      </c>
      <c r="K116" s="1"/>
      <c r="L116" s="1"/>
      <c r="M116" s="1"/>
    </row>
    <row r="117" ht="15" customHeight="1">
      <c r="A117" s="1"/>
      <c r="B117" s="1" t="s">
        <v>448</v>
      </c>
      <c r="C117" s="35">
        <v>89</v>
      </c>
      <c r="D117" s="35">
        <v>182</v>
      </c>
      <c r="E117" s="35">
        <v>270</v>
      </c>
      <c r="F117" s="35">
        <v>357</v>
      </c>
      <c r="G117" s="17">
        <f t="shared" si="57"/>
        <v>357</v>
      </c>
      <c r="H117" s="35">
        <v>85</v>
      </c>
      <c r="I117" s="35">
        <v>173</v>
      </c>
      <c r="J117" s="37">
        <f>I117+J16</f>
        <v>261</v>
      </c>
      <c r="K117" s="1"/>
      <c r="L117" s="1"/>
      <c r="M117" s="1"/>
    </row>
    <row r="118" ht="15" customHeight="1">
      <c r="A118" s="1"/>
      <c r="B118" s="1" t="s">
        <v>450</v>
      </c>
      <c r="C118" s="35">
        <v>-43</v>
      </c>
      <c r="D118" s="35">
        <v>-109</v>
      </c>
      <c r="E118" s="35">
        <v>-177</v>
      </c>
      <c r="F118" s="35">
        <v>-508</v>
      </c>
      <c r="G118" s="17">
        <f t="shared" si="57"/>
        <v>-508</v>
      </c>
      <c r="H118" s="35">
        <v>271</v>
      </c>
      <c r="I118" s="35">
        <v>173</v>
      </c>
      <c r="J118" s="37">
        <f>I118+J19</f>
        <v>-27</v>
      </c>
      <c r="K118" s="1"/>
      <c r="L118" s="1"/>
      <c r="M118" s="1"/>
    </row>
    <row r="119" ht="15" customHeight="1">
      <c r="A119" s="1"/>
      <c r="B119" s="1" t="s">
        <v>451</v>
      </c>
      <c r="C119" s="35">
        <v>-161</v>
      </c>
      <c r="D119" s="35">
        <v>-324</v>
      </c>
      <c r="E119" s="35">
        <v>-488</v>
      </c>
      <c r="F119" s="35">
        <v>-655</v>
      </c>
      <c r="G119" s="17">
        <f t="shared" si="57"/>
        <v>-655</v>
      </c>
      <c r="H119" s="35">
        <v>-147</v>
      </c>
      <c r="I119" s="35">
        <v>-293</v>
      </c>
      <c r="J119" s="37">
        <f>I119+J22</f>
        <v>-440</v>
      </c>
      <c r="K119" s="1" t="s">
        <v>563</v>
      </c>
      <c r="L119" s="1"/>
      <c r="M119" s="1"/>
    </row>
    <row r="120" ht="15" customHeight="1">
      <c r="A120" s="1"/>
      <c r="B120" s="1" t="s">
        <v>453</v>
      </c>
      <c r="C120" s="35">
        <v>-48</v>
      </c>
      <c r="D120" s="35">
        <v>-95</v>
      </c>
      <c r="E120" s="35">
        <v>-144</v>
      </c>
      <c r="F120" s="35">
        <v>-211</v>
      </c>
      <c r="G120" s="17">
        <f t="shared" si="57"/>
        <v>-211</v>
      </c>
      <c r="H120" s="35">
        <v>-49</v>
      </c>
      <c r="I120" s="35">
        <v>-97</v>
      </c>
      <c r="J120" s="37">
        <f>I120+J25</f>
        <v>-146</v>
      </c>
      <c r="K120" s="1" t="s">
        <v>564</v>
      </c>
      <c r="L120" s="1"/>
      <c r="M120" s="1"/>
    </row>
    <row r="121" ht="15" customHeight="1">
      <c r="A121" s="1"/>
      <c r="B121" s="1" t="s">
        <v>455</v>
      </c>
      <c r="C121" s="35">
        <v>-74</v>
      </c>
      <c r="D121" s="35">
        <v>-133</v>
      </c>
      <c r="E121" s="35">
        <v>-194</v>
      </c>
      <c r="F121" s="35">
        <v>-230</v>
      </c>
      <c r="G121" s="17">
        <f t="shared" si="57"/>
        <v>-230</v>
      </c>
      <c r="H121" s="35">
        <v>-79</v>
      </c>
      <c r="I121" s="35">
        <v>-136</v>
      </c>
      <c r="J121" s="37">
        <f>I121+J28</f>
        <v>-206</v>
      </c>
      <c r="K121" s="1" t="s">
        <v>565</v>
      </c>
      <c r="L121" s="1"/>
      <c r="M121" s="1"/>
    </row>
    <row r="122" ht="15" customHeight="1">
      <c r="A122" s="1"/>
      <c r="B122" s="1" t="s">
        <v>457</v>
      </c>
      <c r="C122" s="35">
        <v>283</v>
      </c>
      <c r="D122" s="35">
        <v>671</v>
      </c>
      <c r="E122" s="35">
        <v>1015</v>
      </c>
      <c r="F122" s="35">
        <v>1405</v>
      </c>
      <c r="G122" s="17">
        <f t="shared" si="57"/>
        <v>1405</v>
      </c>
      <c r="H122" s="35">
        <v>252</v>
      </c>
      <c r="I122" s="35">
        <v>658</v>
      </c>
      <c r="J122" s="37">
        <f>I122+J31</f>
        <v>1124.3997452800002</v>
      </c>
      <c r="K122" s="1"/>
      <c r="L122" s="1"/>
      <c r="M122" s="1"/>
    </row>
    <row r="123" ht="15" customHeight="1">
      <c r="A123" s="1"/>
      <c r="B123" s="1" t="s">
        <v>459</v>
      </c>
      <c r="C123" s="35">
        <v>-112</v>
      </c>
      <c r="D123" s="35">
        <v>-253</v>
      </c>
      <c r="E123" s="35">
        <v>-437</v>
      </c>
      <c r="F123" s="35">
        <v>-739</v>
      </c>
      <c r="G123" s="17">
        <f t="shared" si="57"/>
        <v>-739</v>
      </c>
      <c r="H123" s="35">
        <v>-34</v>
      </c>
      <c r="I123" s="35">
        <v>-141</v>
      </c>
      <c r="J123" s="37">
        <f>I123+J34</f>
        <v>-341</v>
      </c>
      <c r="K123" s="1" t="s">
        <v>566</v>
      </c>
      <c r="L123" s="1"/>
      <c r="M123" s="1"/>
    </row>
    <row r="124" ht="15" customHeight="1">
      <c r="A124" s="1"/>
      <c r="B124" s="1" t="s">
        <v>461</v>
      </c>
      <c r="C124" s="35">
        <v>-326</v>
      </c>
      <c r="D124" s="35">
        <v>-1157</v>
      </c>
      <c r="E124" s="35">
        <v>-1270</v>
      </c>
      <c r="F124" s="35">
        <v>-2437</v>
      </c>
      <c r="G124" s="17">
        <f t="shared" si="57"/>
        <v>-2437</v>
      </c>
      <c r="H124" s="35">
        <v>-709</v>
      </c>
      <c r="I124" s="35">
        <v>-694</v>
      </c>
      <c r="J124" s="37">
        <f t="shared" si="69" ref="J124:J131">I124+J37</f>
        <v>-694</v>
      </c>
      <c r="K124" s="1" t="s">
        <v>567</v>
      </c>
      <c r="L124" s="1"/>
      <c r="M124" s="1"/>
    </row>
    <row r="125" ht="15" customHeight="1">
      <c r="A125" s="1"/>
      <c r="B125" s="1" t="s">
        <v>463</v>
      </c>
      <c r="C125" s="35">
        <v>-724</v>
      </c>
      <c r="D125" s="35">
        <v>-1394</v>
      </c>
      <c r="E125" s="35">
        <v>-1787</v>
      </c>
      <c r="F125" s="35">
        <v>-1981</v>
      </c>
      <c r="G125" s="17">
        <f t="shared" si="57"/>
        <v>-1981</v>
      </c>
      <c r="H125" s="35">
        <v>-534</v>
      </c>
      <c r="I125" s="35">
        <v>-643</v>
      </c>
      <c r="J125" s="37">
        <f t="shared" si="69"/>
        <v>-643</v>
      </c>
      <c r="K125" s="1"/>
      <c r="L125" s="1"/>
      <c r="M125" s="1"/>
    </row>
    <row r="126" ht="15" customHeight="1">
      <c r="A126" s="1"/>
      <c r="B126" s="1" t="s">
        <v>465</v>
      </c>
      <c r="C126" s="35">
        <v>46</v>
      </c>
      <c r="D126" s="35">
        <v>-65</v>
      </c>
      <c r="E126" s="35">
        <v>-116</v>
      </c>
      <c r="F126" s="35">
        <v>-511</v>
      </c>
      <c r="G126" s="17">
        <f t="shared" si="57"/>
        <v>-511</v>
      </c>
      <c r="H126" s="35">
        <v>68</v>
      </c>
      <c r="I126" s="35">
        <v>32</v>
      </c>
      <c r="J126" s="37">
        <f t="shared" si="69"/>
        <v>32</v>
      </c>
      <c r="K126" s="1" t="s">
        <v>568</v>
      </c>
      <c r="L126" s="1"/>
      <c r="M126" s="1"/>
    </row>
    <row r="127" ht="15" customHeight="1">
      <c r="A127" s="1"/>
      <c r="B127" s="1" t="s">
        <v>467</v>
      </c>
      <c r="C127" s="35">
        <v>270</v>
      </c>
      <c r="D127" s="35">
        <v>384</v>
      </c>
      <c r="E127" s="35">
        <v>593</v>
      </c>
      <c r="F127" s="35">
        <v>1066</v>
      </c>
      <c r="G127" s="17">
        <f t="shared" si="57"/>
        <v>1066</v>
      </c>
      <c r="H127" s="35">
        <v>-91</v>
      </c>
      <c r="I127" s="35">
        <v>-135</v>
      </c>
      <c r="J127" s="37">
        <f t="shared" si="69"/>
        <v>-135</v>
      </c>
      <c r="K127" s="1" t="s">
        <v>569</v>
      </c>
      <c r="L127" s="1"/>
      <c r="M127" s="1"/>
    </row>
    <row r="128" ht="15" customHeight="1">
      <c r="A128" s="1"/>
      <c r="B128" s="1" t="s">
        <v>469</v>
      </c>
      <c r="C128" s="35">
        <v>132</v>
      </c>
      <c r="D128" s="35">
        <v>269</v>
      </c>
      <c r="E128" s="35">
        <v>173</v>
      </c>
      <c r="F128" s="35">
        <v>838</v>
      </c>
      <c r="G128" s="17">
        <f t="shared" si="57"/>
        <v>838</v>
      </c>
      <c r="H128" s="35">
        <v>55</v>
      </c>
      <c r="I128" s="35">
        <v>281</v>
      </c>
      <c r="J128" s="37">
        <f t="shared" si="69"/>
        <v>281</v>
      </c>
      <c r="K128" s="1" t="s">
        <v>570</v>
      </c>
      <c r="L128" s="1"/>
      <c r="M128" s="1"/>
    </row>
    <row r="129" ht="15" customHeight="1">
      <c r="A129" s="1"/>
      <c r="B129" s="1" t="s">
        <v>471</v>
      </c>
      <c r="C129" s="35">
        <v>706</v>
      </c>
      <c r="D129" s="35">
        <v>1495</v>
      </c>
      <c r="E129" s="35">
        <v>1498</v>
      </c>
      <c r="F129" s="35">
        <v>1993</v>
      </c>
      <c r="G129" s="17">
        <f t="shared" si="57"/>
        <v>1993</v>
      </c>
      <c r="H129" s="35">
        <v>668</v>
      </c>
      <c r="I129" s="35">
        <v>856</v>
      </c>
      <c r="J129" s="37">
        <f t="shared" si="69"/>
        <v>856</v>
      </c>
      <c r="K129" s="1" t="s">
        <v>571</v>
      </c>
      <c r="L129" s="1"/>
      <c r="M129" s="1"/>
    </row>
    <row r="130" ht="15" customHeight="1">
      <c r="A130" s="1"/>
      <c r="B130" s="1" t="s">
        <v>473</v>
      </c>
      <c r="C130" s="35">
        <v>80</v>
      </c>
      <c r="D130" s="35">
        <v>447</v>
      </c>
      <c r="E130" s="35">
        <v>554</v>
      </c>
      <c r="F130" s="35">
        <v>562</v>
      </c>
      <c r="G130" s="17">
        <f t="shared" si="57"/>
        <v>562</v>
      </c>
      <c r="H130" s="35">
        <v>1000</v>
      </c>
      <c r="I130" s="35">
        <v>956</v>
      </c>
      <c r="J130" s="37">
        <f t="shared" si="69"/>
        <v>956</v>
      </c>
      <c r="K130" s="1" t="s">
        <v>572</v>
      </c>
      <c r="L130" s="1"/>
      <c r="M130" s="1"/>
    </row>
    <row r="131" ht="15" customHeight="1">
      <c r="A131" s="1"/>
      <c r="B131" s="1" t="s">
        <v>475</v>
      </c>
      <c r="C131" s="35">
        <v>-746</v>
      </c>
      <c r="D131" s="35">
        <v>-417</v>
      </c>
      <c r="E131" s="35">
        <v>180</v>
      </c>
      <c r="F131" s="35">
        <v>136</v>
      </c>
      <c r="G131" s="17">
        <f t="shared" si="57"/>
        <v>136</v>
      </c>
      <c r="H131" s="35">
        <v>-1063</v>
      </c>
      <c r="I131" s="35">
        <v>-658</v>
      </c>
      <c r="J131" s="37">
        <f t="shared" si="69"/>
        <v>-558</v>
      </c>
      <c r="K131" s="1"/>
      <c r="L131" s="1"/>
      <c r="M131" s="1"/>
    </row>
    <row r="132" ht="15" customHeight="1">
      <c r="A132" s="1"/>
      <c r="B132" s="3" t="s">
        <v>573</v>
      </c>
      <c r="C132" s="38">
        <f t="shared" si="70" ref="C132:J132">C114+C115+C116+C117+C118+C119+C120+C121+C122+C123+C124+C125+C126+C127+C128+C129+C130+C131</f>
        <v>1544</v>
      </c>
      <c r="D132" s="38">
        <f t="shared" si="70"/>
        <v>3891</v>
      </c>
      <c r="E132" s="38">
        <f t="shared" si="70"/>
        <v>6446</v>
      </c>
      <c r="F132" s="38">
        <f t="shared" si="70"/>
        <v>8543</v>
      </c>
      <c r="G132" s="38">
        <f t="shared" si="70"/>
        <v>8543</v>
      </c>
      <c r="H132" s="38">
        <f t="shared" si="70"/>
        <v>1866</v>
      </c>
      <c r="I132" s="38">
        <f t="shared" si="70"/>
        <v>5125</v>
      </c>
      <c r="J132" s="39">
        <f t="shared" si="70"/>
        <v>7954.4389599999995</v>
      </c>
      <c r="K132" s="1"/>
      <c r="L132" s="1"/>
      <c r="M132" s="1"/>
    </row>
    <row r="133" ht="15" customHeight="1">
      <c r="A133" s="1"/>
      <c r="B133" s="1" t="s">
        <v>574</v>
      </c>
      <c r="C133" s="35">
        <v>1543</v>
      </c>
      <c r="D133" s="35">
        <v>3891</v>
      </c>
      <c r="E133" s="35">
        <v>6447</v>
      </c>
      <c r="F133" s="35">
        <v>8543</v>
      </c>
      <c r="G133" s="17">
        <f t="shared" si="57"/>
        <v>8543</v>
      </c>
      <c r="H133" s="35">
        <v>1868</v>
      </c>
      <c r="I133" s="35">
        <v>5126</v>
      </c>
      <c r="J133" s="37"/>
      <c r="K133" s="1" t="s">
        <v>575</v>
      </c>
      <c r="L133" s="1"/>
      <c r="M133" s="1"/>
    </row>
    <row r="134" ht="15" customHeight="1">
      <c r="A134" s="1"/>
      <c r="B134" s="1" t="s">
        <v>576</v>
      </c>
      <c r="C134" s="40" t="b">
        <f t="shared" si="71" ref="C134:I134">ABS(C132-C133)&lt;=3</f>
        <v>1</v>
      </c>
      <c r="D134" s="40" t="b">
        <f t="shared" si="71"/>
        <v>1</v>
      </c>
      <c r="E134" s="40" t="b">
        <f t="shared" si="71"/>
        <v>1</v>
      </c>
      <c r="F134" s="40" t="b">
        <f t="shared" si="71"/>
        <v>1</v>
      </c>
      <c r="G134" s="40" t="b">
        <f t="shared" si="71"/>
        <v>1</v>
      </c>
      <c r="H134" s="40" t="b">
        <f t="shared" si="71"/>
        <v>1</v>
      </c>
      <c r="I134" s="40" t="b">
        <f t="shared" si="71"/>
        <v>1</v>
      </c>
      <c r="J134" s="27"/>
      <c r="K134" s="1" t="s">
        <v>577</v>
      </c>
      <c r="L134" s="1"/>
      <c r="M134" s="1"/>
    </row>
    <row r="135" ht="15" customHeight="1">
      <c r="A135" s="1"/>
      <c r="B135" s="1" t="s">
        <v>578</v>
      </c>
      <c r="C135" s="35">
        <v>-33</v>
      </c>
      <c r="D135" s="35">
        <v>-136</v>
      </c>
      <c r="E135" s="35">
        <v>-191</v>
      </c>
      <c r="F135" s="35">
        <v>-6</v>
      </c>
      <c r="G135" s="17">
        <f t="shared" si="57"/>
        <v>-6</v>
      </c>
      <c r="H135" s="35">
        <v>-44</v>
      </c>
      <c r="I135" s="35">
        <v>-108</v>
      </c>
      <c r="J135" s="37">
        <f>I135+J49</f>
        <v>-108</v>
      </c>
      <c r="K135" s="1"/>
      <c r="L135" s="1"/>
      <c r="M135" s="1"/>
    </row>
    <row r="136" ht="15" customHeight="1">
      <c r="A136" s="1"/>
      <c r="B136" s="1" t="s">
        <v>484</v>
      </c>
      <c r="C136" s="35">
        <v>-208</v>
      </c>
      <c r="D136" s="35">
        <v>-535</v>
      </c>
      <c r="E136" s="35">
        <v>-842</v>
      </c>
      <c r="F136" s="35">
        <v>-1273</v>
      </c>
      <c r="G136" s="17">
        <f t="shared" si="57"/>
        <v>-1273</v>
      </c>
      <c r="H136" s="35">
        <v>-331</v>
      </c>
      <c r="I136" s="35">
        <v>-666</v>
      </c>
      <c r="J136" s="37">
        <f>I136+J52</f>
        <v>-1006</v>
      </c>
      <c r="K136" s="1" t="s">
        <v>579</v>
      </c>
      <c r="L136" s="1"/>
      <c r="M136" s="1"/>
    </row>
    <row r="137" ht="15" customHeight="1">
      <c r="A137" s="1"/>
      <c r="B137" s="1" t="s">
        <v>486</v>
      </c>
      <c r="C137" s="35">
        <v>10</v>
      </c>
      <c r="D137" s="35">
        <v>25</v>
      </c>
      <c r="E137" s="35">
        <v>76</v>
      </c>
      <c r="F137" s="35">
        <v>123</v>
      </c>
      <c r="G137" s="17">
        <f t="shared" si="57"/>
        <v>123</v>
      </c>
      <c r="H137" s="35">
        <v>13</v>
      </c>
      <c r="I137" s="35">
        <v>58</v>
      </c>
      <c r="J137" s="37">
        <f>I137+J55</f>
        <v>73</v>
      </c>
      <c r="K137" s="1"/>
      <c r="L137" s="1"/>
      <c r="M137" s="1"/>
    </row>
    <row r="138" ht="15" customHeight="1">
      <c r="A138" s="1"/>
      <c r="B138" s="1" t="s">
        <v>488</v>
      </c>
      <c r="C138" s="35">
        <v>0</v>
      </c>
      <c r="D138" s="35">
        <v>0</v>
      </c>
      <c r="E138" s="35">
        <v>0</v>
      </c>
      <c r="F138" s="35">
        <v>0</v>
      </c>
      <c r="G138" s="17">
        <f t="shared" si="57"/>
        <v>0</v>
      </c>
      <c r="H138" s="35">
        <v>0</v>
      </c>
      <c r="I138" s="35">
        <v>0</v>
      </c>
      <c r="J138" s="37">
        <f t="shared" si="72" ref="J138:J142">I138+J58</f>
        <v>0</v>
      </c>
      <c r="K138" s="1" t="s">
        <v>580</v>
      </c>
      <c r="L138" s="1"/>
      <c r="M138" s="1"/>
    </row>
    <row r="139" ht="15" customHeight="1">
      <c r="A139" s="1"/>
      <c r="B139" s="1" t="s">
        <v>490</v>
      </c>
      <c r="C139" s="35">
        <v>-100</v>
      </c>
      <c r="D139" s="35">
        <v>-354</v>
      </c>
      <c r="E139" s="35">
        <v>-360</v>
      </c>
      <c r="F139" s="35">
        <v>-360</v>
      </c>
      <c r="G139" s="17">
        <f t="shared" si="57"/>
        <v>-360</v>
      </c>
      <c r="H139" s="35">
        <v>0</v>
      </c>
      <c r="I139" s="35">
        <v>-1</v>
      </c>
      <c r="J139" s="37">
        <f t="shared" si="72"/>
        <v>-1</v>
      </c>
      <c r="K139" s="1" t="s">
        <v>581</v>
      </c>
      <c r="L139" s="1"/>
      <c r="M139" s="1"/>
    </row>
    <row r="140" ht="15" customHeight="1">
      <c r="A140" s="1"/>
      <c r="B140" s="1" t="s">
        <v>492</v>
      </c>
      <c r="C140" s="35">
        <v>0</v>
      </c>
      <c r="D140" s="35">
        <v>0</v>
      </c>
      <c r="E140" s="35">
        <v>0</v>
      </c>
      <c r="F140" s="35">
        <v>0</v>
      </c>
      <c r="G140" s="17">
        <f t="shared" si="57"/>
        <v>0</v>
      </c>
      <c r="H140" s="35">
        <v>0</v>
      </c>
      <c r="I140" s="35">
        <v>0</v>
      </c>
      <c r="J140" s="37">
        <f t="shared" si="72"/>
        <v>0</v>
      </c>
      <c r="K140" s="1"/>
      <c r="L140" s="1"/>
      <c r="M140" s="1"/>
    </row>
    <row r="141" ht="15" customHeight="1">
      <c r="A141" s="1"/>
      <c r="B141" s="1" t="s">
        <v>493</v>
      </c>
      <c r="C141" s="35">
        <v>99</v>
      </c>
      <c r="D141" s="35">
        <v>361</v>
      </c>
      <c r="E141" s="35">
        <v>595</v>
      </c>
      <c r="F141" s="35">
        <v>425</v>
      </c>
      <c r="G141" s="17">
        <f t="shared" si="57"/>
        <v>425</v>
      </c>
      <c r="H141" s="35">
        <v>-351</v>
      </c>
      <c r="I141" s="35">
        <v>-7</v>
      </c>
      <c r="J141" s="37">
        <f t="shared" si="72"/>
        <v>-7</v>
      </c>
      <c r="K141" s="1" t="s">
        <v>582</v>
      </c>
      <c r="L141" s="1"/>
      <c r="M141" s="1"/>
    </row>
    <row r="142" ht="15" customHeight="1">
      <c r="A142" s="1"/>
      <c r="B142" s="1" t="s">
        <v>495</v>
      </c>
      <c r="C142" s="35">
        <v>-121</v>
      </c>
      <c r="D142" s="35">
        <v>-430</v>
      </c>
      <c r="E142" s="35">
        <v>-795</v>
      </c>
      <c r="F142" s="35">
        <v>309</v>
      </c>
      <c r="G142" s="17">
        <f t="shared" si="57"/>
        <v>309</v>
      </c>
      <c r="H142" s="35">
        <v>-206</v>
      </c>
      <c r="I142" s="35">
        <v>-1247</v>
      </c>
      <c r="J142" s="37">
        <f t="shared" si="72"/>
        <v>-1247</v>
      </c>
      <c r="K142" s="1"/>
      <c r="L142" s="1"/>
      <c r="M142" s="1"/>
    </row>
    <row r="143" ht="15" customHeight="1">
      <c r="A143" s="1"/>
      <c r="B143" s="1" t="s">
        <v>583</v>
      </c>
      <c r="C143" s="35">
        <v>3</v>
      </c>
      <c r="D143" s="35">
        <v>82</v>
      </c>
      <c r="E143" s="35">
        <v>-131</v>
      </c>
      <c r="F143" s="35">
        <v>-377</v>
      </c>
      <c r="G143" s="17">
        <f t="shared" si="57"/>
        <v>-377</v>
      </c>
      <c r="H143" s="35">
        <v>-44</v>
      </c>
      <c r="I143" s="35">
        <v>-110</v>
      </c>
      <c r="J143" s="37">
        <f>I143+J64</f>
        <v>-110</v>
      </c>
      <c r="K143" s="1"/>
      <c r="L143" s="1"/>
      <c r="M143" s="1"/>
    </row>
    <row r="144" ht="15" customHeight="1">
      <c r="A144" s="1"/>
      <c r="B144" s="1" t="s">
        <v>502</v>
      </c>
      <c r="C144" s="35">
        <v>0</v>
      </c>
      <c r="D144" s="35">
        <v>25</v>
      </c>
      <c r="E144" s="35">
        <v>17</v>
      </c>
      <c r="F144" s="35">
        <v>25</v>
      </c>
      <c r="G144" s="17">
        <f t="shared" si="57"/>
        <v>25</v>
      </c>
      <c r="H144" s="35">
        <v>0</v>
      </c>
      <c r="I144" s="35">
        <v>-20</v>
      </c>
      <c r="J144" s="37">
        <f t="shared" si="73" ref="J144:J147">I144+J67</f>
        <v>-20</v>
      </c>
      <c r="K144" s="1" t="s">
        <v>584</v>
      </c>
      <c r="L144" s="1"/>
      <c r="M144" s="1"/>
    </row>
    <row r="145" ht="15" customHeight="1">
      <c r="A145" s="1"/>
      <c r="B145" s="1" t="s">
        <v>504</v>
      </c>
      <c r="C145" s="35">
        <v>0</v>
      </c>
      <c r="D145" s="35">
        <v>0</v>
      </c>
      <c r="E145" s="35">
        <v>1985</v>
      </c>
      <c r="F145" s="35">
        <v>1985</v>
      </c>
      <c r="G145" s="17">
        <f t="shared" si="57"/>
        <v>1985</v>
      </c>
      <c r="H145" s="35">
        <v>0</v>
      </c>
      <c r="I145" s="35">
        <v>0</v>
      </c>
      <c r="J145" s="37">
        <f t="shared" si="73"/>
        <v>0</v>
      </c>
      <c r="K145" s="1"/>
      <c r="L145" s="1"/>
      <c r="M145" s="1"/>
    </row>
    <row r="146" ht="15" customHeight="1">
      <c r="A146" s="1"/>
      <c r="B146" s="1" t="s">
        <v>505</v>
      </c>
      <c r="C146" s="35">
        <v>-56</v>
      </c>
      <c r="D146" s="35">
        <v>-1253</v>
      </c>
      <c r="E146" s="35">
        <v>-1304</v>
      </c>
      <c r="F146" s="35">
        <v>-1811</v>
      </c>
      <c r="G146" s="17">
        <f t="shared" si="57"/>
        <v>-1811</v>
      </c>
      <c r="H146" s="35">
        <v>-60</v>
      </c>
      <c r="I146" s="35">
        <v>-1026</v>
      </c>
      <c r="J146" s="37">
        <f t="shared" si="73"/>
        <v>-1026</v>
      </c>
      <c r="K146" s="1" t="s">
        <v>585</v>
      </c>
      <c r="L146" s="1"/>
      <c r="M146" s="1"/>
    </row>
    <row r="147" ht="15" customHeight="1">
      <c r="A147" s="1"/>
      <c r="B147" s="1" t="s">
        <v>507</v>
      </c>
      <c r="C147" s="35">
        <v>-302</v>
      </c>
      <c r="D147" s="35">
        <v>-688</v>
      </c>
      <c r="E147" s="35">
        <v>-1071</v>
      </c>
      <c r="F147" s="35">
        <v>-1452</v>
      </c>
      <c r="G147" s="17">
        <f t="shared" si="57"/>
        <v>-1452</v>
      </c>
      <c r="H147" s="35">
        <v>-381</v>
      </c>
      <c r="I147" s="35">
        <v>-873</v>
      </c>
      <c r="J147" s="37">
        <f t="shared" si="73"/>
        <v>-1359.3476386857576</v>
      </c>
      <c r="K147" s="1"/>
      <c r="L147" s="1"/>
      <c r="M147" s="1"/>
    </row>
    <row r="148" ht="15" customHeight="1">
      <c r="A148" s="1"/>
      <c r="B148" s="1" t="s">
        <v>509</v>
      </c>
      <c r="C148" s="35">
        <v>-1965</v>
      </c>
      <c r="D148" s="35">
        <v>-3710</v>
      </c>
      <c r="E148" s="35">
        <v>-5554</v>
      </c>
      <c r="F148" s="35">
        <v>-7551</v>
      </c>
      <c r="G148" s="17">
        <f t="shared" si="57"/>
        <v>-7551</v>
      </c>
      <c r="H148" s="35">
        <v>-2399</v>
      </c>
      <c r="I148" s="35">
        <v>-4527</v>
      </c>
      <c r="J148" s="37">
        <f>I148+J73</f>
        <v>-6527</v>
      </c>
      <c r="K148" s="1" t="s">
        <v>586</v>
      </c>
      <c r="L148" s="1"/>
      <c r="M148" s="1"/>
    </row>
    <row r="149" ht="15" customHeight="1">
      <c r="A149" s="1"/>
      <c r="B149" s="1" t="s">
        <v>511</v>
      </c>
      <c r="C149" s="35">
        <v>39</v>
      </c>
      <c r="D149" s="35">
        <v>136</v>
      </c>
      <c r="E149" s="35">
        <v>71</v>
      </c>
      <c r="F149" s="35">
        <v>120</v>
      </c>
      <c r="G149" s="17">
        <f t="shared" si="57"/>
        <v>120</v>
      </c>
      <c r="H149" s="35">
        <v>9</v>
      </c>
      <c r="I149" s="35">
        <v>54</v>
      </c>
      <c r="J149" s="37">
        <f>I149+J76</f>
        <v>54</v>
      </c>
      <c r="K149" s="1"/>
      <c r="L149" s="1"/>
      <c r="M149" s="1"/>
    </row>
    <row r="150" ht="15" customHeight="1">
      <c r="A150" s="1"/>
      <c r="B150" s="1" t="s">
        <v>587</v>
      </c>
      <c r="C150" s="35">
        <v>0</v>
      </c>
      <c r="D150" s="35">
        <v>0</v>
      </c>
      <c r="E150" s="35">
        <v>0</v>
      </c>
      <c r="F150" s="35">
        <v>0</v>
      </c>
      <c r="G150" s="17">
        <f t="shared" si="57"/>
        <v>0</v>
      </c>
      <c r="H150" s="35">
        <v>0</v>
      </c>
      <c r="I150" s="35">
        <v>0</v>
      </c>
      <c r="J150" s="37">
        <f>I150+J78</f>
        <v>0</v>
      </c>
      <c r="K150" s="1"/>
      <c r="L150" s="1"/>
      <c r="M150" s="1"/>
    </row>
    <row r="151" ht="15" customHeight="1">
      <c r="A151" s="1"/>
      <c r="B151" s="1" t="s">
        <v>588</v>
      </c>
      <c r="C151" s="35">
        <v>84</v>
      </c>
      <c r="D151" s="35">
        <v>188</v>
      </c>
      <c r="E151" s="35">
        <v>189</v>
      </c>
      <c r="F151" s="35">
        <v>201</v>
      </c>
      <c r="G151" s="17">
        <f t="shared" si="57"/>
        <v>201</v>
      </c>
      <c r="H151" s="35">
        <v>-57</v>
      </c>
      <c r="I151" s="35">
        <v>-68</v>
      </c>
      <c r="J151" s="37">
        <f>I151+J80</f>
        <v>-68</v>
      </c>
      <c r="K151" s="1" t="s">
        <v>589</v>
      </c>
      <c r="L151" s="1"/>
      <c r="M151" s="1"/>
    </row>
    <row r="152" ht="15" customHeight="1">
      <c r="A152" s="1"/>
      <c r="B152" s="1" t="s">
        <v>590</v>
      </c>
      <c r="C152" s="35">
        <v>15880</v>
      </c>
      <c r="D152" s="35">
        <v>15880</v>
      </c>
      <c r="E152" s="35">
        <v>15880</v>
      </c>
      <c r="F152" s="35">
        <v>15880</v>
      </c>
      <c r="G152" s="17">
        <f t="shared" si="57"/>
        <v>15880</v>
      </c>
      <c r="H152" s="35">
        <v>14782</v>
      </c>
      <c r="I152" s="35">
        <v>14782</v>
      </c>
      <c r="J152" s="37">
        <f t="shared" si="57"/>
        <v>14782</v>
      </c>
      <c r="K152" s="1" t="s">
        <v>591</v>
      </c>
      <c r="L152" s="1"/>
      <c r="M152" s="1"/>
    </row>
    <row r="153" ht="15" customHeight="1">
      <c r="A153" s="1"/>
      <c r="B153" s="1" t="s">
        <v>592</v>
      </c>
      <c r="C153" s="35">
        <v>-1327</v>
      </c>
      <c r="D153" s="17">
        <f t="shared" si="75" ref="D153:J155">C153</f>
        <v>-1327</v>
      </c>
      <c r="E153" s="17">
        <f t="shared" si="76" ref="E153:J153">C153</f>
        <v>-1327</v>
      </c>
      <c r="F153" s="17">
        <f>C153</f>
        <v>-1327</v>
      </c>
      <c r="G153" s="17">
        <f t="shared" si="74"/>
        <v>-1327</v>
      </c>
      <c r="H153" s="17">
        <f>F154</f>
        <v>-1126</v>
      </c>
      <c r="I153" s="17">
        <f t="shared" si="75"/>
        <v>-1126</v>
      </c>
      <c r="J153" s="37">
        <f t="shared" si="76"/>
        <v>-1126</v>
      </c>
      <c r="K153" s="1" t="s">
        <v>593</v>
      </c>
      <c r="L153" s="1"/>
      <c r="M153" s="1"/>
    </row>
    <row r="154" ht="15" customHeight="1">
      <c r="A154" s="1"/>
      <c r="B154" s="1" t="s">
        <v>594</v>
      </c>
      <c r="C154" s="35">
        <v>-1372</v>
      </c>
      <c r="D154" s="35">
        <v>-1429</v>
      </c>
      <c r="E154" s="35">
        <v>-1171</v>
      </c>
      <c r="F154" s="35">
        <v>-1126</v>
      </c>
      <c r="G154" s="17">
        <f t="shared" si="75"/>
        <v>-1126</v>
      </c>
      <c r="H154" s="35">
        <v>-1000</v>
      </c>
      <c r="I154" s="35">
        <v>-854</v>
      </c>
      <c r="J154" s="37">
        <f t="shared" si="75"/>
        <v>-854</v>
      </c>
      <c r="K154" s="1" t="s">
        <v>595</v>
      </c>
      <c r="L154" s="1"/>
      <c r="M154" s="1"/>
    </row>
    <row r="155" ht="15" customHeight="1">
      <c r="A155" s="1"/>
      <c r="B155" s="1" t="s">
        <v>596</v>
      </c>
      <c r="C155" s="35">
        <v>13500</v>
      </c>
      <c r="D155" s="35">
        <v>12052</v>
      </c>
      <c r="E155" s="35">
        <v>13841</v>
      </c>
      <c r="F155" s="35">
        <v>13657</v>
      </c>
      <c r="G155" s="17">
        <f t="shared" si="75"/>
        <v>13657</v>
      </c>
      <c r="H155" s="35">
        <v>11799</v>
      </c>
      <c r="I155" s="35">
        <v>10513</v>
      </c>
      <c r="J155" s="37"/>
      <c r="K155" s="1" t="s">
        <v>597</v>
      </c>
      <c r="L155" s="1"/>
      <c r="M155" s="1"/>
    </row>
    <row r="156" ht="15" customHeight="1">
      <c r="A156" s="1"/>
      <c r="B156" s="1" t="s">
        <v>598</v>
      </c>
      <c r="C156" s="40" t="b">
        <f t="shared" si="77" ref="C156:I156">ABS(C85-C155)&lt;=3</f>
        <v>1</v>
      </c>
      <c r="D156" s="40" t="b">
        <f t="shared" si="77"/>
        <v>1</v>
      </c>
      <c r="E156" s="40" t="b">
        <f t="shared" si="77"/>
        <v>1</v>
      </c>
      <c r="F156" s="40" t="b">
        <f t="shared" si="77"/>
        <v>1</v>
      </c>
      <c r="G156" s="40" t="b">
        <f t="shared" si="77"/>
        <v>1</v>
      </c>
      <c r="H156" s="40" t="b">
        <f t="shared" si="77"/>
        <v>1</v>
      </c>
      <c r="I156" s="40" t="b">
        <f t="shared" si="77"/>
        <v>1</v>
      </c>
      <c r="J156" s="27"/>
      <c r="K156" s="1" t="s">
        <v>599</v>
      </c>
      <c r="L156" s="1"/>
      <c r="M156" s="1"/>
    </row>
    <row r="157" ht="1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ht="1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ht="1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C8D6808-CACE-9278-2428-3232D755D16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46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600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52</v>
      </c>
      <c r="C5" s="6" t="s">
        <v>53</v>
      </c>
      <c r="D5" s="6" t="s">
        <v>54</v>
      </c>
      <c r="E5" s="6" t="s">
        <v>55</v>
      </c>
      <c r="F5" s="6" t="s">
        <v>56</v>
      </c>
      <c r="G5" s="6" t="s">
        <v>57</v>
      </c>
      <c r="H5" s="6" t="s">
        <v>58</v>
      </c>
      <c r="I5" s="6" t="s">
        <v>59</v>
      </c>
      <c r="J5" s="26" t="s">
        <v>60</v>
      </c>
      <c r="K5" s="5" t="s">
        <v>3</v>
      </c>
      <c r="L5" s="1"/>
      <c r="M5" s="1"/>
    </row>
    <row r="6" ht="15" customHeight="1">
      <c r="A6" s="1"/>
      <c r="B6" s="8" t="s">
        <v>61</v>
      </c>
      <c r="C6" s="9">
        <f>DATE(2025,3,31)</f>
        <v>45747</v>
      </c>
      <c r="D6" s="9">
        <f>DATE(2025,6,30)</f>
        <v>45838</v>
      </c>
      <c r="E6" s="9">
        <f>DATE(2025,9,30)</f>
        <v>45930</v>
      </c>
      <c r="F6" s="9">
        <f t="shared" si="0" ref="F6:G6">DATE(2025,12,31)</f>
        <v>46022</v>
      </c>
      <c r="G6" s="9">
        <f t="shared" si="0"/>
        <v>46022</v>
      </c>
      <c r="H6" s="9">
        <f>DATE(2026,3,31)</f>
        <v>46112</v>
      </c>
      <c r="I6" s="9">
        <f>DATE(2026,6,30)</f>
        <v>46203</v>
      </c>
      <c r="J6" s="9">
        <f>DATE(2026,9,30)</f>
        <v>46295</v>
      </c>
      <c r="K6" s="8"/>
      <c r="L6" s="1"/>
      <c r="M6" s="1"/>
    </row>
    <row r="7" ht="15" customHeight="1">
      <c r="A7" s="1"/>
      <c r="B7" s="10" t="s">
        <v>62</v>
      </c>
      <c r="C7" s="11">
        <f t="shared" si="2" ref="C7:G7">C6-DATE(2024,12,31)</f>
        <v>90</v>
      </c>
      <c r="D7" s="11">
        <f t="shared" si="1" ref="D7:J7">D6-C6</f>
        <v>91</v>
      </c>
      <c r="E7" s="11">
        <f t="shared" si="1"/>
        <v>92</v>
      </c>
      <c r="F7" s="11">
        <f t="shared" si="1"/>
        <v>92</v>
      </c>
      <c r="G7" s="11">
        <f t="shared" si="2"/>
        <v>365</v>
      </c>
      <c r="H7" s="11">
        <f>H6-F6</f>
        <v>90</v>
      </c>
      <c r="I7" s="11">
        <f t="shared" si="1"/>
        <v>91</v>
      </c>
      <c r="J7" s="11">
        <f t="shared" si="1"/>
        <v>92</v>
      </c>
      <c r="K7" s="10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27"/>
      <c r="K8" s="1"/>
      <c r="L8" s="1"/>
      <c r="M8" s="1"/>
    </row>
    <row r="9" ht="15" customHeight="1">
      <c r="A9" s="1"/>
      <c r="B9" s="28" t="s">
        <v>601</v>
      </c>
      <c r="C9" s="29"/>
      <c r="D9" s="29"/>
      <c r="E9" s="29"/>
      <c r="F9" s="29"/>
      <c r="G9" s="29"/>
      <c r="H9" s="29"/>
      <c r="I9" s="29"/>
      <c r="J9" s="30"/>
      <c r="K9" s="29"/>
      <c r="L9" s="1"/>
      <c r="M9" s="1"/>
    </row>
    <row r="10" ht="15" customHeight="1">
      <c r="A10" s="1"/>
      <c r="B10" s="1" t="s">
        <v>602</v>
      </c>
      <c r="C10" s="17"/>
      <c r="D10" s="17"/>
      <c r="E10" s="17"/>
      <c r="F10" s="17"/>
      <c r="G10" s="35">
        <v>18194</v>
      </c>
      <c r="H10" s="17"/>
      <c r="I10" s="17"/>
      <c r="J10" s="37"/>
      <c r="K10" s="1"/>
      <c r="L10" s="1"/>
      <c r="M10" s="1"/>
    </row>
    <row r="11" ht="15" customHeight="1">
      <c r="A11" s="1"/>
      <c r="B11" s="4" t="s">
        <v>242</v>
      </c>
      <c r="C11" s="18"/>
      <c r="D11" s="18"/>
      <c r="E11" s="18"/>
      <c r="F11" s="18"/>
      <c r="G11" s="18">
        <f>G10/G46</f>
        <v>0.3967724348489805</v>
      </c>
      <c r="H11" s="18"/>
      <c r="I11" s="18"/>
      <c r="J11" s="32"/>
      <c r="K11" s="1"/>
      <c r="L11" s="1"/>
      <c r="M11" s="1"/>
    </row>
    <row r="12" ht="15" customHeight="1">
      <c r="A12" s="1"/>
      <c r="B12" s="4" t="s">
        <v>603</v>
      </c>
      <c r="C12" s="18"/>
      <c r="D12" s="18"/>
      <c r="E12" s="18"/>
      <c r="F12" s="18"/>
      <c r="G12" s="18">
        <f>G10/G54-1</f>
        <v>0.049250288350634275</v>
      </c>
      <c r="H12" s="18"/>
      <c r="I12" s="18"/>
      <c r="J12" s="32"/>
      <c r="K12" s="1" t="s">
        <v>604</v>
      </c>
      <c r="L12" s="1"/>
      <c r="M12" s="1"/>
    </row>
    <row r="13" ht="15" customHeight="1">
      <c r="A13" s="1"/>
      <c r="B13" s="4" t="s">
        <v>71</v>
      </c>
      <c r="C13" s="18"/>
      <c r="D13" s="18"/>
      <c r="E13" s="18"/>
      <c r="F13" s="18"/>
      <c r="G13" s="18" t="s">
        <v>72</v>
      </c>
      <c r="H13" s="18"/>
      <c r="I13" s="18"/>
      <c r="J13" s="32"/>
      <c r="K13" s="1" t="s">
        <v>141</v>
      </c>
      <c r="L13" s="1"/>
      <c r="M13" s="1"/>
    </row>
    <row r="14" ht="15" customHeight="1">
      <c r="A14" s="1"/>
      <c r="B14" s="4" t="s">
        <v>74</v>
      </c>
      <c r="C14" s="18"/>
      <c r="D14" s="18"/>
      <c r="E14" s="18"/>
      <c r="F14" s="18"/>
      <c r="G14" s="18" t="s">
        <v>72</v>
      </c>
      <c r="H14" s="18"/>
      <c r="I14" s="18"/>
      <c r="J14" s="32"/>
      <c r="K14" s="1" t="s">
        <v>141</v>
      </c>
      <c r="L14" s="1"/>
      <c r="M14" s="1"/>
    </row>
    <row r="15" ht="15" customHeight="1">
      <c r="A15" s="1"/>
      <c r="B15" s="4" t="s">
        <v>75</v>
      </c>
      <c r="C15" s="18"/>
      <c r="D15" s="18"/>
      <c r="E15" s="18"/>
      <c r="F15" s="18"/>
      <c r="G15" s="18" t="str">
        <f t="shared" si="3" ref="G15:G50">IF(AND(ISNUMBER(G12),ISNUMBER(G13),ISNUMBER(G14)),(1+G12)/((1+G13)*(1+G14))-1,"n.a.")</f>
        <v>n.a.</v>
      </c>
      <c r="H15" s="18"/>
      <c r="I15" s="18"/>
      <c r="J15" s="32"/>
      <c r="K15" s="1" t="s">
        <v>142</v>
      </c>
      <c r="L15" s="1"/>
      <c r="M15" s="1"/>
    </row>
    <row r="16" ht="15" customHeight="1">
      <c r="A16" s="1"/>
      <c r="B16" s="1" t="s">
        <v>605</v>
      </c>
      <c r="C16" s="17"/>
      <c r="D16" s="17"/>
      <c r="E16" s="17"/>
      <c r="F16" s="17"/>
      <c r="G16" s="35">
        <v>8603</v>
      </c>
      <c r="H16" s="17"/>
      <c r="I16" s="17"/>
      <c r="J16" s="37"/>
      <c r="K16" s="1"/>
      <c r="L16" s="1"/>
      <c r="M16" s="1"/>
    </row>
    <row r="17" ht="15" customHeight="1">
      <c r="A17" s="1"/>
      <c r="B17" s="4" t="s">
        <v>242</v>
      </c>
      <c r="C17" s="18"/>
      <c r="D17" s="18"/>
      <c r="E17" s="18"/>
      <c r="F17" s="18"/>
      <c r="G17" s="18">
        <f>G16/G46</f>
        <v>0.1876131283393305</v>
      </c>
      <c r="H17" s="18"/>
      <c r="I17" s="18"/>
      <c r="J17" s="32"/>
      <c r="K17" s="1"/>
      <c r="L17" s="1"/>
      <c r="M17" s="1"/>
    </row>
    <row r="18" ht="15" customHeight="1">
      <c r="A18" s="1"/>
      <c r="B18" s="4" t="s">
        <v>603</v>
      </c>
      <c r="C18" s="18"/>
      <c r="D18" s="18"/>
      <c r="E18" s="18"/>
      <c r="F18" s="18"/>
      <c r="G18" s="18">
        <f>G16/G55-1</f>
        <v>0.10294871794871785</v>
      </c>
      <c r="H18" s="18"/>
      <c r="I18" s="18"/>
      <c r="J18" s="32"/>
      <c r="K18" s="1" t="s">
        <v>604</v>
      </c>
      <c r="L18" s="1"/>
      <c r="M18" s="1"/>
    </row>
    <row r="19" ht="15" customHeight="1">
      <c r="A19" s="1"/>
      <c r="B19" s="4" t="s">
        <v>71</v>
      </c>
      <c r="C19" s="18"/>
      <c r="D19" s="18"/>
      <c r="E19" s="18"/>
      <c r="F19" s="18"/>
      <c r="G19" s="18" t="s">
        <v>72</v>
      </c>
      <c r="H19" s="18"/>
      <c r="I19" s="18"/>
      <c r="J19" s="32"/>
      <c r="K19" s="1" t="s">
        <v>141</v>
      </c>
      <c r="L19" s="1"/>
      <c r="M19" s="1"/>
    </row>
    <row r="20" ht="15" customHeight="1">
      <c r="A20" s="1"/>
      <c r="B20" s="4" t="s">
        <v>74</v>
      </c>
      <c r="C20" s="18"/>
      <c r="D20" s="18"/>
      <c r="E20" s="18"/>
      <c r="F20" s="18"/>
      <c r="G20" s="18" t="s">
        <v>72</v>
      </c>
      <c r="H20" s="18"/>
      <c r="I20" s="18"/>
      <c r="J20" s="32"/>
      <c r="K20" s="1" t="s">
        <v>141</v>
      </c>
      <c r="L20" s="1"/>
      <c r="M20" s="1"/>
    </row>
    <row r="21" ht="15" customHeight="1">
      <c r="A21" s="1"/>
      <c r="B21" s="4" t="s">
        <v>75</v>
      </c>
      <c r="C21" s="18"/>
      <c r="D21" s="18"/>
      <c r="E21" s="18"/>
      <c r="F21" s="18"/>
      <c r="G21" s="18" t="str">
        <f t="shared" si="3"/>
        <v>n.a.</v>
      </c>
      <c r="H21" s="18"/>
      <c r="I21" s="18"/>
      <c r="J21" s="32"/>
      <c r="K21" s="1" t="s">
        <v>142</v>
      </c>
      <c r="L21" s="1"/>
      <c r="M21" s="1"/>
    </row>
    <row r="22" ht="15" customHeight="1">
      <c r="A22" s="1"/>
      <c r="B22" s="1" t="s">
        <v>606</v>
      </c>
      <c r="C22" s="17"/>
      <c r="D22" s="17"/>
      <c r="E22" s="17"/>
      <c r="F22" s="17"/>
      <c r="G22" s="35">
        <v>10819</v>
      </c>
      <c r="H22" s="17"/>
      <c r="I22" s="17"/>
      <c r="J22" s="37"/>
      <c r="K22" s="1"/>
      <c r="L22" s="1"/>
      <c r="M22" s="1"/>
    </row>
    <row r="23" ht="15" customHeight="1">
      <c r="A23" s="1"/>
      <c r="B23" s="4" t="s">
        <v>242</v>
      </c>
      <c r="C23" s="18"/>
      <c r="D23" s="18"/>
      <c r="E23" s="18"/>
      <c r="F23" s="18"/>
      <c r="G23" s="18">
        <f>G22/G46</f>
        <v>0.23593937411405516</v>
      </c>
      <c r="H23" s="18"/>
      <c r="I23" s="18"/>
      <c r="J23" s="32"/>
      <c r="K23" s="1"/>
      <c r="L23" s="1"/>
      <c r="M23" s="1"/>
    </row>
    <row r="24" ht="15" customHeight="1">
      <c r="A24" s="1"/>
      <c r="B24" s="4" t="s">
        <v>603</v>
      </c>
      <c r="C24" s="18"/>
      <c r="D24" s="18"/>
      <c r="E24" s="18"/>
      <c r="F24" s="18"/>
      <c r="G24" s="18">
        <f>G22/G56-1</f>
        <v>0.49495647367693785</v>
      </c>
      <c r="H24" s="18"/>
      <c r="I24" s="18"/>
      <c r="J24" s="32"/>
      <c r="K24" s="1" t="s">
        <v>604</v>
      </c>
      <c r="L24" s="1"/>
      <c r="M24" s="1"/>
    </row>
    <row r="25" ht="15" customHeight="1">
      <c r="A25" s="1"/>
      <c r="B25" s="4" t="s">
        <v>71</v>
      </c>
      <c r="C25" s="18"/>
      <c r="D25" s="18"/>
      <c r="E25" s="18"/>
      <c r="F25" s="18"/>
      <c r="G25" s="18" t="s">
        <v>72</v>
      </c>
      <c r="H25" s="18"/>
      <c r="I25" s="18"/>
      <c r="J25" s="32"/>
      <c r="K25" s="1" t="s">
        <v>141</v>
      </c>
      <c r="L25" s="1"/>
      <c r="M25" s="1"/>
    </row>
    <row r="26" ht="15" customHeight="1">
      <c r="A26" s="1"/>
      <c r="B26" s="4" t="s">
        <v>74</v>
      </c>
      <c r="C26" s="18"/>
      <c r="D26" s="18"/>
      <c r="E26" s="18"/>
      <c r="F26" s="18"/>
      <c r="G26" s="18" t="s">
        <v>72</v>
      </c>
      <c r="H26" s="18"/>
      <c r="I26" s="18"/>
      <c r="J26" s="32"/>
      <c r="K26" s="1" t="s">
        <v>141</v>
      </c>
      <c r="L26" s="1"/>
      <c r="M26" s="1"/>
    </row>
    <row r="27" ht="15" customHeight="1">
      <c r="A27" s="1"/>
      <c r="B27" s="4" t="s">
        <v>75</v>
      </c>
      <c r="C27" s="18"/>
      <c r="D27" s="18"/>
      <c r="E27" s="18"/>
      <c r="F27" s="18"/>
      <c r="G27" s="18" t="str">
        <f t="shared" si="3"/>
        <v>n.a.</v>
      </c>
      <c r="H27" s="18"/>
      <c r="I27" s="18"/>
      <c r="J27" s="32"/>
      <c r="K27" s="1" t="s">
        <v>142</v>
      </c>
      <c r="L27" s="1"/>
      <c r="M27" s="1"/>
    </row>
    <row r="28" ht="15" customHeight="1">
      <c r="A28" s="1"/>
      <c r="B28" s="1" t="s">
        <v>607</v>
      </c>
      <c r="C28" s="17"/>
      <c r="D28" s="17"/>
      <c r="E28" s="17"/>
      <c r="F28" s="17"/>
      <c r="G28" s="35">
        <v>3664</v>
      </c>
      <c r="H28" s="17"/>
      <c r="I28" s="17"/>
      <c r="J28" s="37"/>
      <c r="K28" s="1"/>
      <c r="L28" s="1"/>
      <c r="M28" s="1"/>
    </row>
    <row r="29" ht="15" customHeight="1">
      <c r="A29" s="1"/>
      <c r="B29" s="4" t="s">
        <v>242</v>
      </c>
      <c r="C29" s="18"/>
      <c r="D29" s="18"/>
      <c r="E29" s="18"/>
      <c r="F29" s="18"/>
      <c r="G29" s="18">
        <f>G28/G46</f>
        <v>0.0799040453603751</v>
      </c>
      <c r="H29" s="18"/>
      <c r="I29" s="18"/>
      <c r="J29" s="32"/>
      <c r="K29" s="1"/>
      <c r="L29" s="1"/>
      <c r="M29" s="1"/>
    </row>
    <row r="30" ht="15" customHeight="1">
      <c r="A30" s="1"/>
      <c r="B30" s="4" t="s">
        <v>603</v>
      </c>
      <c r="C30" s="18"/>
      <c r="D30" s="18"/>
      <c r="E30" s="18"/>
      <c r="F30" s="18"/>
      <c r="G30" s="18">
        <f>G28/G57-1</f>
        <v>0.4130350944851524</v>
      </c>
      <c r="H30" s="18"/>
      <c r="I30" s="18"/>
      <c r="J30" s="32"/>
      <c r="K30" s="1" t="s">
        <v>604</v>
      </c>
      <c r="L30" s="1"/>
      <c r="M30" s="1"/>
    </row>
    <row r="31" ht="15" customHeight="1">
      <c r="A31" s="1"/>
      <c r="B31" s="4" t="s">
        <v>71</v>
      </c>
      <c r="C31" s="18"/>
      <c r="D31" s="18"/>
      <c r="E31" s="18"/>
      <c r="F31" s="18"/>
      <c r="G31" s="18" t="s">
        <v>72</v>
      </c>
      <c r="H31" s="18"/>
      <c r="I31" s="18"/>
      <c r="J31" s="32"/>
      <c r="K31" s="1" t="s">
        <v>141</v>
      </c>
      <c r="L31" s="1"/>
      <c r="M31" s="1"/>
    </row>
    <row r="32" ht="15" customHeight="1">
      <c r="A32" s="1"/>
      <c r="B32" s="4" t="s">
        <v>74</v>
      </c>
      <c r="C32" s="18"/>
      <c r="D32" s="18"/>
      <c r="E32" s="18"/>
      <c r="F32" s="18"/>
      <c r="G32" s="18" t="s">
        <v>72</v>
      </c>
      <c r="H32" s="18"/>
      <c r="I32" s="18"/>
      <c r="J32" s="32"/>
      <c r="K32" s="1" t="s">
        <v>141</v>
      </c>
      <c r="L32" s="1"/>
      <c r="M32" s="1"/>
    </row>
    <row r="33" ht="15" customHeight="1">
      <c r="A33" s="1"/>
      <c r="B33" s="4" t="s">
        <v>75</v>
      </c>
      <c r="C33" s="18"/>
      <c r="D33" s="18"/>
      <c r="E33" s="18"/>
      <c r="F33" s="18"/>
      <c r="G33" s="18" t="str">
        <f t="shared" si="3"/>
        <v>n.a.</v>
      </c>
      <c r="H33" s="18"/>
      <c r="I33" s="18"/>
      <c r="J33" s="32"/>
      <c r="K33" s="1" t="s">
        <v>142</v>
      </c>
      <c r="L33" s="1"/>
      <c r="M33" s="1"/>
    </row>
    <row r="34" ht="15" customHeight="1">
      <c r="A34" s="1"/>
      <c r="B34" s="1" t="s">
        <v>608</v>
      </c>
      <c r="C34" s="17"/>
      <c r="D34" s="17"/>
      <c r="E34" s="17"/>
      <c r="F34" s="17"/>
      <c r="G34" s="35">
        <v>4575</v>
      </c>
      <c r="H34" s="17"/>
      <c r="I34" s="17"/>
      <c r="J34" s="37"/>
      <c r="K34" s="1"/>
      <c r="L34" s="1"/>
      <c r="M34" s="1"/>
    </row>
    <row r="35" ht="15" customHeight="1">
      <c r="A35" s="1"/>
      <c r="B35" s="4" t="s">
        <v>242</v>
      </c>
      <c r="C35" s="18"/>
      <c r="D35" s="18"/>
      <c r="E35" s="18"/>
      <c r="F35" s="18"/>
      <c r="G35" s="18">
        <f>G34/G46</f>
        <v>0.09977101733725875</v>
      </c>
      <c r="H35" s="18"/>
      <c r="I35" s="18"/>
      <c r="J35" s="32"/>
      <c r="K35" s="1"/>
      <c r="L35" s="1"/>
      <c r="M35" s="1"/>
    </row>
    <row r="36" ht="15" customHeight="1">
      <c r="A36" s="1"/>
      <c r="B36" s="4" t="s">
        <v>603</v>
      </c>
      <c r="C36" s="18"/>
      <c r="D36" s="18"/>
      <c r="E36" s="18"/>
      <c r="F36" s="18"/>
      <c r="G36" s="18">
        <f>G34/G58-1</f>
        <v>0.22522763792179967</v>
      </c>
      <c r="H36" s="18"/>
      <c r="I36" s="18"/>
      <c r="J36" s="32"/>
      <c r="K36" s="1" t="s">
        <v>604</v>
      </c>
      <c r="L36" s="1"/>
      <c r="M36" s="1"/>
    </row>
    <row r="37" ht="15" customHeight="1">
      <c r="A37" s="1"/>
      <c r="B37" s="4" t="s">
        <v>71</v>
      </c>
      <c r="C37" s="18"/>
      <c r="D37" s="18"/>
      <c r="E37" s="18"/>
      <c r="F37" s="18"/>
      <c r="G37" s="18" t="s">
        <v>72</v>
      </c>
      <c r="H37" s="18"/>
      <c r="I37" s="18"/>
      <c r="J37" s="32"/>
      <c r="K37" s="1" t="s">
        <v>141</v>
      </c>
      <c r="L37" s="1"/>
      <c r="M37" s="1"/>
    </row>
    <row r="38" ht="15" customHeight="1">
      <c r="A38" s="1"/>
      <c r="B38" s="4" t="s">
        <v>74</v>
      </c>
      <c r="C38" s="18"/>
      <c r="D38" s="18"/>
      <c r="E38" s="18"/>
      <c r="F38" s="18"/>
      <c r="G38" s="18" t="s">
        <v>72</v>
      </c>
      <c r="H38" s="18"/>
      <c r="I38" s="18"/>
      <c r="J38" s="32"/>
      <c r="K38" s="1" t="s">
        <v>141</v>
      </c>
      <c r="L38" s="1"/>
      <c r="M38" s="1"/>
    </row>
    <row r="39" ht="15" customHeight="1">
      <c r="A39" s="1"/>
      <c r="B39" s="4" t="s">
        <v>75</v>
      </c>
      <c r="C39" s="18"/>
      <c r="D39" s="18"/>
      <c r="E39" s="18"/>
      <c r="F39" s="18"/>
      <c r="G39" s="18" t="str">
        <f t="shared" si="3"/>
        <v>n.a.</v>
      </c>
      <c r="H39" s="18"/>
      <c r="I39" s="18"/>
      <c r="J39" s="32"/>
      <c r="K39" s="1" t="s">
        <v>142</v>
      </c>
      <c r="L39" s="1"/>
      <c r="M39" s="1"/>
    </row>
    <row r="40" ht="15" customHeight="1">
      <c r="A40" s="1"/>
      <c r="B40" s="3" t="s">
        <v>609</v>
      </c>
      <c r="C40" s="38"/>
      <c r="D40" s="38"/>
      <c r="E40" s="38"/>
      <c r="F40" s="38"/>
      <c r="G40" s="38">
        <f>G16+G22+G28+G34</f>
        <v>27661</v>
      </c>
      <c r="H40" s="38"/>
      <c r="I40" s="38"/>
      <c r="J40" s="39"/>
      <c r="K40" s="1" t="s">
        <v>610</v>
      </c>
      <c r="L40" s="1"/>
      <c r="M40" s="1"/>
    </row>
    <row r="41" ht="15" customHeight="1">
      <c r="A41" s="1"/>
      <c r="B41" s="4" t="s">
        <v>242</v>
      </c>
      <c r="C41" s="18"/>
      <c r="D41" s="18"/>
      <c r="E41" s="18"/>
      <c r="F41" s="18"/>
      <c r="G41" s="18">
        <f>G40/G46</f>
        <v>0.6032275651510195</v>
      </c>
      <c r="H41" s="18"/>
      <c r="I41" s="18"/>
      <c r="J41" s="32"/>
      <c r="K41" s="1"/>
      <c r="L41" s="1"/>
      <c r="M41" s="1"/>
    </row>
    <row r="42" ht="15" customHeight="1">
      <c r="A42" s="1"/>
      <c r="B42" s="4" t="s">
        <v>603</v>
      </c>
      <c r="C42" s="18"/>
      <c r="D42" s="18"/>
      <c r="E42" s="18"/>
      <c r="F42" s="18"/>
      <c r="G42" s="18">
        <f>G40/G59-1</f>
        <v>0.29474817449915736</v>
      </c>
      <c r="H42" s="18"/>
      <c r="I42" s="18"/>
      <c r="J42" s="32"/>
      <c r="K42" s="1"/>
      <c r="L42" s="1"/>
      <c r="M42" s="1"/>
    </row>
    <row r="43" ht="15" customHeight="1">
      <c r="A43" s="1"/>
      <c r="B43" s="4" t="s">
        <v>71</v>
      </c>
      <c r="C43" s="18"/>
      <c r="D43" s="18"/>
      <c r="E43" s="18"/>
      <c r="F43" s="18"/>
      <c r="G43" s="18" t="s">
        <v>72</v>
      </c>
      <c r="H43" s="18"/>
      <c r="I43" s="18"/>
      <c r="J43" s="32"/>
      <c r="K43" s="1" t="s">
        <v>141</v>
      </c>
      <c r="L43" s="1"/>
      <c r="M43" s="1"/>
    </row>
    <row r="44" ht="15" customHeight="1">
      <c r="A44" s="1"/>
      <c r="B44" s="4" t="s">
        <v>74</v>
      </c>
      <c r="C44" s="18"/>
      <c r="D44" s="18"/>
      <c r="E44" s="18"/>
      <c r="F44" s="18"/>
      <c r="G44" s="18" t="s">
        <v>72</v>
      </c>
      <c r="H44" s="18"/>
      <c r="I44" s="18"/>
      <c r="J44" s="32"/>
      <c r="K44" s="1" t="s">
        <v>141</v>
      </c>
      <c r="L44" s="1"/>
      <c r="M44" s="1"/>
    </row>
    <row r="45" ht="15" customHeight="1">
      <c r="A45" s="1"/>
      <c r="B45" s="4" t="s">
        <v>75</v>
      </c>
      <c r="C45" s="18"/>
      <c r="D45" s="18"/>
      <c r="E45" s="18"/>
      <c r="F45" s="18"/>
      <c r="G45" s="18" t="str">
        <f t="shared" si="3"/>
        <v>n.a.</v>
      </c>
      <c r="H45" s="18"/>
      <c r="I45" s="18"/>
      <c r="J45" s="32"/>
      <c r="K45" s="1" t="s">
        <v>142</v>
      </c>
      <c r="L45" s="1"/>
      <c r="M45" s="1"/>
    </row>
    <row r="46" ht="15" customHeight="1">
      <c r="A46" s="1"/>
      <c r="B46" s="3" t="s">
        <v>611</v>
      </c>
      <c r="C46" s="38"/>
      <c r="D46" s="38"/>
      <c r="E46" s="38"/>
      <c r="F46" s="38"/>
      <c r="G46" s="38">
        <f>G10+G40</f>
        <v>45855</v>
      </c>
      <c r="H46" s="38"/>
      <c r="I46" s="38"/>
      <c r="J46" s="39"/>
      <c r="K46" s="1"/>
      <c r="L46" s="1"/>
      <c r="M46" s="1"/>
    </row>
    <row r="47" ht="15" customHeight="1">
      <c r="A47" s="1"/>
      <c r="B47" s="4" t="s">
        <v>603</v>
      </c>
      <c r="C47" s="18"/>
      <c r="D47" s="18"/>
      <c r="E47" s="18"/>
      <c r="F47" s="18"/>
      <c r="G47" s="18">
        <f>G46/G60-1</f>
        <v>0.18476126498553125</v>
      </c>
      <c r="H47" s="18"/>
      <c r="I47" s="18"/>
      <c r="J47" s="32"/>
      <c r="K47" s="1"/>
      <c r="L47" s="1"/>
      <c r="M47" s="1"/>
    </row>
    <row r="48" ht="15" customHeight="1">
      <c r="A48" s="1"/>
      <c r="B48" s="4" t="s">
        <v>71</v>
      </c>
      <c r="C48" s="18"/>
      <c r="D48" s="18"/>
      <c r="E48" s="18"/>
      <c r="F48" s="18"/>
      <c r="G48" s="18" t="s">
        <v>72</v>
      </c>
      <c r="H48" s="18"/>
      <c r="I48" s="18"/>
      <c r="J48" s="32"/>
      <c r="K48" s="1" t="s">
        <v>141</v>
      </c>
      <c r="L48" s="1"/>
      <c r="M48" s="1"/>
    </row>
    <row r="49" ht="15" customHeight="1">
      <c r="A49" s="1"/>
      <c r="B49" s="4" t="s">
        <v>74</v>
      </c>
      <c r="C49" s="18"/>
      <c r="D49" s="18"/>
      <c r="E49" s="18"/>
      <c r="F49" s="18"/>
      <c r="G49" s="18" t="s">
        <v>72</v>
      </c>
      <c r="H49" s="18"/>
      <c r="I49" s="18"/>
      <c r="J49" s="32"/>
      <c r="K49" s="1" t="s">
        <v>141</v>
      </c>
      <c r="L49" s="1"/>
      <c r="M49" s="1"/>
    </row>
    <row r="50" ht="15" customHeight="1">
      <c r="A50" s="1"/>
      <c r="B50" s="4" t="s">
        <v>75</v>
      </c>
      <c r="C50" s="18"/>
      <c r="D50" s="18"/>
      <c r="E50" s="18"/>
      <c r="F50" s="18"/>
      <c r="G50" s="18" t="str">
        <f t="shared" si="3"/>
        <v>n.a.</v>
      </c>
      <c r="H50" s="18"/>
      <c r="I50" s="18"/>
      <c r="J50" s="32"/>
      <c r="K50" s="1" t="s">
        <v>142</v>
      </c>
      <c r="L50" s="1"/>
      <c r="M50" s="1"/>
    </row>
    <row r="51" ht="15" customHeight="1">
      <c r="A51" s="1"/>
      <c r="B51" s="1" t="s">
        <v>612</v>
      </c>
      <c r="C51" s="17"/>
      <c r="D51" s="17"/>
      <c r="E51" s="17"/>
      <c r="F51" s="17"/>
      <c r="G51" s="16">
        <f>'Income Statement'!G15</f>
        <v>45854</v>
      </c>
      <c r="H51" s="17"/>
      <c r="I51" s="17"/>
      <c r="J51" s="37"/>
      <c r="K51" s="1" t="s">
        <v>613</v>
      </c>
      <c r="L51" s="1"/>
      <c r="M51" s="1"/>
    </row>
    <row r="52" ht="15" customHeight="1">
      <c r="A52" s="1"/>
      <c r="B52" s="1" t="s">
        <v>614</v>
      </c>
      <c r="C52" s="1"/>
      <c r="D52" s="1"/>
      <c r="E52" s="1"/>
      <c r="F52" s="1"/>
      <c r="G52" s="40" t="b">
        <f>ABS(G46-G51)&lt;=2</f>
        <v>1</v>
      </c>
      <c r="H52" s="1"/>
      <c r="I52" s="1"/>
      <c r="J52" s="27"/>
      <c r="K52" s="1" t="s">
        <v>615</v>
      </c>
      <c r="L52" s="1"/>
      <c r="M52" s="1"/>
    </row>
    <row r="53" ht="15" customHeight="1">
      <c r="A53" s="1"/>
      <c r="B53" s="28" t="s">
        <v>616</v>
      </c>
      <c r="C53" s="29"/>
      <c r="D53" s="29"/>
      <c r="E53" s="29"/>
      <c r="F53" s="29"/>
      <c r="G53" s="60" t="s">
        <v>617</v>
      </c>
      <c r="H53" s="29"/>
      <c r="I53" s="29"/>
      <c r="J53" s="30"/>
      <c r="K53" s="29" t="s">
        <v>618</v>
      </c>
      <c r="L53" s="1"/>
      <c r="M53" s="1"/>
    </row>
    <row r="54" ht="15" customHeight="1">
      <c r="A54" s="1"/>
      <c r="B54" s="1" t="s">
        <v>619</v>
      </c>
      <c r="C54" s="17"/>
      <c r="D54" s="17"/>
      <c r="E54" s="17"/>
      <c r="F54" s="17"/>
      <c r="G54" s="35">
        <v>17340</v>
      </c>
      <c r="H54" s="17"/>
      <c r="I54" s="17"/>
      <c r="J54" s="37"/>
      <c r="K54" s="1"/>
      <c r="L54" s="1"/>
      <c r="M54" s="1"/>
    </row>
    <row r="55" ht="15" customHeight="1">
      <c r="A55" s="1"/>
      <c r="B55" s="1" t="s">
        <v>620</v>
      </c>
      <c r="C55" s="17"/>
      <c r="D55" s="17"/>
      <c r="E55" s="17"/>
      <c r="F55" s="17"/>
      <c r="G55" s="35">
        <v>7800</v>
      </c>
      <c r="H55" s="17"/>
      <c r="I55" s="17"/>
      <c r="J55" s="37"/>
      <c r="K55" s="1"/>
      <c r="L55" s="1"/>
      <c r="M55" s="1"/>
    </row>
    <row r="56" ht="15" customHeight="1">
      <c r="A56" s="1"/>
      <c r="B56" s="1" t="s">
        <v>621</v>
      </c>
      <c r="C56" s="17"/>
      <c r="D56" s="17"/>
      <c r="E56" s="17"/>
      <c r="F56" s="17"/>
      <c r="G56" s="35">
        <v>7237</v>
      </c>
      <c r="H56" s="17"/>
      <c r="I56" s="17"/>
      <c r="J56" s="37"/>
      <c r="K56" s="1"/>
      <c r="L56" s="1"/>
      <c r="M56" s="1"/>
    </row>
    <row r="57" ht="15" customHeight="1">
      <c r="A57" s="1"/>
      <c r="B57" s="1" t="s">
        <v>622</v>
      </c>
      <c r="C57" s="17"/>
      <c r="D57" s="17"/>
      <c r="E57" s="17"/>
      <c r="F57" s="17"/>
      <c r="G57" s="35">
        <v>2593</v>
      </c>
      <c r="H57" s="17"/>
      <c r="I57" s="17"/>
      <c r="J57" s="37"/>
      <c r="K57" s="1"/>
      <c r="L57" s="1"/>
      <c r="M57" s="1"/>
    </row>
    <row r="58" ht="15" customHeight="1">
      <c r="A58" s="1"/>
      <c r="B58" s="1" t="s">
        <v>623</v>
      </c>
      <c r="C58" s="17"/>
      <c r="D58" s="17"/>
      <c r="E58" s="17"/>
      <c r="F58" s="17"/>
      <c r="G58" s="35">
        <v>3734</v>
      </c>
      <c r="H58" s="17"/>
      <c r="I58" s="17"/>
      <c r="J58" s="37"/>
      <c r="K58" s="1"/>
      <c r="L58" s="1"/>
      <c r="M58" s="1"/>
    </row>
    <row r="59" ht="15" customHeight="1">
      <c r="A59" s="1"/>
      <c r="B59" s="3" t="s">
        <v>624</v>
      </c>
      <c r="C59" s="38"/>
      <c r="D59" s="38"/>
      <c r="E59" s="38"/>
      <c r="F59" s="38"/>
      <c r="G59" s="38">
        <f>G55+G56+G57+G58</f>
        <v>21364</v>
      </c>
      <c r="H59" s="38"/>
      <c r="I59" s="38"/>
      <c r="J59" s="39"/>
      <c r="K59" s="1"/>
      <c r="L59" s="1"/>
      <c r="M59" s="1"/>
    </row>
    <row r="60" ht="15" customHeight="1">
      <c r="A60" s="1"/>
      <c r="B60" s="3" t="s">
        <v>625</v>
      </c>
      <c r="C60" s="38"/>
      <c r="D60" s="38"/>
      <c r="E60" s="38"/>
      <c r="F60" s="38"/>
      <c r="G60" s="38">
        <f>G54+G59</f>
        <v>38704</v>
      </c>
      <c r="H60" s="38"/>
      <c r="I60" s="38"/>
      <c r="J60" s="39"/>
      <c r="K60" s="1"/>
      <c r="L60" s="1"/>
      <c r="M60" s="1"/>
    </row>
    <row r="61" ht="1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ht="1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ht="1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397A657-2A08-ACF8-3B88-6217E28E43C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46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626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52</v>
      </c>
      <c r="C5" s="6" t="s">
        <v>53</v>
      </c>
      <c r="D5" s="6" t="s">
        <v>54</v>
      </c>
      <c r="E5" s="6" t="s">
        <v>55</v>
      </c>
      <c r="F5" s="6" t="s">
        <v>56</v>
      </c>
      <c r="G5" s="6" t="s">
        <v>57</v>
      </c>
      <c r="H5" s="6" t="s">
        <v>58</v>
      </c>
      <c r="I5" s="6" t="s">
        <v>59</v>
      </c>
      <c r="J5" s="26" t="s">
        <v>60</v>
      </c>
      <c r="K5" s="5" t="s">
        <v>3</v>
      </c>
      <c r="L5" s="1"/>
      <c r="M5" s="1"/>
    </row>
    <row r="6" ht="15" customHeight="1">
      <c r="A6" s="1"/>
      <c r="B6" s="8" t="s">
        <v>61</v>
      </c>
      <c r="C6" s="9">
        <f>DATE(2025,3,31)</f>
        <v>45747</v>
      </c>
      <c r="D6" s="9">
        <f>DATE(2025,6,30)</f>
        <v>45838</v>
      </c>
      <c r="E6" s="9">
        <f>DATE(2025,9,30)</f>
        <v>45930</v>
      </c>
      <c r="F6" s="9">
        <f t="shared" si="0" ref="F6:G6">DATE(2025,12,31)</f>
        <v>46022</v>
      </c>
      <c r="G6" s="9">
        <f t="shared" si="0"/>
        <v>46022</v>
      </c>
      <c r="H6" s="9">
        <f>DATE(2026,3,31)</f>
        <v>46112</v>
      </c>
      <c r="I6" s="9">
        <f>DATE(2026,6,30)</f>
        <v>46203</v>
      </c>
      <c r="J6" s="9">
        <f>DATE(2026,9,30)</f>
        <v>46295</v>
      </c>
      <c r="K6" s="8"/>
      <c r="L6" s="1"/>
      <c r="M6" s="1"/>
    </row>
    <row r="7" ht="15" customHeight="1">
      <c r="A7" s="1"/>
      <c r="B7" s="10" t="s">
        <v>62</v>
      </c>
      <c r="C7" s="11">
        <f t="shared" si="2" ref="C7:G7">C6-DATE(2024,12,31)</f>
        <v>90</v>
      </c>
      <c r="D7" s="11">
        <f t="shared" si="1" ref="D7:J7">D6-C6</f>
        <v>91</v>
      </c>
      <c r="E7" s="11">
        <f t="shared" si="1"/>
        <v>92</v>
      </c>
      <c r="F7" s="11">
        <f t="shared" si="1"/>
        <v>92</v>
      </c>
      <c r="G7" s="11">
        <f t="shared" si="2"/>
        <v>365</v>
      </c>
      <c r="H7" s="11">
        <f>H6-F6</f>
        <v>90</v>
      </c>
      <c r="I7" s="11">
        <f t="shared" si="1"/>
        <v>91</v>
      </c>
      <c r="J7" s="11">
        <f t="shared" si="1"/>
        <v>92</v>
      </c>
      <c r="K7" s="10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27"/>
      <c r="K8" s="1"/>
      <c r="L8" s="1"/>
      <c r="M8" s="1"/>
    </row>
    <row r="9" ht="15" customHeight="1">
      <c r="A9" s="1"/>
      <c r="B9" s="28" t="s">
        <v>627</v>
      </c>
      <c r="C9" s="29"/>
      <c r="D9" s="29"/>
      <c r="E9" s="29"/>
      <c r="F9" s="29"/>
      <c r="G9" s="29"/>
      <c r="H9" s="29"/>
      <c r="I9" s="29"/>
      <c r="J9" s="30"/>
      <c r="K9" s="29"/>
      <c r="L9" s="1"/>
      <c r="M9" s="1"/>
    </row>
    <row r="10" ht="15" customHeight="1">
      <c r="A10" s="1"/>
      <c r="B10" s="1" t="s">
        <v>628</v>
      </c>
      <c r="C10" s="35">
        <v>1073.692183</v>
      </c>
      <c r="D10" s="17">
        <f t="shared" si="3" ref="D10:J10">C15</f>
        <v>1066.386643</v>
      </c>
      <c r="E10" s="17">
        <f t="shared" si="3"/>
        <v>1060.439387</v>
      </c>
      <c r="F10" s="17">
        <f t="shared" si="3"/>
        <v>1054.813911</v>
      </c>
      <c r="G10" s="17">
        <f>C10</f>
        <v>1073.692183</v>
      </c>
      <c r="H10" s="17">
        <f>F15</f>
        <v>1048.766702</v>
      </c>
      <c r="I10" s="17">
        <f t="shared" si="3"/>
        <v>1043.337235</v>
      </c>
      <c r="J10" s="37">
        <f t="shared" si="3"/>
        <v>1037.562513</v>
      </c>
      <c r="K10" s="1" t="s">
        <v>629</v>
      </c>
      <c r="L10" s="1"/>
      <c r="M10" s="1"/>
    </row>
    <row r="11" ht="15" customHeight="1">
      <c r="A11" s="1"/>
      <c r="B11" s="1" t="s">
        <v>630</v>
      </c>
      <c r="C11" s="35">
        <v>9.47</v>
      </c>
      <c r="D11" s="35">
        <v>7.143</v>
      </c>
      <c r="E11" s="35">
        <v>6.616</v>
      </c>
      <c r="F11" s="35">
        <v>6.404</v>
      </c>
      <c r="G11" s="17">
        <f t="shared" si="9" ref="G11:G18">SUM(C11:F11)</f>
        <v>29.633</v>
      </c>
      <c r="H11" s="35">
        <v>7.167</v>
      </c>
      <c r="I11" s="35">
        <v>6.888</v>
      </c>
      <c r="J11" s="37">
        <f>J18/J21</f>
        <v>6.0606060606060606</v>
      </c>
      <c r="K11" s="1" t="s">
        <v>631</v>
      </c>
      <c r="L11" s="1"/>
      <c r="M11" s="1"/>
    </row>
    <row r="12" ht="15" customHeight="1">
      <c r="A12" s="1"/>
      <c r="B12" s="1" t="s">
        <v>632</v>
      </c>
      <c r="C12" s="17">
        <f t="shared" si="4" ref="C12:I12">C15-C10+C11</f>
        <v>2.164459999999936</v>
      </c>
      <c r="D12" s="17">
        <f t="shared" si="4"/>
        <v>1.1957439999998476</v>
      </c>
      <c r="E12" s="17">
        <f t="shared" si="4"/>
        <v>0.9905240000000646</v>
      </c>
      <c r="F12" s="17">
        <f t="shared" si="4"/>
        <v>0.3567909999999337</v>
      </c>
      <c r="G12" s="17">
        <f t="shared" si="4"/>
        <v>4.707518999999781</v>
      </c>
      <c r="H12" s="17">
        <f t="shared" si="4"/>
        <v>1.7375330000000684</v>
      </c>
      <c r="I12" s="17">
        <f t="shared" si="4"/>
        <v>1.1132780000001166</v>
      </c>
      <c r="J12" s="36">
        <v>0.5</v>
      </c>
      <c r="K12" s="1" t="s">
        <v>633</v>
      </c>
      <c r="L12" s="1"/>
      <c r="M12" s="1"/>
    </row>
    <row r="13" ht="15" customHeight="1">
      <c r="A13" s="1"/>
      <c r="B13" s="1" t="s">
        <v>112</v>
      </c>
      <c r="C13" s="17"/>
      <c r="D13" s="17"/>
      <c r="E13" s="17"/>
      <c r="F13" s="17"/>
      <c r="G13" s="17"/>
      <c r="H13" s="17">
        <f t="shared" si="5" ref="H13:J37">IF(AND(ISNUMBER(H12),ISNUMBER(C12)),H12-C12,"")</f>
        <v>-0.4269269999998677</v>
      </c>
      <c r="I13" s="17">
        <f t="shared" si="5"/>
        <v>-0.08246599999973103</v>
      </c>
      <c r="J13" s="37">
        <f t="shared" si="5"/>
        <v>-0.4905240000000646</v>
      </c>
      <c r="K13" s="1"/>
      <c r="L13" s="1"/>
      <c r="M13" s="1"/>
    </row>
    <row r="14" ht="15" customHeight="1">
      <c r="A14" s="1"/>
      <c r="B14" s="1" t="s">
        <v>113</v>
      </c>
      <c r="C14" s="17"/>
      <c r="D14" s="17">
        <f t="shared" si="6" ref="D14:J38">IF(AND(ISNUMBER(D12),ISNUMBER(C12)),D12-C12,"")</f>
        <v>-0.9687160000000885</v>
      </c>
      <c r="E14" s="17">
        <f t="shared" si="6"/>
        <v>-0.20521999999978302</v>
      </c>
      <c r="F14" s="17">
        <f t="shared" si="6"/>
        <v>-0.6337330000001309</v>
      </c>
      <c r="G14" s="17"/>
      <c r="H14" s="17">
        <f t="shared" si="10" ref="H14:H38">IF(AND(ISNUMBER(H12),ISNUMBER(F12)),H12-F12,"")</f>
        <v>1.3807420000001347</v>
      </c>
      <c r="I14" s="17">
        <f t="shared" si="6"/>
        <v>-0.6242549999999518</v>
      </c>
      <c r="J14" s="37">
        <f t="shared" si="6"/>
        <v>-0.6132780000001166</v>
      </c>
      <c r="K14" s="1"/>
      <c r="L14" s="1"/>
      <c r="M14" s="1"/>
    </row>
    <row r="15" ht="15" customHeight="1">
      <c r="A15" s="1"/>
      <c r="B15" s="3" t="s">
        <v>634</v>
      </c>
      <c r="C15" s="53">
        <v>1066.386643</v>
      </c>
      <c r="D15" s="53">
        <v>1060.439387</v>
      </c>
      <c r="E15" s="53">
        <v>1054.813911</v>
      </c>
      <c r="F15" s="53">
        <v>1048.766702</v>
      </c>
      <c r="G15" s="38">
        <f>F15</f>
        <v>1048.766702</v>
      </c>
      <c r="H15" s="53">
        <v>1043.337235</v>
      </c>
      <c r="I15" s="53">
        <v>1037.562513</v>
      </c>
      <c r="J15" s="39">
        <f>J10-J11+J12</f>
        <v>1032.001906939394</v>
      </c>
      <c r="K15" s="1"/>
      <c r="L15" s="1"/>
      <c r="M15" s="1"/>
    </row>
    <row r="16" ht="15" customHeight="1">
      <c r="A16" s="1"/>
      <c r="B16" s="1" t="s">
        <v>113</v>
      </c>
      <c r="C16" s="17"/>
      <c r="D16" s="17">
        <f t="shared" si="7" ref="D16:J16">IF(AND(ISNUMBER(D15),ISNUMBER(C15)),D15-C15,"")</f>
        <v>-5.947256000000152</v>
      </c>
      <c r="E16" s="17">
        <f t="shared" si="7"/>
        <v>-5.625475999999935</v>
      </c>
      <c r="F16" s="17">
        <f t="shared" si="7"/>
        <v>-6.047209000000066</v>
      </c>
      <c r="G16" s="17"/>
      <c r="H16" s="17">
        <f>IF(AND(ISNUMBER(H15),ISNUMBER(F15)),H15-F15,"")</f>
        <v>-5.429466999999931</v>
      </c>
      <c r="I16" s="17">
        <f t="shared" si="7"/>
        <v>-5.774721999999883</v>
      </c>
      <c r="J16" s="37">
        <f t="shared" si="7"/>
        <v>-5.5606060606060055</v>
      </c>
      <c r="K16" s="1"/>
      <c r="L16" s="1"/>
      <c r="M16" s="1"/>
    </row>
    <row r="17" ht="15" customHeight="1">
      <c r="A17" s="1"/>
      <c r="B17" s="4" t="s">
        <v>104</v>
      </c>
      <c r="C17" s="18"/>
      <c r="D17" s="18"/>
      <c r="E17" s="18"/>
      <c r="F17" s="18"/>
      <c r="G17" s="18"/>
      <c r="H17" s="18">
        <f t="shared" si="8" ref="H17:J17">IF(AND(ISNUMBER(H15),ISNUMBER(C15)),IF(C15&lt;&gt;0,H15/C15-1,""),"")</f>
        <v>-0.021614494284321273</v>
      </c>
      <c r="I17" s="18">
        <f t="shared" si="8"/>
        <v>-0.0215730142433872</v>
      </c>
      <c r="J17" s="32">
        <f t="shared" si="8"/>
        <v>-0.02162656732406887</v>
      </c>
      <c r="K17" s="1"/>
      <c r="L17" s="1"/>
      <c r="M17" s="1"/>
    </row>
    <row r="18" ht="15" customHeight="1">
      <c r="A18" s="1"/>
      <c r="B18" s="1" t="s">
        <v>635</v>
      </c>
      <c r="C18" s="35">
        <v>1913</v>
      </c>
      <c r="D18" s="35">
        <v>1617</v>
      </c>
      <c r="E18" s="35">
        <v>1840</v>
      </c>
      <c r="F18" s="35">
        <v>2006</v>
      </c>
      <c r="G18" s="17">
        <f t="shared" si="9"/>
        <v>7376</v>
      </c>
      <c r="H18" s="35">
        <v>2211</v>
      </c>
      <c r="I18" s="35">
        <v>2012</v>
      </c>
      <c r="J18" s="36">
        <v>2000</v>
      </c>
      <c r="K18" s="1" t="s">
        <v>636</v>
      </c>
      <c r="L18" s="1"/>
      <c r="M18" s="1"/>
    </row>
    <row r="19" ht="15" customHeight="1">
      <c r="A19" s="1"/>
      <c r="B19" s="1" t="s">
        <v>112</v>
      </c>
      <c r="C19" s="17"/>
      <c r="D19" s="17"/>
      <c r="E19" s="17"/>
      <c r="F19" s="17"/>
      <c r="G19" s="17"/>
      <c r="H19" s="17">
        <f t="shared" si="5"/>
        <v>298</v>
      </c>
      <c r="I19" s="17">
        <f t="shared" si="5"/>
        <v>395</v>
      </c>
      <c r="J19" s="37">
        <f t="shared" si="5"/>
        <v>160</v>
      </c>
      <c r="K19" s="1"/>
      <c r="L19" s="1"/>
      <c r="M19" s="1"/>
    </row>
    <row r="20" ht="15" customHeight="1">
      <c r="A20" s="1"/>
      <c r="B20" s="1" t="s">
        <v>113</v>
      </c>
      <c r="C20" s="17"/>
      <c r="D20" s="17">
        <f t="shared" si="6"/>
        <v>-296</v>
      </c>
      <c r="E20" s="17">
        <f t="shared" si="6"/>
        <v>223</v>
      </c>
      <c r="F20" s="17">
        <f t="shared" si="6"/>
        <v>166</v>
      </c>
      <c r="G20" s="17"/>
      <c r="H20" s="17">
        <f t="shared" si="10"/>
        <v>205</v>
      </c>
      <c r="I20" s="17">
        <f t="shared" si="6"/>
        <v>-199</v>
      </c>
      <c r="J20" s="37">
        <f t="shared" si="6"/>
        <v>-12</v>
      </c>
      <c r="K20" s="1"/>
      <c r="L20" s="1"/>
      <c r="M20" s="1"/>
    </row>
    <row r="21" ht="15" customHeight="1">
      <c r="A21" s="1"/>
      <c r="B21" s="1" t="s">
        <v>637</v>
      </c>
      <c r="C21" s="48">
        <f t="shared" si="11" ref="C21:I21">_xlfn.IFERROR(C18/C11,"")</f>
        <v>202.00633579725448</v>
      </c>
      <c r="D21" s="48">
        <f t="shared" si="11"/>
        <v>226.3754724905502</v>
      </c>
      <c r="E21" s="48">
        <f t="shared" si="11"/>
        <v>278.1136638452237</v>
      </c>
      <c r="F21" s="48">
        <f t="shared" si="11"/>
        <v>313.24172392254843</v>
      </c>
      <c r="G21" s="48">
        <f t="shared" si="11"/>
        <v>248.91168629568386</v>
      </c>
      <c r="H21" s="48">
        <f t="shared" si="11"/>
        <v>308.49727919631647</v>
      </c>
      <c r="I21" s="48">
        <f t="shared" si="11"/>
        <v>292.1022067363531</v>
      </c>
      <c r="J21" s="49">
        <v>330</v>
      </c>
      <c r="K21" s="1" t="s">
        <v>638</v>
      </c>
      <c r="L21" s="1"/>
      <c r="M21" s="1"/>
    </row>
    <row r="22" ht="15" customHeight="1">
      <c r="A22" s="1"/>
      <c r="B22" s="1" t="s">
        <v>112</v>
      </c>
      <c r="C22" s="48"/>
      <c r="D22" s="48"/>
      <c r="E22" s="48"/>
      <c r="F22" s="48"/>
      <c r="G22" s="48"/>
      <c r="H22" s="48">
        <f t="shared" si="5"/>
        <v>106.49094339906199</v>
      </c>
      <c r="I22" s="48">
        <f t="shared" si="5"/>
        <v>65.72673424580287</v>
      </c>
      <c r="J22" s="50">
        <f t="shared" si="5"/>
        <v>51.8863361547763</v>
      </c>
      <c r="K22" s="1"/>
      <c r="L22" s="1"/>
      <c r="M22" s="1"/>
    </row>
    <row r="23" ht="15" customHeight="1">
      <c r="A23" s="1"/>
      <c r="B23" s="1" t="s">
        <v>113</v>
      </c>
      <c r="C23" s="48"/>
      <c r="D23" s="48">
        <f t="shared" si="6"/>
        <v>24.36913669329573</v>
      </c>
      <c r="E23" s="48">
        <f t="shared" si="6"/>
        <v>51.73819135467349</v>
      </c>
      <c r="F23" s="48">
        <f t="shared" si="6"/>
        <v>35.12806007732473</v>
      </c>
      <c r="G23" s="48"/>
      <c r="H23" s="48">
        <f t="shared" si="10"/>
        <v>-4.744444726231961</v>
      </c>
      <c r="I23" s="48">
        <f t="shared" si="6"/>
        <v>-16.395072459963387</v>
      </c>
      <c r="J23" s="50">
        <f t="shared" si="6"/>
        <v>37.89779326364692</v>
      </c>
      <c r="K23" s="1"/>
      <c r="L23" s="1"/>
      <c r="M23" s="1"/>
    </row>
    <row r="24" ht="15" customHeight="1">
      <c r="A24" s="1"/>
      <c r="B24" s="1" t="s">
        <v>639</v>
      </c>
      <c r="C24" s="16">
        <f>'Cash Flow Statement'!C73</f>
        <v>-1965</v>
      </c>
      <c r="D24" s="16">
        <f>'Cash Flow Statement'!D73</f>
        <v>-1745</v>
      </c>
      <c r="E24" s="16">
        <f>'Cash Flow Statement'!E73</f>
        <v>-1844</v>
      </c>
      <c r="F24" s="16">
        <f>'Cash Flow Statement'!F73</f>
        <v>-1997</v>
      </c>
      <c r="G24" s="16">
        <f>'Cash Flow Statement'!G73</f>
        <v>-7551</v>
      </c>
      <c r="H24" s="16">
        <f>'Cash Flow Statement'!H73</f>
        <v>-2399</v>
      </c>
      <c r="I24" s="16">
        <f>'Cash Flow Statement'!I73</f>
        <v>-2128</v>
      </c>
      <c r="J24" s="31">
        <f>'Cash Flow Statement'!J73</f>
        <v>-2000</v>
      </c>
      <c r="K24" s="1" t="s">
        <v>640</v>
      </c>
      <c r="L24" s="1"/>
      <c r="M24" s="1"/>
    </row>
    <row r="25" ht="15" customHeight="1">
      <c r="A25" s="1"/>
      <c r="B25" s="28" t="s">
        <v>641</v>
      </c>
      <c r="C25" s="29"/>
      <c r="D25" s="29"/>
      <c r="E25" s="29"/>
      <c r="F25" s="29"/>
      <c r="G25" s="29"/>
      <c r="H25" s="29"/>
      <c r="I25" s="29"/>
      <c r="J25" s="30"/>
      <c r="K25" s="29"/>
      <c r="L25" s="1"/>
      <c r="M25" s="1"/>
    </row>
    <row r="26" ht="15" customHeight="1">
      <c r="A26" s="1"/>
      <c r="B26" s="1" t="s">
        <v>642</v>
      </c>
      <c r="C26" s="35">
        <v>1070</v>
      </c>
      <c r="D26" s="35">
        <v>1063</v>
      </c>
      <c r="E26" s="35">
        <v>1058</v>
      </c>
      <c r="F26" s="17">
        <f>G26*COUNTA(C5:F5)-SUM(C26:E26)</f>
        <v>1053</v>
      </c>
      <c r="G26" s="35">
        <v>1061</v>
      </c>
      <c r="H26" s="35">
        <v>1046</v>
      </c>
      <c r="I26" s="35">
        <v>1040</v>
      </c>
      <c r="J26" s="37">
        <f>AVERAGE(J10,J15)</f>
        <v>1034.782209969697</v>
      </c>
      <c r="K26" s="1" t="s">
        <v>643</v>
      </c>
      <c r="L26" s="1"/>
      <c r="M26" s="1"/>
    </row>
    <row r="27" ht="15" customHeight="1">
      <c r="A27" s="1"/>
      <c r="B27" s="1" t="s">
        <v>644</v>
      </c>
      <c r="C27" s="17">
        <f t="shared" si="12" ref="C27:I27">C30-C26</f>
        <v>8</v>
      </c>
      <c r="D27" s="17">
        <f t="shared" si="12"/>
        <v>8</v>
      </c>
      <c r="E27" s="17">
        <f t="shared" si="12"/>
        <v>7</v>
      </c>
      <c r="F27" s="17">
        <f t="shared" si="12"/>
        <v>7</v>
      </c>
      <c r="G27" s="17">
        <f t="shared" si="12"/>
        <v>7</v>
      </c>
      <c r="H27" s="17">
        <f t="shared" si="12"/>
        <v>8</v>
      </c>
      <c r="I27" s="17">
        <f t="shared" si="12"/>
        <v>7</v>
      </c>
      <c r="J27" s="36">
        <v>6.5</v>
      </c>
      <c r="K27" s="1" t="s">
        <v>645</v>
      </c>
      <c r="L27" s="1"/>
      <c r="M27" s="1"/>
    </row>
    <row r="28" ht="15" customHeight="1">
      <c r="A28" s="1"/>
      <c r="B28" s="1" t="s">
        <v>112</v>
      </c>
      <c r="C28" s="17"/>
      <c r="D28" s="17"/>
      <c r="E28" s="17"/>
      <c r="F28" s="17"/>
      <c r="G28" s="17"/>
      <c r="H28" s="17">
        <f t="shared" si="5"/>
        <v>0</v>
      </c>
      <c r="I28" s="17">
        <f t="shared" si="5"/>
        <v>-1</v>
      </c>
      <c r="J28" s="37">
        <f t="shared" si="5"/>
        <v>-0.5</v>
      </c>
      <c r="K28" s="1"/>
      <c r="L28" s="1"/>
      <c r="M28" s="1"/>
    </row>
    <row r="29" ht="15" customHeight="1">
      <c r="A29" s="1"/>
      <c r="B29" s="1" t="s">
        <v>113</v>
      </c>
      <c r="C29" s="17"/>
      <c r="D29" s="17">
        <f t="shared" si="6"/>
        <v>0</v>
      </c>
      <c r="E29" s="17">
        <f t="shared" si="6"/>
        <v>-1</v>
      </c>
      <c r="F29" s="17">
        <f t="shared" si="6"/>
        <v>0</v>
      </c>
      <c r="G29" s="17"/>
      <c r="H29" s="17">
        <f t="shared" si="10"/>
        <v>1</v>
      </c>
      <c r="I29" s="17">
        <f t="shared" si="6"/>
        <v>-1</v>
      </c>
      <c r="J29" s="37">
        <f t="shared" si="6"/>
        <v>-0.5</v>
      </c>
      <c r="K29" s="1"/>
      <c r="L29" s="1"/>
      <c r="M29" s="1"/>
    </row>
    <row r="30" ht="15" customHeight="1">
      <c r="A30" s="1"/>
      <c r="B30" s="3" t="s">
        <v>646</v>
      </c>
      <c r="C30" s="53">
        <v>1078</v>
      </c>
      <c r="D30" s="53">
        <v>1071</v>
      </c>
      <c r="E30" s="53">
        <v>1065</v>
      </c>
      <c r="F30" s="53">
        <v>1060</v>
      </c>
      <c r="G30" s="53">
        <v>1068</v>
      </c>
      <c r="H30" s="53">
        <v>1054</v>
      </c>
      <c r="I30" s="53">
        <v>1047</v>
      </c>
      <c r="J30" s="39">
        <f>J26+J27</f>
        <v>1041.282209969697</v>
      </c>
      <c r="K30" s="1" t="s">
        <v>647</v>
      </c>
      <c r="L30" s="1"/>
      <c r="M30" s="1"/>
    </row>
    <row r="31" ht="15" customHeight="1">
      <c r="A31" s="1"/>
      <c r="B31" s="4" t="s">
        <v>104</v>
      </c>
      <c r="C31" s="18"/>
      <c r="D31" s="18"/>
      <c r="E31" s="18"/>
      <c r="F31" s="18"/>
      <c r="G31" s="18"/>
      <c r="H31" s="18">
        <f t="shared" si="13" ref="H31:J34">IF(AND(ISNUMBER(H30),ISNUMBER(C30)),IF(C30&lt;&gt;0,H30/C30-1,""),"")</f>
        <v>-0.02226345083487946</v>
      </c>
      <c r="I31" s="18">
        <f t="shared" si="13"/>
        <v>-0.022408963585434205</v>
      </c>
      <c r="J31" s="32">
        <f t="shared" si="13"/>
        <v>-0.02227022538056611</v>
      </c>
      <c r="K31" s="1"/>
      <c r="L31" s="1"/>
      <c r="M31" s="1"/>
    </row>
    <row r="32" ht="15" customHeight="1">
      <c r="A32" s="1"/>
      <c r="B32" s="1" t="s">
        <v>113</v>
      </c>
      <c r="C32" s="17"/>
      <c r="D32" s="17">
        <f t="shared" si="6"/>
        <v>-7</v>
      </c>
      <c r="E32" s="17">
        <f t="shared" si="6"/>
        <v>-6</v>
      </c>
      <c r="F32" s="17">
        <f t="shared" si="6"/>
        <v>-5</v>
      </c>
      <c r="G32" s="17"/>
      <c r="H32" s="17">
        <f t="shared" si="10"/>
        <v>-6</v>
      </c>
      <c r="I32" s="17">
        <f t="shared" si="6"/>
        <v>-7</v>
      </c>
      <c r="J32" s="37">
        <f t="shared" si="6"/>
        <v>-5.717790030302922</v>
      </c>
      <c r="K32" s="1"/>
      <c r="L32" s="1"/>
      <c r="M32" s="1"/>
    </row>
    <row r="33" ht="15" customHeight="1">
      <c r="A33" s="1"/>
      <c r="B33" s="3" t="s">
        <v>648</v>
      </c>
      <c r="C33" s="38">
        <f t="shared" si="14" ref="C33:J33">C30</f>
        <v>1078</v>
      </c>
      <c r="D33" s="38">
        <f t="shared" si="14"/>
        <v>1071</v>
      </c>
      <c r="E33" s="38">
        <f t="shared" si="14"/>
        <v>1065</v>
      </c>
      <c r="F33" s="38">
        <f t="shared" si="14"/>
        <v>1060</v>
      </c>
      <c r="G33" s="38">
        <f t="shared" si="14"/>
        <v>1068</v>
      </c>
      <c r="H33" s="38">
        <f t="shared" si="14"/>
        <v>1054</v>
      </c>
      <c r="I33" s="38">
        <f t="shared" si="14"/>
        <v>1047</v>
      </c>
      <c r="J33" s="39">
        <f t="shared" si="14"/>
        <v>1041.282209969697</v>
      </c>
      <c r="K33" s="1" t="s">
        <v>649</v>
      </c>
      <c r="L33" s="1"/>
      <c r="M33" s="1"/>
    </row>
    <row r="34" ht="15" customHeight="1">
      <c r="A34" s="1"/>
      <c r="B34" s="4" t="s">
        <v>104</v>
      </c>
      <c r="C34" s="18"/>
      <c r="D34" s="18"/>
      <c r="E34" s="18"/>
      <c r="F34" s="18"/>
      <c r="G34" s="18"/>
      <c r="H34" s="18">
        <f t="shared" si="13"/>
        <v>-0.02226345083487946</v>
      </c>
      <c r="I34" s="18">
        <f t="shared" si="13"/>
        <v>-0.022408963585434205</v>
      </c>
      <c r="J34" s="32">
        <f t="shared" si="13"/>
        <v>-0.02227022538056611</v>
      </c>
      <c r="K34" s="1"/>
      <c r="L34" s="1"/>
      <c r="M34" s="1"/>
    </row>
    <row r="35" ht="15" customHeight="1">
      <c r="A35" s="1"/>
      <c r="B35" s="28" t="s">
        <v>650</v>
      </c>
      <c r="C35" s="29"/>
      <c r="D35" s="29"/>
      <c r="E35" s="29"/>
      <c r="F35" s="29"/>
      <c r="G35" s="29"/>
      <c r="H35" s="29"/>
      <c r="I35" s="29"/>
      <c r="J35" s="30"/>
      <c r="K35" s="29"/>
      <c r="L35" s="1"/>
      <c r="M35" s="1"/>
    </row>
    <row r="36" ht="15" customHeight="1">
      <c r="A36" s="1"/>
      <c r="B36" s="1" t="s">
        <v>651</v>
      </c>
      <c r="C36" s="19">
        <f>_xlfn.IFERROR(-'Cash Flow Statement'!C70/C26,"")</f>
        <v>0.2822429906542056</v>
      </c>
      <c r="D36" s="19">
        <f>_xlfn.IFERROR(-'Cash Flow Statement'!D70/D26,"")</f>
        <v>0.36312323612417685</v>
      </c>
      <c r="E36" s="19">
        <f>_xlfn.IFERROR(-'Cash Flow Statement'!E70/E26,"")</f>
        <v>0.3620037807183365</v>
      </c>
      <c r="F36" s="19">
        <f>_xlfn.IFERROR(-'Cash Flow Statement'!F70/F26,"")</f>
        <v>0.36182336182336183</v>
      </c>
      <c r="G36" s="19">
        <f>_xlfn.IFERROR(-'Cash Flow Statement'!G70/G26,"")</f>
        <v>1.3685202639019793</v>
      </c>
      <c r="H36" s="19">
        <f>_xlfn.IFERROR(-'Cash Flow Statement'!H70/H26,"")</f>
        <v>0.36424474187380496</v>
      </c>
      <c r="I36" s="19">
        <f>_xlfn.IFERROR(-'Cash Flow Statement'!I70/I26,"")</f>
        <v>0.47307692307692306</v>
      </c>
      <c r="J36" s="61">
        <v>0.47</v>
      </c>
      <c r="K36" s="1" t="s">
        <v>652</v>
      </c>
      <c r="L36" s="1"/>
      <c r="M36" s="1"/>
    </row>
    <row r="37" ht="15" customHeight="1">
      <c r="A37" s="1"/>
      <c r="B37" s="1" t="s">
        <v>112</v>
      </c>
      <c r="C37" s="20"/>
      <c r="D37" s="20"/>
      <c r="E37" s="20"/>
      <c r="F37" s="20"/>
      <c r="G37" s="20"/>
      <c r="H37" s="20">
        <f t="shared" si="5"/>
        <v>0.08200175121959935</v>
      </c>
      <c r="I37" s="20">
        <f t="shared" si="5"/>
        <v>0.10995368695274621</v>
      </c>
      <c r="J37" s="57">
        <f t="shared" si="5"/>
        <v>0.10799621928166347</v>
      </c>
      <c r="K37" s="1"/>
      <c r="L37" s="1"/>
      <c r="M37" s="1"/>
    </row>
    <row r="38" ht="15" customHeight="1">
      <c r="A38" s="1"/>
      <c r="B38" s="1" t="s">
        <v>113</v>
      </c>
      <c r="C38" s="20"/>
      <c r="D38" s="20">
        <f t="shared" si="6"/>
        <v>0.08088024546997125</v>
      </c>
      <c r="E38" s="20">
        <f t="shared" si="6"/>
        <v>-0.0011194554058403527</v>
      </c>
      <c r="F38" s="20">
        <f t="shared" si="6"/>
        <v>-0.00018041889497466546</v>
      </c>
      <c r="G38" s="20"/>
      <c r="H38" s="20">
        <f t="shared" si="10"/>
        <v>0.0024213800504431227</v>
      </c>
      <c r="I38" s="20">
        <f t="shared" si="6"/>
        <v>0.1088321812031181</v>
      </c>
      <c r="J38" s="57">
        <f t="shared" si="6"/>
        <v>-0.003076923076923088</v>
      </c>
      <c r="K38" s="1"/>
      <c r="L38" s="1"/>
      <c r="M38" s="1"/>
    </row>
    <row r="39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ht="1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BDE2C95-D568-E2A4-C2A8-C23BBF1FDDCB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46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653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62"/>
      <c r="C5" s="62"/>
      <c r="D5" s="62"/>
      <c r="E5" s="62"/>
      <c r="F5" s="62"/>
      <c r="G5" s="62"/>
      <c r="H5" s="62"/>
      <c r="I5" s="62"/>
      <c r="J5" s="62"/>
      <c r="K5" s="62"/>
      <c r="L5" s="1"/>
      <c r="M5" s="1"/>
    </row>
    <row r="6" ht="15" customHeight="1">
      <c r="A6" s="1"/>
      <c r="B6" s="62"/>
      <c r="C6" s="62"/>
      <c r="D6" s="62"/>
      <c r="E6" s="62"/>
      <c r="F6" s="62"/>
      <c r="G6" s="62"/>
      <c r="H6" s="62"/>
      <c r="I6" s="62"/>
      <c r="J6" s="62"/>
      <c r="K6" s="63"/>
      <c r="L6" s="1"/>
      <c r="M6" s="1"/>
    </row>
    <row r="7" ht="15" customHeight="1">
      <c r="A7" s="1"/>
      <c r="B7" s="62"/>
      <c r="C7" s="62"/>
      <c r="D7" s="62"/>
      <c r="E7" s="62"/>
      <c r="F7" s="62"/>
      <c r="G7" s="62"/>
      <c r="H7" s="62"/>
      <c r="I7" s="62"/>
      <c r="J7" s="62"/>
      <c r="K7" s="64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ht="15" customHeight="1">
      <c r="A9" s="1"/>
      <c r="B9" s="13" t="s">
        <v>654</v>
      </c>
      <c r="C9" s="14" t="s">
        <v>655</v>
      </c>
      <c r="D9" s="14" t="s">
        <v>52</v>
      </c>
      <c r="E9" s="14" t="s">
        <v>656</v>
      </c>
      <c r="F9" s="14" t="s">
        <v>657</v>
      </c>
      <c r="G9" s="14" t="s">
        <v>658</v>
      </c>
      <c r="H9" s="14" t="s">
        <v>659</v>
      </c>
      <c r="I9" s="14" t="s">
        <v>660</v>
      </c>
      <c r="J9" s="65" t="s">
        <v>661</v>
      </c>
      <c r="K9" s="66" t="s">
        <v>3</v>
      </c>
      <c r="L9" s="1"/>
      <c r="M9" s="1"/>
    </row>
    <row r="10" ht="15" customHeight="1">
      <c r="A10" s="1"/>
      <c r="B10" s="1" t="s">
        <v>662</v>
      </c>
      <c r="C10" s="20" t="s">
        <v>663</v>
      </c>
      <c r="D10" s="20" t="s">
        <v>664</v>
      </c>
      <c r="E10" s="67">
        <v>5.6</v>
      </c>
      <c r="F10" s="67">
        <v>5.8</v>
      </c>
      <c r="G10" s="20">
        <f t="shared" si="0" ref="G10:G36">IF(AND(ISNUMBER(E10),ISNUMBER(F10)),AVERAGE(E10:F10),"n.a.")</f>
        <v>5.699999999999999</v>
      </c>
      <c r="H10" s="67">
        <v>6.37</v>
      </c>
      <c r="I10" s="20" t="str">
        <f t="shared" si="1" ref="I10:I36">IF(ISNUMBER(H10),IF(H10&gt;G10,"Beat",IF(H10&lt;G10,"Miss","In line")),"Pending")</f>
        <v>Beat</v>
      </c>
      <c r="J10" s="68" t="s">
        <v>666</v>
      </c>
      <c r="K10" s="1" t="s">
        <v>667</v>
      </c>
      <c r="L10" s="1"/>
      <c r="M10" s="1"/>
    </row>
    <row r="11" ht="15" customHeight="1">
      <c r="A11" s="1"/>
      <c r="B11" s="1" t="s">
        <v>668</v>
      </c>
      <c r="C11" s="17" t="s">
        <v>663</v>
      </c>
      <c r="D11" s="17" t="s">
        <v>664</v>
      </c>
      <c r="E11" s="35">
        <v>8200</v>
      </c>
      <c r="F11" s="35">
        <v>8500</v>
      </c>
      <c r="G11" s="17">
        <f t="shared" si="0"/>
        <v>8350</v>
      </c>
      <c r="H11" s="16">
        <f>'Revenue summary'!G98</f>
        <v>9055</v>
      </c>
      <c r="I11" s="17" t="str">
        <f t="shared" si="1"/>
        <v>Beat</v>
      </c>
      <c r="J11" s="69" t="s">
        <v>669</v>
      </c>
      <c r="K11" s="1" t="s">
        <v>670</v>
      </c>
      <c r="L11" s="1"/>
      <c r="M11" s="1"/>
    </row>
    <row r="12" ht="15" customHeight="1">
      <c r="A12" s="1"/>
      <c r="B12" s="1" t="s">
        <v>671</v>
      </c>
      <c r="C12" s="17" t="s">
        <v>663</v>
      </c>
      <c r="D12" s="17" t="s">
        <v>664</v>
      </c>
      <c r="E12" s="35">
        <v>6500</v>
      </c>
      <c r="F12" s="35">
        <v>6900</v>
      </c>
      <c r="G12" s="17">
        <f t="shared" si="0"/>
        <v>6700</v>
      </c>
      <c r="H12" s="16">
        <f>'Cash Flow Statement'!G105</f>
        <v>7694</v>
      </c>
      <c r="I12" s="17" t="str">
        <f t="shared" si="1"/>
        <v>Beat</v>
      </c>
      <c r="J12" s="69" t="s">
        <v>669</v>
      </c>
      <c r="K12" s="1" t="s">
        <v>672</v>
      </c>
      <c r="L12" s="1"/>
      <c r="M12" s="1"/>
    </row>
    <row r="13" ht="15" customHeight="1">
      <c r="A13" s="1"/>
      <c r="B13" s="1" t="s">
        <v>673</v>
      </c>
      <c r="C13" s="20" t="s">
        <v>674</v>
      </c>
      <c r="D13" s="20" t="s">
        <v>664</v>
      </c>
      <c r="E13" s="67">
        <v>6</v>
      </c>
      <c r="F13" s="67">
        <v>6.2</v>
      </c>
      <c r="G13" s="20">
        <f t="shared" si="0"/>
        <v>6.1</v>
      </c>
      <c r="H13" s="20">
        <f>H10</f>
        <v>6.37</v>
      </c>
      <c r="I13" s="20" t="str">
        <f t="shared" si="1"/>
        <v>Beat</v>
      </c>
      <c r="J13" s="68" t="s">
        <v>666</v>
      </c>
      <c r="K13" s="1" t="s">
        <v>675</v>
      </c>
      <c r="L13" s="1"/>
      <c r="M13" s="1"/>
    </row>
    <row r="14" ht="15" customHeight="1">
      <c r="A14" s="1"/>
      <c r="B14" s="1" t="s">
        <v>676</v>
      </c>
      <c r="C14" s="17" t="s">
        <v>674</v>
      </c>
      <c r="D14" s="17" t="s">
        <v>664</v>
      </c>
      <c r="E14" s="35">
        <v>8650</v>
      </c>
      <c r="F14" s="35">
        <v>8850</v>
      </c>
      <c r="G14" s="17">
        <f t="shared" si="0"/>
        <v>8750</v>
      </c>
      <c r="H14" s="16">
        <f>'Revenue summary'!G98</f>
        <v>9055</v>
      </c>
      <c r="I14" s="17" t="str">
        <f t="shared" si="1"/>
        <v>Beat</v>
      </c>
      <c r="J14" s="69" t="s">
        <v>669</v>
      </c>
      <c r="K14" s="1" t="s">
        <v>670</v>
      </c>
      <c r="L14" s="1"/>
      <c r="M14" s="1"/>
    </row>
    <row r="15" ht="15" customHeight="1">
      <c r="A15" s="1"/>
      <c r="B15" s="1" t="s">
        <v>677</v>
      </c>
      <c r="C15" s="17" t="s">
        <v>674</v>
      </c>
      <c r="D15" s="17" t="s">
        <v>664</v>
      </c>
      <c r="E15" s="35">
        <v>7100</v>
      </c>
      <c r="F15" s="35">
        <v>7300</v>
      </c>
      <c r="G15" s="17">
        <f t="shared" si="0"/>
        <v>7200</v>
      </c>
      <c r="H15" s="16">
        <f>'Cash Flow Statement'!G105</f>
        <v>7694</v>
      </c>
      <c r="I15" s="17" t="str">
        <f t="shared" si="1"/>
        <v>Beat</v>
      </c>
      <c r="J15" s="69" t="s">
        <v>669</v>
      </c>
      <c r="K15" s="1" t="s">
        <v>672</v>
      </c>
      <c r="L15" s="1"/>
      <c r="M15" s="1"/>
    </row>
    <row r="16" ht="15" customHeight="1">
      <c r="A16" s="1"/>
      <c r="B16" s="1" t="s">
        <v>678</v>
      </c>
      <c r="C16" s="17" t="s">
        <v>674</v>
      </c>
      <c r="D16" s="17" t="s">
        <v>664</v>
      </c>
      <c r="E16" s="35">
        <v>8450</v>
      </c>
      <c r="F16" s="35">
        <v>8650</v>
      </c>
      <c r="G16" s="17">
        <f t="shared" si="0"/>
        <v>8550</v>
      </c>
      <c r="H16" s="35">
        <v>8861</v>
      </c>
      <c r="I16" s="17" t="str">
        <f t="shared" si="1"/>
        <v>Beat</v>
      </c>
      <c r="J16" s="69" t="s">
        <v>669</v>
      </c>
      <c r="K16" s="1" t="s">
        <v>679</v>
      </c>
      <c r="L16" s="1"/>
      <c r="M16" s="1"/>
    </row>
    <row r="17" ht="15" customHeight="1">
      <c r="A17" s="1"/>
      <c r="B17" s="1" t="s">
        <v>680</v>
      </c>
      <c r="C17" s="17" t="s">
        <v>674</v>
      </c>
      <c r="D17" s="17" t="s">
        <v>664</v>
      </c>
      <c r="E17" s="35">
        <v>1200</v>
      </c>
      <c r="F17" s="35">
        <v>1300</v>
      </c>
      <c r="G17" s="17">
        <f t="shared" si="0"/>
        <v>1250</v>
      </c>
      <c r="H17" s="35">
        <v>1296</v>
      </c>
      <c r="I17" s="17" t="str">
        <f t="shared" si="1"/>
        <v>Beat</v>
      </c>
      <c r="J17" s="69" t="s">
        <v>669</v>
      </c>
      <c r="K17" s="1" t="s">
        <v>681</v>
      </c>
      <c r="L17" s="1"/>
      <c r="M17" s="1"/>
    </row>
    <row r="18" ht="15" customHeight="1">
      <c r="A18" s="1"/>
      <c r="B18" s="1" t="s">
        <v>682</v>
      </c>
      <c r="C18" s="20" t="s">
        <v>683</v>
      </c>
      <c r="D18" s="20" t="s">
        <v>684</v>
      </c>
      <c r="E18" s="67">
        <v>7.1</v>
      </c>
      <c r="F18" s="67">
        <v>7.4</v>
      </c>
      <c r="G18" s="20">
        <f t="shared" si="0"/>
        <v>7.25</v>
      </c>
      <c r="H18" s="20"/>
      <c r="I18" s="20" t="str">
        <f t="shared" si="1"/>
        <v>Pending</v>
      </c>
      <c r="J18" s="68" t="s">
        <v>666</v>
      </c>
      <c r="K18" s="1" t="s">
        <v>686</v>
      </c>
      <c r="L18" s="1"/>
      <c r="M18" s="1"/>
    </row>
    <row r="19" ht="15" customHeight="1">
      <c r="A19" s="1"/>
      <c r="B19" s="1" t="s">
        <v>687</v>
      </c>
      <c r="C19" s="17" t="s">
        <v>683</v>
      </c>
      <c r="D19" s="17" t="s">
        <v>684</v>
      </c>
      <c r="E19" s="35">
        <v>9850</v>
      </c>
      <c r="F19" s="35">
        <v>10250</v>
      </c>
      <c r="G19" s="17">
        <f t="shared" si="0"/>
        <v>10050</v>
      </c>
      <c r="H19" s="17"/>
      <c r="I19" s="17" t="str">
        <f t="shared" si="1"/>
        <v>Pending</v>
      </c>
      <c r="J19" s="69" t="s">
        <v>669</v>
      </c>
      <c r="K19" s="1" t="s">
        <v>686</v>
      </c>
      <c r="L19" s="1"/>
      <c r="M19" s="1"/>
    </row>
    <row r="20" ht="15" customHeight="1">
      <c r="A20" s="1"/>
      <c r="B20" s="1" t="s">
        <v>688</v>
      </c>
      <c r="C20" s="17" t="s">
        <v>683</v>
      </c>
      <c r="D20" s="17" t="s">
        <v>684</v>
      </c>
      <c r="E20" s="35">
        <v>8000</v>
      </c>
      <c r="F20" s="35">
        <v>8400</v>
      </c>
      <c r="G20" s="17">
        <f t="shared" si="0"/>
        <v>8200</v>
      </c>
      <c r="H20" s="17"/>
      <c r="I20" s="17" t="str">
        <f t="shared" si="1"/>
        <v>Pending</v>
      </c>
      <c r="J20" s="69" t="s">
        <v>669</v>
      </c>
      <c r="K20" s="1" t="s">
        <v>686</v>
      </c>
      <c r="L20" s="1"/>
      <c r="M20" s="1"/>
    </row>
    <row r="21" ht="15" customHeight="1">
      <c r="A21" s="1"/>
      <c r="B21" s="1" t="s">
        <v>689</v>
      </c>
      <c r="C21" s="17" t="s">
        <v>683</v>
      </c>
      <c r="D21" s="17" t="s">
        <v>684</v>
      </c>
      <c r="E21" s="35">
        <v>9600</v>
      </c>
      <c r="F21" s="35">
        <v>9900</v>
      </c>
      <c r="G21" s="17">
        <f t="shared" si="0"/>
        <v>9750</v>
      </c>
      <c r="H21" s="17"/>
      <c r="I21" s="17" t="str">
        <f t="shared" si="1"/>
        <v>Pending</v>
      </c>
      <c r="J21" s="69" t="s">
        <v>669</v>
      </c>
      <c r="K21" s="1" t="s">
        <v>686</v>
      </c>
      <c r="L21" s="1"/>
      <c r="M21" s="1"/>
    </row>
    <row r="22" ht="15" customHeight="1">
      <c r="A22" s="1"/>
      <c r="B22" s="1" t="s">
        <v>690</v>
      </c>
      <c r="C22" s="17" t="s">
        <v>683</v>
      </c>
      <c r="D22" s="17" t="s">
        <v>684</v>
      </c>
      <c r="E22" s="35">
        <v>1550</v>
      </c>
      <c r="F22" s="35">
        <v>1650</v>
      </c>
      <c r="G22" s="17">
        <f t="shared" si="0"/>
        <v>1600</v>
      </c>
      <c r="H22" s="17"/>
      <c r="I22" s="17" t="str">
        <f t="shared" si="1"/>
        <v>Pending</v>
      </c>
      <c r="J22" s="69" t="s">
        <v>669</v>
      </c>
      <c r="K22" s="1" t="s">
        <v>686</v>
      </c>
      <c r="L22" s="1"/>
      <c r="M22" s="1"/>
    </row>
    <row r="23" ht="15" customHeight="1">
      <c r="A23" s="1"/>
      <c r="B23" s="1" t="s">
        <v>691</v>
      </c>
      <c r="C23" s="17" t="s">
        <v>683</v>
      </c>
      <c r="D23" s="17" t="s">
        <v>684</v>
      </c>
      <c r="E23" s="35">
        <v>-1300</v>
      </c>
      <c r="F23" s="35">
        <v>-1200</v>
      </c>
      <c r="G23" s="17">
        <f t="shared" si="0"/>
        <v>-1250</v>
      </c>
      <c r="H23" s="17"/>
      <c r="I23" s="17" t="str">
        <f t="shared" si="1"/>
        <v>Pending</v>
      </c>
      <c r="J23" s="69" t="s">
        <v>669</v>
      </c>
      <c r="K23" s="1" t="s">
        <v>692</v>
      </c>
      <c r="L23" s="1"/>
      <c r="M23" s="1"/>
    </row>
    <row r="24" ht="15" customHeight="1">
      <c r="A24" s="1"/>
      <c r="B24" s="1" t="s">
        <v>693</v>
      </c>
      <c r="C24" s="20" t="s">
        <v>694</v>
      </c>
      <c r="D24" s="20" t="s">
        <v>684</v>
      </c>
      <c r="E24" s="67">
        <v>7.1</v>
      </c>
      <c r="F24" s="67">
        <v>7.4</v>
      </c>
      <c r="G24" s="20">
        <f t="shared" si="0"/>
        <v>7.25</v>
      </c>
      <c r="H24" s="20"/>
      <c r="I24" s="20" t="str">
        <f t="shared" si="1"/>
        <v>Pending</v>
      </c>
      <c r="J24" s="68" t="s">
        <v>666</v>
      </c>
      <c r="K24" s="1" t="s">
        <v>695</v>
      </c>
      <c r="L24" s="1"/>
      <c r="M24" s="1"/>
    </row>
    <row r="25" ht="15" customHeight="1">
      <c r="A25" s="1"/>
      <c r="B25" s="1" t="s">
        <v>696</v>
      </c>
      <c r="C25" s="17" t="s">
        <v>694</v>
      </c>
      <c r="D25" s="17" t="s">
        <v>684</v>
      </c>
      <c r="E25" s="35">
        <v>9850</v>
      </c>
      <c r="F25" s="35">
        <v>10250</v>
      </c>
      <c r="G25" s="17">
        <f t="shared" si="0"/>
        <v>10050</v>
      </c>
      <c r="H25" s="17"/>
      <c r="I25" s="17" t="str">
        <f t="shared" si="1"/>
        <v>Pending</v>
      </c>
      <c r="J25" s="69" t="s">
        <v>669</v>
      </c>
      <c r="K25" s="1" t="s">
        <v>697</v>
      </c>
      <c r="L25" s="1"/>
      <c r="M25" s="1"/>
    </row>
    <row r="26" ht="15" customHeight="1">
      <c r="A26" s="1"/>
      <c r="B26" s="1" t="s">
        <v>698</v>
      </c>
      <c r="C26" s="17" t="s">
        <v>694</v>
      </c>
      <c r="D26" s="17" t="s">
        <v>684</v>
      </c>
      <c r="E26" s="35">
        <v>8000</v>
      </c>
      <c r="F26" s="35">
        <v>8400</v>
      </c>
      <c r="G26" s="17">
        <f t="shared" si="0"/>
        <v>8200</v>
      </c>
      <c r="H26" s="17"/>
      <c r="I26" s="17" t="str">
        <f t="shared" si="1"/>
        <v>Pending</v>
      </c>
      <c r="J26" s="69" t="s">
        <v>669</v>
      </c>
      <c r="K26" s="1" t="s">
        <v>697</v>
      </c>
      <c r="L26" s="1"/>
      <c r="M26" s="1"/>
    </row>
    <row r="27" ht="15" customHeight="1">
      <c r="A27" s="1"/>
      <c r="B27" s="1" t="s">
        <v>673</v>
      </c>
      <c r="C27" s="20" t="s">
        <v>699</v>
      </c>
      <c r="D27" s="20" t="s">
        <v>684</v>
      </c>
      <c r="E27" s="67">
        <v>7.65</v>
      </c>
      <c r="F27" s="67">
        <v>7.85</v>
      </c>
      <c r="G27" s="20">
        <f t="shared" si="0"/>
        <v>7.75</v>
      </c>
      <c r="H27" s="20"/>
      <c r="I27" s="20" t="str">
        <f t="shared" si="1"/>
        <v>Pending</v>
      </c>
      <c r="J27" s="68" t="s">
        <v>666</v>
      </c>
      <c r="K27" s="1" t="s">
        <v>700</v>
      </c>
      <c r="L27" s="1"/>
      <c r="M27" s="1"/>
    </row>
    <row r="28" ht="15" customHeight="1">
      <c r="A28" s="1"/>
      <c r="B28" s="1" t="s">
        <v>676</v>
      </c>
      <c r="C28" s="17" t="s">
        <v>699</v>
      </c>
      <c r="D28" s="17" t="s">
        <v>684</v>
      </c>
      <c r="E28" s="35">
        <v>10550</v>
      </c>
      <c r="F28" s="35">
        <v>10750</v>
      </c>
      <c r="G28" s="17">
        <f t="shared" si="0"/>
        <v>10650</v>
      </c>
      <c r="H28" s="17"/>
      <c r="I28" s="17" t="str">
        <f t="shared" si="1"/>
        <v>Pending</v>
      </c>
      <c r="J28" s="69" t="s">
        <v>669</v>
      </c>
      <c r="K28" s="1" t="s">
        <v>700</v>
      </c>
      <c r="L28" s="1"/>
      <c r="M28" s="1"/>
    </row>
    <row r="29" ht="15" customHeight="1">
      <c r="A29" s="1"/>
      <c r="B29" s="1" t="s">
        <v>677</v>
      </c>
      <c r="C29" s="17" t="s">
        <v>699</v>
      </c>
      <c r="D29" s="17" t="s">
        <v>684</v>
      </c>
      <c r="E29" s="35">
        <v>8900</v>
      </c>
      <c r="F29" s="35">
        <v>9200</v>
      </c>
      <c r="G29" s="17">
        <f t="shared" si="0"/>
        <v>9050</v>
      </c>
      <c r="H29" s="17"/>
      <c r="I29" s="17" t="str">
        <f t="shared" si="1"/>
        <v>Pending</v>
      </c>
      <c r="J29" s="69" t="s">
        <v>669</v>
      </c>
      <c r="K29" s="1" t="s">
        <v>700</v>
      </c>
      <c r="L29" s="1"/>
      <c r="M29" s="1"/>
    </row>
    <row r="30" ht="15" customHeight="1">
      <c r="A30" s="1"/>
      <c r="B30" s="1" t="s">
        <v>701</v>
      </c>
      <c r="C30" s="17" t="s">
        <v>699</v>
      </c>
      <c r="D30" s="17" t="s">
        <v>684</v>
      </c>
      <c r="E30" s="35">
        <v>10250</v>
      </c>
      <c r="F30" s="35">
        <v>10350</v>
      </c>
      <c r="G30" s="17">
        <f t="shared" si="0"/>
        <v>10300</v>
      </c>
      <c r="H30" s="17"/>
      <c r="I30" s="17" t="str">
        <f t="shared" si="1"/>
        <v>Pending</v>
      </c>
      <c r="J30" s="69" t="s">
        <v>669</v>
      </c>
      <c r="K30" s="1" t="s">
        <v>700</v>
      </c>
      <c r="L30" s="1"/>
      <c r="M30" s="1"/>
    </row>
    <row r="31" ht="15" customHeight="1">
      <c r="A31" s="1"/>
      <c r="B31" s="1" t="s">
        <v>702</v>
      </c>
      <c r="C31" s="17" t="s">
        <v>699</v>
      </c>
      <c r="D31" s="17" t="s">
        <v>684</v>
      </c>
      <c r="E31" s="35">
        <v>1600</v>
      </c>
      <c r="F31" s="35">
        <v>1700</v>
      </c>
      <c r="G31" s="17">
        <f t="shared" si="0"/>
        <v>1650</v>
      </c>
      <c r="H31" s="17"/>
      <c r="I31" s="17" t="str">
        <f t="shared" si="1"/>
        <v>Pending</v>
      </c>
      <c r="J31" s="69" t="s">
        <v>669</v>
      </c>
      <c r="K31" s="1" t="s">
        <v>700</v>
      </c>
      <c r="L31" s="1"/>
      <c r="M31" s="1"/>
    </row>
    <row r="32" ht="15" customHeight="1">
      <c r="A32" s="1"/>
      <c r="B32" s="1" t="s">
        <v>703</v>
      </c>
      <c r="C32" s="17" t="s">
        <v>699</v>
      </c>
      <c r="D32" s="17" t="s">
        <v>684</v>
      </c>
      <c r="E32" s="35">
        <v>-1300</v>
      </c>
      <c r="F32" s="35">
        <v>-1200</v>
      </c>
      <c r="G32" s="17">
        <f t="shared" si="0"/>
        <v>-1250</v>
      </c>
      <c r="H32" s="17"/>
      <c r="I32" s="17" t="str">
        <f t="shared" si="1"/>
        <v>Pending</v>
      </c>
      <c r="J32" s="69" t="s">
        <v>669</v>
      </c>
      <c r="K32" s="1" t="s">
        <v>704</v>
      </c>
      <c r="L32" s="1"/>
      <c r="M32" s="1"/>
    </row>
    <row r="33" ht="15" customHeight="1">
      <c r="A33" s="1"/>
      <c r="B33" s="4" t="s">
        <v>705</v>
      </c>
      <c r="C33" s="18" t="s">
        <v>699</v>
      </c>
      <c r="D33" s="18" t="s">
        <v>684</v>
      </c>
      <c r="E33" s="51">
        <v>0.17</v>
      </c>
      <c r="F33" s="51">
        <v>0.19</v>
      </c>
      <c r="G33" s="18">
        <f t="shared" si="0"/>
        <v>0.18</v>
      </c>
      <c r="H33" s="18"/>
      <c r="I33" s="18" t="str">
        <f t="shared" si="1"/>
        <v>Pending</v>
      </c>
      <c r="J33" s="70" t="s">
        <v>706</v>
      </c>
      <c r="K33" s="1" t="s">
        <v>707</v>
      </c>
      <c r="L33" s="1"/>
      <c r="M33" s="1"/>
    </row>
    <row r="34" ht="15" customHeight="1">
      <c r="A34" s="1"/>
      <c r="B34" s="1" t="s">
        <v>708</v>
      </c>
      <c r="C34" s="17" t="s">
        <v>699</v>
      </c>
      <c r="D34" s="17" t="s">
        <v>684</v>
      </c>
      <c r="E34" s="35">
        <v>900</v>
      </c>
      <c r="F34" s="35">
        <v>900</v>
      </c>
      <c r="G34" s="17">
        <f t="shared" si="0"/>
        <v>900</v>
      </c>
      <c r="H34" s="17"/>
      <c r="I34" s="17" t="str">
        <f t="shared" si="1"/>
        <v>Pending</v>
      </c>
      <c r="J34" s="69" t="s">
        <v>669</v>
      </c>
      <c r="K34" s="1" t="s">
        <v>709</v>
      </c>
      <c r="L34" s="1"/>
      <c r="M34" s="1"/>
    </row>
    <row r="35" ht="15" customHeight="1">
      <c r="A35" s="1"/>
      <c r="B35" s="4" t="s">
        <v>710</v>
      </c>
      <c r="C35" s="18" t="s">
        <v>699</v>
      </c>
      <c r="D35" s="18" t="s">
        <v>684</v>
      </c>
      <c r="E35" s="18"/>
      <c r="F35" s="51">
        <v>0.165</v>
      </c>
      <c r="G35" s="18" t="str">
        <f t="shared" si="0"/>
        <v>n.a.</v>
      </c>
      <c r="H35" s="18"/>
      <c r="I35" s="18" t="str">
        <f t="shared" si="1"/>
        <v>Pending</v>
      </c>
      <c r="J35" s="70" t="s">
        <v>711</v>
      </c>
      <c r="K35" s="1" t="s">
        <v>712</v>
      </c>
      <c r="L35" s="1"/>
      <c r="M35" s="1"/>
    </row>
    <row r="36" ht="15" customHeight="1">
      <c r="A36" s="1"/>
      <c r="B36" s="1" t="s">
        <v>713</v>
      </c>
      <c r="C36" s="17" t="s">
        <v>699</v>
      </c>
      <c r="D36" s="17" t="s">
        <v>684</v>
      </c>
      <c r="E36" s="35">
        <v>1050</v>
      </c>
      <c r="F36" s="35">
        <v>1050</v>
      </c>
      <c r="G36" s="17">
        <f t="shared" si="0"/>
        <v>1050</v>
      </c>
      <c r="H36" s="17"/>
      <c r="I36" s="17" t="str">
        <f t="shared" si="1"/>
        <v>Pending</v>
      </c>
      <c r="J36" s="69" t="s">
        <v>714</v>
      </c>
      <c r="K36" s="1" t="s">
        <v>715</v>
      </c>
      <c r="L36" s="1"/>
      <c r="M36" s="1"/>
    </row>
    <row r="37" ht="15" customHeight="1">
      <c r="A37" s="1"/>
      <c r="B37" s="28" t="s">
        <v>716</v>
      </c>
      <c r="C37" s="29"/>
      <c r="D37" s="29"/>
      <c r="E37" s="29"/>
      <c r="F37" s="29"/>
      <c r="G37" s="29"/>
      <c r="H37" s="29"/>
      <c r="I37" s="29"/>
      <c r="J37" s="71"/>
      <c r="K37" s="29"/>
      <c r="L37" s="1"/>
      <c r="M37" s="1"/>
    </row>
    <row r="38" ht="15" customHeight="1">
      <c r="A38" s="1"/>
      <c r="B38" s="1" t="s">
        <v>717</v>
      </c>
      <c r="C38" s="20"/>
      <c r="D38" s="20"/>
      <c r="E38" s="19">
        <f>E27-('Income Statement'!H103+'Income Statement'!I103)</f>
        <v>3.7675201941392147</v>
      </c>
      <c r="F38" s="19">
        <f>F27-('Income Statement'!H103+'Income Statement'!I103)</f>
        <v>3.967520194139214</v>
      </c>
      <c r="G38" s="20">
        <f t="shared" si="2" ref="G38:G45">AVERAGE(E38:F38)</f>
        <v>3.8675201941392143</v>
      </c>
      <c r="H38" s="20"/>
      <c r="I38" s="20"/>
      <c r="J38" s="68" t="s">
        <v>666</v>
      </c>
      <c r="K38" s="1" t="s">
        <v>718</v>
      </c>
      <c r="L38" s="1"/>
      <c r="M38" s="1"/>
    </row>
    <row r="39" ht="15" customHeight="1">
      <c r="A39" s="1"/>
      <c r="B39" s="4" t="s">
        <v>719</v>
      </c>
      <c r="C39" s="18"/>
      <c r="D39" s="18"/>
      <c r="E39" s="18"/>
      <c r="F39" s="18"/>
      <c r="G39" s="44">
        <f>'Income Statement'!E103/('Income Statement'!E103+'Income Statement'!F103)</f>
        <v>0.5128103865330502</v>
      </c>
      <c r="H39" s="18"/>
      <c r="I39" s="18"/>
      <c r="J39" s="70" t="s">
        <v>711</v>
      </c>
      <c r="K39" s="1" t="s">
        <v>720</v>
      </c>
      <c r="L39" s="1"/>
      <c r="M39" s="1"/>
    </row>
    <row r="40" ht="15" customHeight="1">
      <c r="A40" s="1"/>
      <c r="B40" s="3" t="s">
        <v>721</v>
      </c>
      <c r="C40" s="58"/>
      <c r="D40" s="58"/>
      <c r="E40" s="58">
        <f t="shared" si="3" ref="E40:E47">E38*G39</f>
        <v>1.9320234870276032</v>
      </c>
      <c r="F40" s="58">
        <f t="shared" si="4" ref="F40:F47">F38*G39</f>
        <v>2.0345855643342126</v>
      </c>
      <c r="G40" s="58">
        <f t="shared" si="5" ref="G40:G47">G38*G39</f>
        <v>1.9833045256809079</v>
      </c>
      <c r="H40" s="58"/>
      <c r="I40" s="58"/>
      <c r="J40" s="72" t="s">
        <v>666</v>
      </c>
      <c r="K40" s="1" t="s">
        <v>722</v>
      </c>
      <c r="L40" s="1"/>
      <c r="M40" s="1"/>
    </row>
    <row r="41" ht="15" customHeight="1">
      <c r="A41" s="1"/>
      <c r="B41" s="1" t="s">
        <v>723</v>
      </c>
      <c r="C41" s="17"/>
      <c r="D41" s="17"/>
      <c r="E41" s="16">
        <f>'Revenue summary'!G38*(1+E33)</f>
        <v>49519.079999999994</v>
      </c>
      <c r="F41" s="16">
        <f>'Revenue summary'!G38*(1+F33)</f>
        <v>50365.56</v>
      </c>
      <c r="G41" s="17">
        <f t="shared" si="2"/>
        <v>49942.31999999999</v>
      </c>
      <c r="H41" s="17"/>
      <c r="I41" s="17"/>
      <c r="J41" s="69" t="s">
        <v>669</v>
      </c>
      <c r="K41" s="1" t="s">
        <v>724</v>
      </c>
      <c r="L41" s="1"/>
      <c r="M41" s="1"/>
    </row>
    <row r="42" ht="15" customHeight="1">
      <c r="A42" s="1"/>
      <c r="B42" s="1" t="s">
        <v>725</v>
      </c>
      <c r="C42" s="17"/>
      <c r="D42" s="17"/>
      <c r="E42" s="16">
        <f>E41-('Revenue summary'!H38+'Revenue summary'!I38)</f>
        <v>25271.079999999994</v>
      </c>
      <c r="F42" s="16">
        <f>F41-('Revenue summary'!H38+'Revenue summary'!I38)</f>
        <v>26117.559999999998</v>
      </c>
      <c r="G42" s="17">
        <f t="shared" si="2"/>
        <v>25694.319999999996</v>
      </c>
      <c r="H42" s="17"/>
      <c r="I42" s="17"/>
      <c r="J42" s="69" t="s">
        <v>669</v>
      </c>
      <c r="K42" s="1" t="s">
        <v>726</v>
      </c>
      <c r="L42" s="1"/>
      <c r="M42" s="1"/>
    </row>
    <row r="43" ht="15" customHeight="1">
      <c r="A43" s="1"/>
      <c r="B43" s="4" t="s">
        <v>727</v>
      </c>
      <c r="C43" s="18"/>
      <c r="D43" s="18"/>
      <c r="E43" s="18"/>
      <c r="F43" s="18"/>
      <c r="G43" s="44">
        <f>'Revenue summary'!E38/('Revenue summary'!E38+'Revenue summary'!F38)</f>
        <v>0.487916450889004</v>
      </c>
      <c r="H43" s="18"/>
      <c r="I43" s="18"/>
      <c r="J43" s="70" t="s">
        <v>711</v>
      </c>
      <c r="K43" s="1" t="s">
        <v>728</v>
      </c>
      <c r="L43" s="1"/>
      <c r="M43" s="1"/>
    </row>
    <row r="44" ht="15" customHeight="1">
      <c r="A44" s="1"/>
      <c r="B44" s="3" t="s">
        <v>729</v>
      </c>
      <c r="C44" s="38"/>
      <c r="D44" s="38"/>
      <c r="E44" s="38">
        <f t="shared" si="3"/>
        <v>12330.175663732089</v>
      </c>
      <c r="F44" s="38">
        <f t="shared" si="4"/>
        <v>12743.187181080613</v>
      </c>
      <c r="G44" s="38">
        <f t="shared" si="5"/>
        <v>12536.681422406351</v>
      </c>
      <c r="H44" s="38"/>
      <c r="I44" s="38"/>
      <c r="J44" s="73" t="s">
        <v>669</v>
      </c>
      <c r="K44" s="1" t="s">
        <v>730</v>
      </c>
      <c r="L44" s="1"/>
      <c r="M44" s="1"/>
    </row>
    <row r="45" ht="15" customHeight="1">
      <c r="A45" s="1"/>
      <c r="B45" s="1" t="s">
        <v>731</v>
      </c>
      <c r="C45" s="17"/>
      <c r="D45" s="17"/>
      <c r="E45" s="16">
        <f>E28-('Revenue summary'!H98+'Revenue summary'!I98)</f>
        <v>5275</v>
      </c>
      <c r="F45" s="16">
        <f>F28-('Revenue summary'!H98+'Revenue summary'!I98)</f>
        <v>5475</v>
      </c>
      <c r="G45" s="17">
        <f t="shared" si="2"/>
        <v>5375</v>
      </c>
      <c r="H45" s="17"/>
      <c r="I45" s="17"/>
      <c r="J45" s="69" t="s">
        <v>669</v>
      </c>
      <c r="K45" s="1" t="s">
        <v>732</v>
      </c>
      <c r="L45" s="1"/>
      <c r="M45" s="1"/>
    </row>
    <row r="46" ht="15" customHeight="1">
      <c r="A46" s="1"/>
      <c r="B46" s="4" t="s">
        <v>733</v>
      </c>
      <c r="C46" s="18"/>
      <c r="D46" s="18"/>
      <c r="E46" s="18"/>
      <c r="F46" s="18"/>
      <c r="G46" s="44">
        <f>'Revenue summary'!E98/('Revenue summary'!E98+'Revenue summary'!F98)</f>
        <v>0.5028433945756781</v>
      </c>
      <c r="H46" s="18"/>
      <c r="I46" s="18"/>
      <c r="J46" s="70" t="s">
        <v>711</v>
      </c>
      <c r="K46" s="1" t="s">
        <v>734</v>
      </c>
      <c r="L46" s="1"/>
      <c r="M46" s="1"/>
    </row>
    <row r="47" ht="15" customHeight="1">
      <c r="A47" s="1"/>
      <c r="B47" s="3" t="s">
        <v>735</v>
      </c>
      <c r="C47" s="38"/>
      <c r="D47" s="38"/>
      <c r="E47" s="38">
        <f t="shared" si="3"/>
        <v>2652.498906386702</v>
      </c>
      <c r="F47" s="38">
        <f t="shared" si="4"/>
        <v>2753.0675853018374</v>
      </c>
      <c r="G47" s="38">
        <f t="shared" si="5"/>
        <v>2702.7832458442695</v>
      </c>
      <c r="H47" s="38"/>
      <c r="I47" s="38"/>
      <c r="J47" s="73" t="s">
        <v>669</v>
      </c>
      <c r="K47" s="1" t="s">
        <v>736</v>
      </c>
      <c r="L47" s="1"/>
      <c r="M47" s="1"/>
    </row>
    <row r="48" ht="15" customHeight="1">
      <c r="A48" s="1"/>
      <c r="B48" s="3" t="s">
        <v>737</v>
      </c>
      <c r="C48" s="38"/>
      <c r="D48" s="38"/>
      <c r="E48" s="42">
        <f>E40*'Share Count'!J33</f>
        <v>2011.781686285463</v>
      </c>
      <c r="F48" s="42">
        <f>F40*'Share Count'!J33</f>
        <v>2118.5777528023723</v>
      </c>
      <c r="G48" s="42">
        <f>G40*'Share Count'!J33</f>
        <v>2065.1797195439176</v>
      </c>
      <c r="H48" s="38"/>
      <c r="I48" s="38"/>
      <c r="J48" s="73" t="s">
        <v>669</v>
      </c>
      <c r="K48" s="1" t="s">
        <v>738</v>
      </c>
      <c r="L48" s="1"/>
      <c r="M48" s="1"/>
    </row>
    <row r="49" ht="15" customHeight="1">
      <c r="A49" s="1"/>
      <c r="B49" s="1" t="s">
        <v>739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ht="1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6583BC8-7688-5DB8-67B7-005742D6FBF2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46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740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62"/>
      <c r="C5" s="62"/>
      <c r="D5" s="62"/>
      <c r="E5" s="62"/>
      <c r="F5" s="62"/>
      <c r="G5" s="62"/>
      <c r="H5" s="62"/>
      <c r="I5" s="62"/>
      <c r="J5" s="62"/>
      <c r="K5" s="62"/>
      <c r="L5" s="1"/>
      <c r="M5" s="1"/>
    </row>
    <row r="6" ht="15" customHeight="1">
      <c r="A6" s="1"/>
      <c r="B6" s="62"/>
      <c r="C6" s="62"/>
      <c r="D6" s="62"/>
      <c r="E6" s="62"/>
      <c r="F6" s="62"/>
      <c r="G6" s="62"/>
      <c r="H6" s="62"/>
      <c r="I6" s="62"/>
      <c r="J6" s="62"/>
      <c r="K6" s="63"/>
      <c r="L6" s="1"/>
      <c r="M6" s="1"/>
    </row>
    <row r="7" ht="15" customHeight="1">
      <c r="A7" s="1"/>
      <c r="B7" s="62"/>
      <c r="C7" s="62"/>
      <c r="D7" s="62"/>
      <c r="E7" s="62"/>
      <c r="F7" s="62"/>
      <c r="G7" s="62"/>
      <c r="H7" s="62"/>
      <c r="I7" s="62"/>
      <c r="J7" s="62"/>
      <c r="K7" s="64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ht="15" customHeight="1">
      <c r="A9" s="1"/>
      <c r="B9" s="13" t="s">
        <v>741</v>
      </c>
      <c r="C9" s="14" t="s">
        <v>742</v>
      </c>
      <c r="D9" s="14" t="s">
        <v>743</v>
      </c>
      <c r="E9" s="74" t="s">
        <v>744</v>
      </c>
      <c r="F9" s="15"/>
      <c r="G9" s="15"/>
      <c r="H9" s="15"/>
      <c r="I9" s="15"/>
      <c r="J9" s="15"/>
      <c r="K9" s="66" t="s">
        <v>745</v>
      </c>
      <c r="L9" s="1"/>
      <c r="M9" s="1"/>
    </row>
    <row r="10" ht="15" customHeight="1">
      <c r="A10" s="1"/>
      <c r="B10" s="1" t="s">
        <v>746</v>
      </c>
      <c r="C10" s="40" t="s">
        <v>747</v>
      </c>
      <c r="D10" s="40" t="s">
        <v>748</v>
      </c>
      <c r="E10" s="75" t="s">
        <v>749</v>
      </c>
      <c r="F10" s="1"/>
      <c r="G10" s="1"/>
      <c r="H10" s="1"/>
      <c r="I10" s="1"/>
      <c r="J10" s="1"/>
      <c r="K10" s="1" t="s">
        <v>750</v>
      </c>
      <c r="L10" s="1"/>
      <c r="M10" s="1"/>
    </row>
    <row r="11" ht="15" customHeight="1">
      <c r="A11" s="1"/>
      <c r="B11" s="1" t="s">
        <v>751</v>
      </c>
      <c r="C11" s="40" t="s">
        <v>747</v>
      </c>
      <c r="D11" s="40" t="s">
        <v>748</v>
      </c>
      <c r="E11" s="75" t="s">
        <v>749</v>
      </c>
      <c r="F11" s="1"/>
      <c r="G11" s="1"/>
      <c r="H11" s="1"/>
      <c r="I11" s="1"/>
      <c r="J11" s="1"/>
      <c r="K11" s="1" t="s">
        <v>752</v>
      </c>
      <c r="L11" s="1"/>
      <c r="M11" s="1"/>
    </row>
    <row r="12" ht="15" customHeight="1">
      <c r="A12" s="1"/>
      <c r="B12" s="1" t="s">
        <v>753</v>
      </c>
      <c r="C12" s="40" t="s">
        <v>754</v>
      </c>
      <c r="D12" s="40" t="s">
        <v>748</v>
      </c>
      <c r="E12" s="75" t="s">
        <v>755</v>
      </c>
      <c r="F12" s="1"/>
      <c r="G12" s="1"/>
      <c r="H12" s="1"/>
      <c r="I12" s="1"/>
      <c r="J12" s="1"/>
      <c r="K12" s="1" t="s">
        <v>756</v>
      </c>
      <c r="L12" s="1"/>
      <c r="M12" s="1"/>
    </row>
    <row r="13" ht="15" customHeight="1">
      <c r="A13" s="1"/>
      <c r="B13" s="1" t="s">
        <v>757</v>
      </c>
      <c r="C13" s="40" t="s">
        <v>758</v>
      </c>
      <c r="D13" s="40" t="s">
        <v>748</v>
      </c>
      <c r="E13" s="75" t="s">
        <v>755</v>
      </c>
      <c r="F13" s="1"/>
      <c r="G13" s="1"/>
      <c r="H13" s="1"/>
      <c r="I13" s="1"/>
      <c r="J13" s="1"/>
      <c r="K13" s="1" t="s">
        <v>759</v>
      </c>
      <c r="L13" s="1"/>
      <c r="M13" s="1"/>
    </row>
    <row r="14" ht="15" customHeight="1">
      <c r="A14" s="1"/>
      <c r="B14" s="1" t="s">
        <v>760</v>
      </c>
      <c r="C14" s="40" t="s">
        <v>674</v>
      </c>
      <c r="D14" s="40" t="s">
        <v>748</v>
      </c>
      <c r="E14" s="75" t="s">
        <v>755</v>
      </c>
      <c r="F14" s="1"/>
      <c r="G14" s="1"/>
      <c r="H14" s="1"/>
      <c r="I14" s="1"/>
      <c r="J14" s="1"/>
      <c r="K14" s="1" t="s">
        <v>761</v>
      </c>
      <c r="L14" s="1"/>
      <c r="M14" s="1"/>
    </row>
    <row r="15" ht="15" customHeight="1">
      <c r="A15" s="1"/>
      <c r="B15" s="1" t="s">
        <v>762</v>
      </c>
      <c r="C15" s="40" t="s">
        <v>674</v>
      </c>
      <c r="D15" s="40" t="s">
        <v>748</v>
      </c>
      <c r="E15" s="75" t="s">
        <v>755</v>
      </c>
      <c r="F15" s="1"/>
      <c r="G15" s="1"/>
      <c r="H15" s="1"/>
      <c r="I15" s="1"/>
      <c r="J15" s="1"/>
      <c r="K15" s="1" t="s">
        <v>763</v>
      </c>
      <c r="L15" s="1"/>
      <c r="M15" s="1"/>
    </row>
    <row r="16" ht="15" customHeight="1">
      <c r="A16" s="1"/>
      <c r="B16" s="1" t="s">
        <v>686</v>
      </c>
      <c r="C16" s="40" t="s">
        <v>683</v>
      </c>
      <c r="D16" s="40" t="s">
        <v>748</v>
      </c>
      <c r="E16" s="75" t="s">
        <v>755</v>
      </c>
      <c r="F16" s="1"/>
      <c r="G16" s="1"/>
      <c r="H16" s="1"/>
      <c r="I16" s="1"/>
      <c r="J16" s="1"/>
      <c r="K16" s="1" t="s">
        <v>764</v>
      </c>
      <c r="L16" s="1"/>
      <c r="M16" s="1"/>
    </row>
    <row r="17" ht="15" customHeight="1">
      <c r="A17" s="1"/>
      <c r="B17" s="1" t="s">
        <v>765</v>
      </c>
      <c r="C17" s="40" t="s">
        <v>683</v>
      </c>
      <c r="D17" s="40" t="s">
        <v>748</v>
      </c>
      <c r="E17" s="75" t="s">
        <v>766</v>
      </c>
      <c r="F17" s="1"/>
      <c r="G17" s="1"/>
      <c r="H17" s="1"/>
      <c r="I17" s="1"/>
      <c r="J17" s="1"/>
      <c r="K17" s="1" t="s">
        <v>767</v>
      </c>
      <c r="L17" s="1"/>
      <c r="M17" s="1"/>
    </row>
    <row r="18" ht="15" customHeight="1">
      <c r="A18" s="1"/>
      <c r="B18" s="1" t="s">
        <v>768</v>
      </c>
      <c r="C18" s="40" t="s">
        <v>769</v>
      </c>
      <c r="D18" s="40" t="s">
        <v>748</v>
      </c>
      <c r="E18" s="75" t="s">
        <v>755</v>
      </c>
      <c r="F18" s="1"/>
      <c r="G18" s="1"/>
      <c r="H18" s="1"/>
      <c r="I18" s="1"/>
      <c r="J18" s="1"/>
      <c r="K18" s="1" t="s">
        <v>770</v>
      </c>
      <c r="L18" s="1"/>
      <c r="M18" s="1"/>
    </row>
    <row r="19" ht="15" customHeight="1">
      <c r="A19" s="1"/>
      <c r="B19" s="1" t="s">
        <v>771</v>
      </c>
      <c r="C19" s="40" t="s">
        <v>772</v>
      </c>
      <c r="D19" s="40" t="s">
        <v>748</v>
      </c>
      <c r="E19" s="75" t="s">
        <v>766</v>
      </c>
      <c r="F19" s="1"/>
      <c r="G19" s="1"/>
      <c r="H19" s="1"/>
      <c r="I19" s="1"/>
      <c r="J19" s="1"/>
      <c r="K19" s="1" t="s">
        <v>773</v>
      </c>
      <c r="L19" s="1"/>
      <c r="M19" s="1"/>
    </row>
    <row r="20" ht="15" customHeight="1">
      <c r="A20" s="1"/>
      <c r="B20" s="1" t="s">
        <v>697</v>
      </c>
      <c r="C20" s="40" t="s">
        <v>694</v>
      </c>
      <c r="D20" s="40" t="s">
        <v>748</v>
      </c>
      <c r="E20" s="75" t="s">
        <v>755</v>
      </c>
      <c r="F20" s="1"/>
      <c r="G20" s="1"/>
      <c r="H20" s="1"/>
      <c r="I20" s="1"/>
      <c r="J20" s="1"/>
      <c r="K20" s="1" t="s">
        <v>774</v>
      </c>
      <c r="L20" s="1"/>
      <c r="M20" s="1"/>
    </row>
    <row r="21" ht="15" customHeight="1">
      <c r="A21" s="1"/>
      <c r="B21" s="1" t="s">
        <v>775</v>
      </c>
      <c r="C21" s="40" t="s">
        <v>694</v>
      </c>
      <c r="D21" s="40" t="s">
        <v>748</v>
      </c>
      <c r="E21" s="75" t="s">
        <v>766</v>
      </c>
      <c r="F21" s="1"/>
      <c r="G21" s="1"/>
      <c r="H21" s="1"/>
      <c r="I21" s="1"/>
      <c r="J21" s="1"/>
      <c r="K21" s="1" t="s">
        <v>776</v>
      </c>
      <c r="L21" s="1"/>
      <c r="M21" s="1"/>
    </row>
    <row r="22" ht="15" customHeight="1">
      <c r="A22" s="1"/>
      <c r="B22" s="1" t="s">
        <v>777</v>
      </c>
      <c r="C22" s="40" t="s">
        <v>694</v>
      </c>
      <c r="D22" s="40" t="s">
        <v>748</v>
      </c>
      <c r="E22" s="75" t="s">
        <v>755</v>
      </c>
      <c r="F22" s="1"/>
      <c r="G22" s="1"/>
      <c r="H22" s="1"/>
      <c r="I22" s="1"/>
      <c r="J22" s="1"/>
      <c r="K22" s="1" t="s">
        <v>778</v>
      </c>
      <c r="L22" s="1"/>
      <c r="M22" s="1"/>
    </row>
    <row r="23" ht="15" customHeight="1">
      <c r="A23" s="1"/>
      <c r="B23" s="1" t="s">
        <v>700</v>
      </c>
      <c r="C23" s="40" t="s">
        <v>699</v>
      </c>
      <c r="D23" s="40" t="s">
        <v>748</v>
      </c>
      <c r="E23" s="75" t="s">
        <v>755</v>
      </c>
      <c r="F23" s="1"/>
      <c r="G23" s="1"/>
      <c r="H23" s="1"/>
      <c r="I23" s="1"/>
      <c r="J23" s="1"/>
      <c r="K23" s="1" t="s">
        <v>779</v>
      </c>
      <c r="L23" s="1"/>
      <c r="M23" s="1"/>
    </row>
    <row r="24" ht="15" customHeight="1">
      <c r="A24" s="1"/>
      <c r="B24" s="1" t="s">
        <v>715</v>
      </c>
      <c r="C24" s="40" t="s">
        <v>699</v>
      </c>
      <c r="D24" s="40" t="s">
        <v>748</v>
      </c>
      <c r="E24" s="75" t="s">
        <v>766</v>
      </c>
      <c r="F24" s="1"/>
      <c r="G24" s="1"/>
      <c r="H24" s="1"/>
      <c r="I24" s="1"/>
      <c r="J24" s="1"/>
      <c r="K24" s="1" t="s">
        <v>780</v>
      </c>
      <c r="L24" s="1"/>
      <c r="M24" s="1"/>
    </row>
    <row r="25" ht="15" customHeight="1">
      <c r="A25" s="1"/>
      <c r="B25" s="1" t="s">
        <v>781</v>
      </c>
      <c r="C25" s="40" t="s">
        <v>699</v>
      </c>
      <c r="D25" s="40" t="s">
        <v>748</v>
      </c>
      <c r="E25" s="75" t="s">
        <v>755</v>
      </c>
      <c r="F25" s="1"/>
      <c r="G25" s="1"/>
      <c r="H25" s="1"/>
      <c r="I25" s="1"/>
      <c r="J25" s="1"/>
      <c r="K25" s="1" t="s">
        <v>782</v>
      </c>
      <c r="L25" s="1"/>
      <c r="M25" s="1"/>
    </row>
    <row r="26" ht="15" customHeight="1">
      <c r="A26" s="1"/>
      <c r="B26" s="1" t="s">
        <v>783</v>
      </c>
      <c r="C26" s="40" t="s">
        <v>699</v>
      </c>
      <c r="D26" s="40" t="s">
        <v>748</v>
      </c>
      <c r="E26" s="75" t="s">
        <v>784</v>
      </c>
      <c r="F26" s="1"/>
      <c r="G26" s="1"/>
      <c r="H26" s="1"/>
      <c r="I26" s="1"/>
      <c r="J26" s="1"/>
      <c r="K26" s="1" t="s">
        <v>785</v>
      </c>
      <c r="L26" s="1"/>
      <c r="M26" s="1"/>
    </row>
    <row r="27" ht="15" customHeight="1">
      <c r="A27" s="1"/>
      <c r="B27" s="1" t="s">
        <v>786</v>
      </c>
      <c r="C27" s="40" t="s">
        <v>787</v>
      </c>
      <c r="D27" s="40" t="s">
        <v>748</v>
      </c>
      <c r="E27" s="75" t="s">
        <v>766</v>
      </c>
      <c r="F27" s="1"/>
      <c r="G27" s="1"/>
      <c r="H27" s="1"/>
      <c r="I27" s="1"/>
      <c r="J27" s="1"/>
      <c r="K27" s="1" t="s">
        <v>788</v>
      </c>
      <c r="L27" s="1"/>
      <c r="M27" s="1"/>
    </row>
    <row r="28" ht="15" customHeight="1">
      <c r="A28" s="1"/>
      <c r="B28" s="1" t="s">
        <v>789</v>
      </c>
      <c r="C28" s="40" t="s">
        <v>790</v>
      </c>
      <c r="D28" s="40" t="s">
        <v>748</v>
      </c>
      <c r="E28" s="75" t="s">
        <v>755</v>
      </c>
      <c r="F28" s="1"/>
      <c r="G28" s="1"/>
      <c r="H28" s="1"/>
      <c r="I28" s="1"/>
      <c r="J28" s="1"/>
      <c r="K28" s="1" t="s">
        <v>791</v>
      </c>
      <c r="L28" s="1"/>
      <c r="M28" s="1"/>
    </row>
    <row r="29" ht="15" customHeight="1">
      <c r="A29" s="1"/>
      <c r="B29" s="1" t="s">
        <v>792</v>
      </c>
      <c r="C29" s="40" t="s">
        <v>747</v>
      </c>
      <c r="D29" s="40" t="s">
        <v>748</v>
      </c>
      <c r="E29" s="75" t="s">
        <v>793</v>
      </c>
      <c r="F29" s="1"/>
      <c r="G29" s="1"/>
      <c r="H29" s="1"/>
      <c r="I29" s="1"/>
      <c r="J29" s="1"/>
      <c r="K29" s="1" t="s">
        <v>794</v>
      </c>
      <c r="L29" s="1"/>
      <c r="M29" s="1"/>
    </row>
    <row r="30" ht="15" customHeight="1">
      <c r="A30" s="1"/>
      <c r="B30" s="1" t="s">
        <v>795</v>
      </c>
      <c r="C30" s="40" t="s">
        <v>796</v>
      </c>
      <c r="D30" s="40" t="s">
        <v>748</v>
      </c>
      <c r="E30" s="75" t="s">
        <v>797</v>
      </c>
      <c r="F30" s="1"/>
      <c r="G30" s="1"/>
      <c r="H30" s="1"/>
      <c r="I30" s="1"/>
      <c r="J30" s="1"/>
      <c r="K30" s="1" t="s">
        <v>798</v>
      </c>
      <c r="L30" s="1"/>
      <c r="M30" s="1"/>
    </row>
    <row r="31" ht="15" customHeight="1">
      <c r="A31" s="1"/>
      <c r="B31" s="1" t="s">
        <v>799</v>
      </c>
      <c r="C31" s="40" t="s">
        <v>800</v>
      </c>
      <c r="D31" s="40" t="s">
        <v>748</v>
      </c>
      <c r="E31" s="75" t="s">
        <v>797</v>
      </c>
      <c r="F31" s="1"/>
      <c r="G31" s="1"/>
      <c r="H31" s="1"/>
      <c r="I31" s="1"/>
      <c r="J31" s="1"/>
      <c r="K31" s="1" t="s">
        <v>801</v>
      </c>
      <c r="L31" s="1"/>
      <c r="M31" s="1"/>
    </row>
    <row r="32" ht="15" customHeight="1">
      <c r="A32" s="1"/>
      <c r="B32" s="1" t="s">
        <v>802</v>
      </c>
      <c r="C32" s="40" t="s">
        <v>803</v>
      </c>
      <c r="D32" s="40" t="s">
        <v>748</v>
      </c>
      <c r="E32" s="75" t="s">
        <v>804</v>
      </c>
      <c r="F32" s="1"/>
      <c r="G32" s="1"/>
      <c r="H32" s="1"/>
      <c r="I32" s="1"/>
      <c r="J32" s="1"/>
      <c r="K32" s="1" t="s">
        <v>805</v>
      </c>
      <c r="L32" s="1"/>
      <c r="M32" s="1"/>
    </row>
    <row r="33" ht="15" customHeight="1">
      <c r="A33" s="1"/>
      <c r="B33" s="1" t="s">
        <v>806</v>
      </c>
      <c r="C33" s="40" t="s">
        <v>807</v>
      </c>
      <c r="D33" s="40" t="s">
        <v>748</v>
      </c>
      <c r="E33" s="75" t="s">
        <v>808</v>
      </c>
      <c r="F33" s="1"/>
      <c r="G33" s="1"/>
      <c r="H33" s="1"/>
      <c r="I33" s="1"/>
      <c r="J33" s="1"/>
      <c r="K33" s="1" t="s">
        <v>809</v>
      </c>
      <c r="L33" s="1"/>
      <c r="M33" s="1"/>
    </row>
    <row r="34" ht="15" customHeight="1">
      <c r="A34" s="1"/>
      <c r="B34" s="1" t="s">
        <v>810</v>
      </c>
      <c r="C34" s="40" t="s">
        <v>811</v>
      </c>
      <c r="D34" s="40" t="s">
        <v>748</v>
      </c>
      <c r="E34" s="75" t="s">
        <v>812</v>
      </c>
      <c r="F34" s="1"/>
      <c r="G34" s="1"/>
      <c r="H34" s="1"/>
      <c r="I34" s="1"/>
      <c r="J34" s="1"/>
      <c r="K34" s="1" t="s">
        <v>813</v>
      </c>
      <c r="L34" s="1"/>
      <c r="M34" s="1"/>
    </row>
    <row r="35" ht="15" customHeight="1">
      <c r="A35" s="1"/>
      <c r="B35" s="1" t="s">
        <v>814</v>
      </c>
      <c r="C35" s="40" t="s">
        <v>815</v>
      </c>
      <c r="D35" s="40" t="s">
        <v>748</v>
      </c>
      <c r="E35" s="75" t="s">
        <v>816</v>
      </c>
      <c r="F35" s="1"/>
      <c r="G35" s="1"/>
      <c r="H35" s="1"/>
      <c r="I35" s="1"/>
      <c r="J35" s="1"/>
      <c r="K35" s="1" t="s">
        <v>817</v>
      </c>
      <c r="L35" s="1"/>
      <c r="M35" s="1"/>
    </row>
    <row r="36" ht="15" customHeight="1">
      <c r="A36" s="1"/>
      <c r="B36" s="1" t="s">
        <v>818</v>
      </c>
      <c r="C36" s="40" t="s">
        <v>811</v>
      </c>
      <c r="D36" s="40" t="s">
        <v>748</v>
      </c>
      <c r="E36" s="75" t="s">
        <v>819</v>
      </c>
      <c r="F36" s="1"/>
      <c r="G36" s="1"/>
      <c r="H36" s="1"/>
      <c r="I36" s="1"/>
      <c r="J36" s="1"/>
      <c r="K36" s="1" t="s">
        <v>820</v>
      </c>
      <c r="L36" s="1"/>
      <c r="M36" s="1"/>
    </row>
    <row r="37" ht="15" customHeight="1">
      <c r="A37" s="1"/>
      <c r="B37" s="1" t="s">
        <v>821</v>
      </c>
      <c r="C37" s="40" t="s">
        <v>822</v>
      </c>
      <c r="D37" s="40" t="s">
        <v>748</v>
      </c>
      <c r="E37" s="75" t="s">
        <v>823</v>
      </c>
      <c r="F37" s="1"/>
      <c r="G37" s="1"/>
      <c r="H37" s="1"/>
      <c r="I37" s="1"/>
      <c r="J37" s="1"/>
      <c r="K37" s="1" t="s">
        <v>824</v>
      </c>
      <c r="L37" s="1"/>
      <c r="M37" s="1"/>
    </row>
    <row r="38" ht="15" customHeight="1">
      <c r="A38" s="1"/>
      <c r="B38" s="1" t="s">
        <v>825</v>
      </c>
      <c r="C38" s="40" t="s">
        <v>815</v>
      </c>
      <c r="D38" s="40" t="s">
        <v>748</v>
      </c>
      <c r="E38" s="75" t="s">
        <v>826</v>
      </c>
      <c r="F38" s="1"/>
      <c r="G38" s="1"/>
      <c r="H38" s="1"/>
      <c r="I38" s="1"/>
      <c r="J38" s="1"/>
      <c r="K38" s="1" t="s">
        <v>827</v>
      </c>
      <c r="L38" s="1"/>
      <c r="M38" s="1"/>
    </row>
    <row r="39" ht="15" customHeight="1">
      <c r="A39" s="1"/>
      <c r="B39" s="1" t="s">
        <v>828</v>
      </c>
      <c r="C39" s="40" t="s">
        <v>796</v>
      </c>
      <c r="D39" s="40" t="s">
        <v>748</v>
      </c>
      <c r="E39" s="75" t="s">
        <v>829</v>
      </c>
      <c r="F39" s="1"/>
      <c r="G39" s="1"/>
      <c r="H39" s="1"/>
      <c r="I39" s="1"/>
      <c r="J39" s="1"/>
      <c r="K39" s="1" t="s">
        <v>830</v>
      </c>
      <c r="L39" s="1"/>
      <c r="M39" s="1"/>
    </row>
    <row r="40" ht="15" customHeight="1">
      <c r="A40" s="1"/>
      <c r="B40" s="1" t="s">
        <v>831</v>
      </c>
      <c r="C40" s="40" t="s">
        <v>807</v>
      </c>
      <c r="D40" s="40" t="s">
        <v>748</v>
      </c>
      <c r="E40" s="75" t="s">
        <v>832</v>
      </c>
      <c r="F40" s="1"/>
      <c r="G40" s="1"/>
      <c r="H40" s="1"/>
      <c r="I40" s="1"/>
      <c r="J40" s="1"/>
      <c r="K40" s="1" t="s">
        <v>833</v>
      </c>
      <c r="L40" s="1"/>
      <c r="M40" s="1"/>
    </row>
    <row r="41" ht="15" customHeight="1">
      <c r="A41" s="1"/>
      <c r="B41" s="1" t="s">
        <v>834</v>
      </c>
      <c r="C41" s="40" t="s">
        <v>699</v>
      </c>
      <c r="D41" s="40" t="s">
        <v>748</v>
      </c>
      <c r="E41" s="75" t="s">
        <v>835</v>
      </c>
      <c r="F41" s="1"/>
      <c r="G41" s="1"/>
      <c r="H41" s="1"/>
      <c r="I41" s="1"/>
      <c r="J41" s="1"/>
      <c r="K41" s="1" t="s">
        <v>836</v>
      </c>
      <c r="L41" s="1"/>
      <c r="M41" s="1"/>
    </row>
    <row r="42" ht="15" customHeight="1">
      <c r="A42" s="1"/>
      <c r="B42" s="1" t="s">
        <v>837</v>
      </c>
      <c r="C42" s="40" t="s">
        <v>838</v>
      </c>
      <c r="D42" s="40" t="s">
        <v>748</v>
      </c>
      <c r="E42" s="75" t="s">
        <v>835</v>
      </c>
      <c r="F42" s="1"/>
      <c r="G42" s="1"/>
      <c r="H42" s="1"/>
      <c r="I42" s="1"/>
      <c r="J42" s="1"/>
      <c r="K42" s="1" t="s">
        <v>839</v>
      </c>
      <c r="L42" s="1"/>
      <c r="M42" s="1"/>
    </row>
    <row r="43" ht="15" customHeight="1">
      <c r="A43" s="1"/>
      <c r="B43" s="1" t="s">
        <v>840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ht="15" customHeight="1">
      <c r="A44" s="1"/>
      <c r="B44" s="1" t="s">
        <v>841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ht="15" customHeight="1">
      <c r="A45" s="1"/>
      <c r="B45" s="1" t="s">
        <v>842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ht="1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ht="1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ht="1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CF816E8-A38C-BF77-2022-7E17CADA7EF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0" width="12.00390625" customWidth="1"/>
    <col min="11" max="11" width="46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843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5" t="s">
        <v>52</v>
      </c>
      <c r="C5" s="6" t="s">
        <v>53</v>
      </c>
      <c r="D5" s="6" t="s">
        <v>54</v>
      </c>
      <c r="E5" s="6" t="s">
        <v>55</v>
      </c>
      <c r="F5" s="6" t="s">
        <v>56</v>
      </c>
      <c r="G5" s="6" t="s">
        <v>57</v>
      </c>
      <c r="H5" s="6" t="s">
        <v>58</v>
      </c>
      <c r="I5" s="6" t="s">
        <v>59</v>
      </c>
      <c r="J5" s="26" t="s">
        <v>60</v>
      </c>
      <c r="K5" s="5" t="s">
        <v>3</v>
      </c>
      <c r="L5" s="1"/>
      <c r="M5" s="1"/>
    </row>
    <row r="6" ht="15" customHeight="1">
      <c r="A6" s="1"/>
      <c r="B6" s="8" t="s">
        <v>61</v>
      </c>
      <c r="C6" s="9">
        <f>DATE(2025,3,31)</f>
        <v>45747</v>
      </c>
      <c r="D6" s="9">
        <f>DATE(2025,6,30)</f>
        <v>45838</v>
      </c>
      <c r="E6" s="9">
        <f>DATE(2025,9,30)</f>
        <v>45930</v>
      </c>
      <c r="F6" s="9">
        <f t="shared" si="0" ref="F6:G6">DATE(2025,12,31)</f>
        <v>46022</v>
      </c>
      <c r="G6" s="9">
        <f t="shared" si="0"/>
        <v>46022</v>
      </c>
      <c r="H6" s="9">
        <f>DATE(2026,3,31)</f>
        <v>46112</v>
      </c>
      <c r="I6" s="9">
        <f>DATE(2026,6,30)</f>
        <v>46203</v>
      </c>
      <c r="J6" s="9">
        <f>DATE(2026,9,30)</f>
        <v>46295</v>
      </c>
      <c r="K6" s="8"/>
      <c r="L6" s="1"/>
      <c r="M6" s="1"/>
    </row>
    <row r="7" ht="15" customHeight="1">
      <c r="A7" s="1"/>
      <c r="B7" s="10" t="s">
        <v>62</v>
      </c>
      <c r="C7" s="11">
        <f t="shared" si="2" ref="C7:G7">C6-DATE(2024,12,31)</f>
        <v>90</v>
      </c>
      <c r="D7" s="11">
        <f t="shared" si="1" ref="D7:J7">D6-C6</f>
        <v>91</v>
      </c>
      <c r="E7" s="11">
        <f t="shared" si="1"/>
        <v>92</v>
      </c>
      <c r="F7" s="11">
        <f t="shared" si="1"/>
        <v>92</v>
      </c>
      <c r="G7" s="11">
        <f t="shared" si="2"/>
        <v>365</v>
      </c>
      <c r="H7" s="11">
        <f>H6-F6</f>
        <v>90</v>
      </c>
      <c r="I7" s="11">
        <f t="shared" si="1"/>
        <v>91</v>
      </c>
      <c r="J7" s="11">
        <f t="shared" si="1"/>
        <v>92</v>
      </c>
      <c r="K7" s="10"/>
      <c r="L7" s="1"/>
      <c r="M7" s="1"/>
    </row>
    <row r="8" ht="1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ht="15" customHeight="1">
      <c r="A9" s="1"/>
      <c r="B9" s="28" t="s">
        <v>844</v>
      </c>
      <c r="C9" s="29"/>
      <c r="D9" s="29"/>
      <c r="E9" s="29"/>
      <c r="F9" s="29"/>
      <c r="G9" s="29"/>
      <c r="H9" s="29"/>
      <c r="I9" s="29"/>
      <c r="J9" s="29"/>
      <c r="K9" s="29" t="s">
        <v>845</v>
      </c>
      <c r="L9" s="1"/>
      <c r="M9" s="1"/>
    </row>
    <row r="10" ht="15" customHeight="1">
      <c r="A10" s="1"/>
      <c r="B10" s="1" t="s">
        <v>846</v>
      </c>
      <c r="C10" s="76" t="s">
        <v>749</v>
      </c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15" customHeight="1">
      <c r="A11" s="1"/>
      <c r="B11" s="1" t="s">
        <v>847</v>
      </c>
      <c r="C11" s="76" t="s">
        <v>848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15" customHeight="1">
      <c r="A12" s="1"/>
      <c r="B12" s="1" t="s">
        <v>849</v>
      </c>
      <c r="C12" s="76" t="s">
        <v>850</v>
      </c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15" customHeight="1">
      <c r="A13" s="1"/>
      <c r="B13" s="1" t="s">
        <v>851</v>
      </c>
      <c r="C13" s="76" t="s">
        <v>852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15" customHeight="1">
      <c r="A14" s="1"/>
      <c r="B14" s="1" t="s">
        <v>853</v>
      </c>
      <c r="C14" s="76" t="s">
        <v>796</v>
      </c>
      <c r="D14" s="1"/>
      <c r="E14" s="1"/>
      <c r="F14" s="1"/>
      <c r="G14" s="1"/>
      <c r="H14" s="1"/>
      <c r="I14" s="1"/>
      <c r="J14" s="1"/>
      <c r="K14" s="1"/>
      <c r="L14" s="1"/>
      <c r="M14" s="1"/>
    </row>
    <row r="15" ht="15" customHeight="1">
      <c r="A15" s="1"/>
      <c r="B15" s="1" t="s">
        <v>854</v>
      </c>
      <c r="C15" s="76" t="s">
        <v>747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 ht="15" customHeight="1">
      <c r="A16" s="1"/>
      <c r="B16" s="1" t="s">
        <v>855</v>
      </c>
      <c r="C16" s="46">
        <v>18</v>
      </c>
      <c r="D16" s="33"/>
      <c r="E16" s="33"/>
      <c r="F16" s="33"/>
      <c r="G16" s="33"/>
      <c r="H16" s="33"/>
      <c r="I16" s="33"/>
      <c r="J16" s="33"/>
      <c r="K16" s="1"/>
      <c r="L16" s="1"/>
      <c r="M16" s="1"/>
    </row>
    <row r="17" ht="15" customHeight="1">
      <c r="A17" s="1"/>
      <c r="B17" s="1" t="s">
        <v>856</v>
      </c>
      <c r="C17" s="67">
        <v>2.01</v>
      </c>
      <c r="D17" s="20"/>
      <c r="E17" s="20"/>
      <c r="F17" s="20"/>
      <c r="G17" s="20"/>
      <c r="H17" s="20"/>
      <c r="I17" s="20"/>
      <c r="J17" s="20"/>
      <c r="K17" s="1"/>
      <c r="L17" s="1"/>
      <c r="M17" s="1"/>
    </row>
    <row r="18" ht="15" customHeight="1">
      <c r="A18" s="1"/>
      <c r="B18" s="1" t="s">
        <v>857</v>
      </c>
      <c r="C18" s="76" t="s">
        <v>858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ht="15" customHeight="1">
      <c r="A19" s="1"/>
      <c r="B19" s="1" t="s">
        <v>859</v>
      </c>
      <c r="C19" s="77">
        <v>12877.84</v>
      </c>
      <c r="D19" s="48"/>
      <c r="E19" s="48"/>
      <c r="F19" s="48"/>
      <c r="G19" s="48"/>
      <c r="H19" s="48"/>
      <c r="I19" s="48"/>
      <c r="J19" s="48"/>
      <c r="K19" s="1"/>
      <c r="L19" s="1"/>
      <c r="M19" s="1"/>
    </row>
    <row r="20" ht="15" customHeight="1">
      <c r="A20" s="1"/>
      <c r="B20" s="1" t="s">
        <v>860</v>
      </c>
      <c r="C20" s="76" t="s">
        <v>861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 ht="15" customHeight="1">
      <c r="A21" s="1"/>
      <c r="B21" s="1" t="s">
        <v>862</v>
      </c>
      <c r="C21" s="76" t="s">
        <v>863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ht="15" customHeight="1">
      <c r="A22" s="1"/>
      <c r="B22" s="1" t="s">
        <v>864</v>
      </c>
      <c r="C22" s="76" t="s">
        <v>865</v>
      </c>
      <c r="D22" s="1"/>
      <c r="E22" s="1"/>
      <c r="F22" s="1"/>
      <c r="G22" s="1"/>
      <c r="H22" s="1"/>
      <c r="I22" s="1"/>
      <c r="J22" s="1"/>
      <c r="K22" s="1"/>
      <c r="L22" s="1"/>
      <c r="M22" s="1"/>
    </row>
    <row r="23" ht="15" customHeight="1">
      <c r="A23" s="1"/>
      <c r="B23" s="1" t="s">
        <v>866</v>
      </c>
      <c r="C23" s="76" t="s">
        <v>861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ht="15" customHeight="1">
      <c r="A24" s="1"/>
      <c r="B24" s="1" t="s">
        <v>867</v>
      </c>
      <c r="C24" s="76" t="s">
        <v>861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ht="15" customHeight="1">
      <c r="A25" s="1"/>
      <c r="B25" s="1" t="s">
        <v>868</v>
      </c>
      <c r="C25" s="76" t="s">
        <v>869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ht="15" customHeight="1">
      <c r="A26" s="1"/>
      <c r="B26" s="1" t="s">
        <v>870</v>
      </c>
      <c r="C26" s="76" t="s">
        <v>861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ht="15" customHeight="1">
      <c r="A27" s="1"/>
      <c r="B27" s="1" t="s">
        <v>871</v>
      </c>
      <c r="C27" s="76" t="s">
        <v>872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ht="15" customHeight="1">
      <c r="A28" s="1"/>
      <c r="B28" s="1" t="s">
        <v>873</v>
      </c>
      <c r="C28" s="76" t="s">
        <v>874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ht="15" customHeight="1">
      <c r="A29" s="1"/>
      <c r="B29" s="28" t="s">
        <v>875</v>
      </c>
      <c r="C29" s="29"/>
      <c r="D29" s="29"/>
      <c r="E29" s="29"/>
      <c r="F29" s="29"/>
      <c r="G29" s="29"/>
      <c r="H29" s="29"/>
      <c r="I29" s="29"/>
      <c r="J29" s="29"/>
      <c r="K29" s="29" t="s">
        <v>845</v>
      </c>
      <c r="L29" s="1"/>
      <c r="M29" s="1"/>
    </row>
    <row r="30" ht="15" customHeight="1">
      <c r="A30" s="1"/>
      <c r="B30" s="1" t="s">
        <v>847</v>
      </c>
      <c r="C30" s="76" t="s">
        <v>848</v>
      </c>
      <c r="D30" s="1"/>
      <c r="E30" s="1"/>
      <c r="F30" s="1"/>
      <c r="G30" s="1"/>
      <c r="H30" s="1"/>
      <c r="I30" s="1"/>
      <c r="J30" s="1"/>
      <c r="K30" s="1"/>
      <c r="L30" s="1"/>
      <c r="M30" s="1"/>
    </row>
    <row r="31" ht="15" customHeight="1">
      <c r="A31" s="1"/>
      <c r="B31" s="1" t="s">
        <v>876</v>
      </c>
      <c r="C31" s="76" t="s">
        <v>850</v>
      </c>
      <c r="D31" s="1"/>
      <c r="E31" s="1"/>
      <c r="F31" s="1"/>
      <c r="G31" s="1"/>
      <c r="H31" s="1"/>
      <c r="I31" s="1"/>
      <c r="J31" s="1"/>
      <c r="K31" s="1"/>
      <c r="L31" s="1"/>
      <c r="M31" s="1"/>
    </row>
    <row r="32" ht="15" customHeight="1">
      <c r="A32" s="1"/>
      <c r="B32" s="1" t="s">
        <v>877</v>
      </c>
      <c r="C32" s="76" t="s">
        <v>878</v>
      </c>
      <c r="D32" s="1"/>
      <c r="E32" s="1"/>
      <c r="F32" s="1"/>
      <c r="G32" s="1"/>
      <c r="H32" s="1"/>
      <c r="I32" s="1"/>
      <c r="J32" s="1"/>
      <c r="K32" s="1"/>
      <c r="L32" s="1"/>
      <c r="M32" s="1"/>
    </row>
    <row r="33" ht="15" customHeight="1">
      <c r="A33" s="1"/>
      <c r="B33" s="1" t="s">
        <v>879</v>
      </c>
      <c r="C33" s="76">
        <v>177031</v>
      </c>
      <c r="D33" s="1"/>
      <c r="E33" s="1"/>
      <c r="F33" s="1"/>
      <c r="G33" s="1"/>
      <c r="H33" s="1"/>
      <c r="I33" s="1"/>
      <c r="J33" s="1"/>
      <c r="K33" s="1"/>
      <c r="L33" s="1"/>
      <c r="M33" s="1"/>
    </row>
    <row r="34" ht="15" customHeight="1">
      <c r="A34" s="1"/>
      <c r="B34" s="1" t="s">
        <v>880</v>
      </c>
      <c r="C34" s="76" t="s">
        <v>861</v>
      </c>
      <c r="D34" s="1"/>
      <c r="E34" s="1"/>
      <c r="F34" s="1"/>
      <c r="G34" s="1"/>
      <c r="H34" s="1"/>
      <c r="I34" s="1"/>
      <c r="J34" s="1"/>
      <c r="K34" s="1"/>
      <c r="L34" s="1"/>
      <c r="M34" s="1"/>
    </row>
    <row r="35" ht="15" customHeight="1">
      <c r="A35" s="1"/>
      <c r="B35" s="1" t="s">
        <v>881</v>
      </c>
      <c r="C35" s="76" t="s">
        <v>882</v>
      </c>
      <c r="D35" s="1"/>
      <c r="E35" s="1"/>
      <c r="F35" s="1"/>
      <c r="G35" s="1"/>
      <c r="H35" s="1"/>
      <c r="I35" s="1"/>
      <c r="J35" s="1"/>
      <c r="K35" s="1"/>
      <c r="L35" s="1"/>
      <c r="M35" s="1"/>
    </row>
    <row r="36" ht="15" customHeight="1">
      <c r="A36" s="1"/>
      <c r="B36" s="1" t="s">
        <v>883</v>
      </c>
      <c r="C36" s="76" t="s">
        <v>852</v>
      </c>
      <c r="D36" s="1"/>
      <c r="E36" s="1"/>
      <c r="F36" s="1"/>
      <c r="G36" s="1"/>
      <c r="H36" s="1"/>
      <c r="I36" s="1"/>
      <c r="J36" s="1"/>
      <c r="K36" s="1"/>
      <c r="L36" s="1"/>
      <c r="M36" s="1"/>
    </row>
    <row r="37" ht="15" customHeight="1">
      <c r="A37" s="1"/>
      <c r="B37" s="1" t="s">
        <v>884</v>
      </c>
      <c r="C37" s="76" t="s">
        <v>796</v>
      </c>
      <c r="D37" s="1"/>
      <c r="E37" s="1"/>
      <c r="F37" s="1"/>
      <c r="G37" s="1"/>
      <c r="H37" s="1"/>
      <c r="I37" s="1"/>
      <c r="J37" s="1"/>
      <c r="K37" s="1"/>
      <c r="L37" s="1"/>
      <c r="M37" s="1"/>
    </row>
    <row r="38" ht="15" customHeight="1">
      <c r="A38" s="1"/>
      <c r="B38" s="1" t="s">
        <v>885</v>
      </c>
      <c r="C38" s="76" t="s">
        <v>886</v>
      </c>
      <c r="D38" s="1"/>
      <c r="E38" s="1"/>
      <c r="F38" s="1"/>
      <c r="G38" s="1"/>
      <c r="H38" s="1"/>
      <c r="I38" s="1"/>
      <c r="J38" s="1"/>
      <c r="K38" s="1"/>
      <c r="L38" s="1"/>
      <c r="M38" s="1"/>
    </row>
    <row r="39" ht="15" customHeight="1">
      <c r="A39" s="1"/>
      <c r="B39" s="1" t="s">
        <v>857</v>
      </c>
      <c r="C39" s="76" t="s">
        <v>887</v>
      </c>
      <c r="D39" s="1"/>
      <c r="E39" s="1"/>
      <c r="F39" s="1"/>
      <c r="G39" s="1"/>
      <c r="H39" s="1"/>
      <c r="I39" s="1"/>
      <c r="J39" s="1"/>
      <c r="K39" s="1"/>
      <c r="L39" s="1"/>
      <c r="M39" s="1"/>
    </row>
    <row r="40" ht="15" customHeight="1">
      <c r="A40" s="1"/>
      <c r="B40" s="1" t="s">
        <v>888</v>
      </c>
      <c r="C40" s="46">
        <v>18</v>
      </c>
      <c r="D40" s="33"/>
      <c r="E40" s="33"/>
      <c r="F40" s="33"/>
      <c r="G40" s="33"/>
      <c r="H40" s="33"/>
      <c r="I40" s="33"/>
      <c r="J40" s="33"/>
      <c r="K40" s="1"/>
      <c r="L40" s="1"/>
      <c r="M40" s="1"/>
    </row>
    <row r="41" ht="15" customHeight="1">
      <c r="A41" s="1"/>
      <c r="B41" s="1" t="s">
        <v>889</v>
      </c>
      <c r="C41" s="46">
        <v>18</v>
      </c>
      <c r="D41" s="33"/>
      <c r="E41" s="33"/>
      <c r="F41" s="33"/>
      <c r="G41" s="33"/>
      <c r="H41" s="33"/>
      <c r="I41" s="33"/>
      <c r="J41" s="33"/>
      <c r="K41" s="1"/>
      <c r="L41" s="1"/>
      <c r="M41" s="1"/>
    </row>
    <row r="42" ht="15" customHeight="1">
      <c r="A42" s="1"/>
      <c r="B42" s="1" t="s">
        <v>890</v>
      </c>
      <c r="C42" s="1"/>
      <c r="D42" s="1"/>
      <c r="E42" s="1"/>
      <c r="F42" s="1"/>
      <c r="G42" s="1"/>
      <c r="H42" s="1"/>
      <c r="I42" s="1"/>
      <c r="J42" s="1"/>
      <c r="K42" s="1" t="s">
        <v>891</v>
      </c>
      <c r="L42" s="1"/>
      <c r="M42" s="1"/>
    </row>
    <row r="43" ht="15" customHeight="1">
      <c r="A43" s="1"/>
      <c r="B43" s="1" t="s">
        <v>892</v>
      </c>
      <c r="C43" s="67">
        <v>2.01</v>
      </c>
      <c r="D43" s="20"/>
      <c r="E43" s="20"/>
      <c r="F43" s="20"/>
      <c r="G43" s="20"/>
      <c r="H43" s="20"/>
      <c r="I43" s="20"/>
      <c r="J43" s="20"/>
      <c r="K43" s="1"/>
      <c r="L43" s="1"/>
      <c r="M43" s="1"/>
    </row>
    <row r="44" ht="15" customHeight="1">
      <c r="A44" s="1"/>
      <c r="B44" s="1" t="s">
        <v>893</v>
      </c>
      <c r="C44" s="67">
        <v>2</v>
      </c>
      <c r="D44" s="20"/>
      <c r="E44" s="20"/>
      <c r="F44" s="20"/>
      <c r="G44" s="20"/>
      <c r="H44" s="20"/>
      <c r="I44" s="20"/>
      <c r="J44" s="20"/>
      <c r="K44" s="1"/>
      <c r="L44" s="1"/>
      <c r="M44" s="1"/>
    </row>
    <row r="45" ht="15" customHeight="1">
      <c r="A45" s="1"/>
      <c r="B45" s="1" t="s">
        <v>894</v>
      </c>
      <c r="C45" s="67">
        <v>2.09</v>
      </c>
      <c r="D45" s="20"/>
      <c r="E45" s="20"/>
      <c r="F45" s="20"/>
      <c r="G45" s="20"/>
      <c r="H45" s="20"/>
      <c r="I45" s="20"/>
      <c r="J45" s="20"/>
      <c r="K45" s="1"/>
      <c r="L45" s="1"/>
      <c r="M45" s="1"/>
    </row>
    <row r="46" ht="15" customHeight="1">
      <c r="A46" s="1"/>
      <c r="B46" s="1" t="s">
        <v>895</v>
      </c>
      <c r="C46" s="67">
        <v>1.96</v>
      </c>
      <c r="D46" s="20"/>
      <c r="E46" s="20"/>
      <c r="F46" s="20"/>
      <c r="G46" s="20"/>
      <c r="H46" s="20"/>
      <c r="I46" s="20"/>
      <c r="J46" s="20"/>
      <c r="K46" s="1"/>
      <c r="L46" s="1"/>
      <c r="M46" s="1"/>
    </row>
    <row r="47" ht="15" customHeight="1">
      <c r="A47" s="1"/>
      <c r="B47" s="1" t="s">
        <v>896</v>
      </c>
      <c r="C47" s="67">
        <v>0.03</v>
      </c>
      <c r="D47" s="20"/>
      <c r="E47" s="20"/>
      <c r="F47" s="20"/>
      <c r="G47" s="20"/>
      <c r="H47" s="20"/>
      <c r="I47" s="20"/>
      <c r="J47" s="20"/>
      <c r="K47" s="1"/>
      <c r="L47" s="1"/>
      <c r="M47" s="1"/>
    </row>
    <row r="48" ht="15" customHeight="1">
      <c r="A48" s="1"/>
      <c r="B48" s="1" t="s">
        <v>897</v>
      </c>
      <c r="C48" s="46">
        <v>18</v>
      </c>
      <c r="D48" s="33"/>
      <c r="E48" s="33"/>
      <c r="F48" s="33"/>
      <c r="G48" s="33"/>
      <c r="H48" s="33"/>
      <c r="I48" s="33"/>
      <c r="J48" s="33"/>
      <c r="K48" s="1"/>
      <c r="L48" s="1"/>
      <c r="M48" s="1"/>
    </row>
    <row r="49" ht="15" customHeight="1">
      <c r="A49" s="1"/>
      <c r="B49" s="1" t="s">
        <v>898</v>
      </c>
      <c r="C49" s="1"/>
      <c r="D49" s="1"/>
      <c r="E49" s="1"/>
      <c r="F49" s="1"/>
      <c r="G49" s="1"/>
      <c r="H49" s="1"/>
      <c r="I49" s="1"/>
      <c r="J49" s="1"/>
      <c r="K49" s="1" t="s">
        <v>891</v>
      </c>
      <c r="L49" s="1"/>
      <c r="M49" s="1"/>
    </row>
    <row r="50" ht="15" customHeight="1">
      <c r="A50" s="1"/>
      <c r="B50" s="1" t="s">
        <v>899</v>
      </c>
      <c r="C50" s="1"/>
      <c r="D50" s="1"/>
      <c r="E50" s="1"/>
      <c r="F50" s="1"/>
      <c r="G50" s="1"/>
      <c r="H50" s="1"/>
      <c r="I50" s="1"/>
      <c r="J50" s="1"/>
      <c r="K50" s="1" t="s">
        <v>891</v>
      </c>
      <c r="L50" s="1"/>
      <c r="M50" s="1"/>
    </row>
    <row r="51" ht="15" customHeight="1">
      <c r="A51" s="1"/>
      <c r="B51" s="1" t="s">
        <v>900</v>
      </c>
      <c r="C51" s="1"/>
      <c r="D51" s="1"/>
      <c r="E51" s="1"/>
      <c r="F51" s="1"/>
      <c r="G51" s="1"/>
      <c r="H51" s="1"/>
      <c r="I51" s="1"/>
      <c r="J51" s="1"/>
      <c r="K51" s="1" t="s">
        <v>891</v>
      </c>
      <c r="L51" s="1"/>
      <c r="M51" s="1"/>
    </row>
    <row r="52" ht="15" customHeight="1">
      <c r="A52" s="1"/>
      <c r="B52" s="1" t="s">
        <v>901</v>
      </c>
      <c r="C52" s="67">
        <v>2.2</v>
      </c>
      <c r="D52" s="20"/>
      <c r="E52" s="20"/>
      <c r="F52" s="20"/>
      <c r="G52" s="20"/>
      <c r="H52" s="20"/>
      <c r="I52" s="20"/>
      <c r="J52" s="20"/>
      <c r="K52" s="1"/>
      <c r="L52" s="1"/>
      <c r="M52" s="1"/>
    </row>
    <row r="53" ht="15" customHeight="1">
      <c r="A53" s="1"/>
      <c r="B53" s="1" t="s">
        <v>902</v>
      </c>
      <c r="C53" s="67">
        <v>2.21</v>
      </c>
      <c r="D53" s="20"/>
      <c r="E53" s="20"/>
      <c r="F53" s="20"/>
      <c r="G53" s="20"/>
      <c r="H53" s="20"/>
      <c r="I53" s="20"/>
      <c r="J53" s="20"/>
      <c r="K53" s="1"/>
      <c r="L53" s="1"/>
      <c r="M53" s="1"/>
    </row>
    <row r="54" ht="15" customHeight="1">
      <c r="A54" s="1"/>
      <c r="B54" s="1" t="s">
        <v>903</v>
      </c>
      <c r="C54" s="67">
        <v>2.32</v>
      </c>
      <c r="D54" s="20"/>
      <c r="E54" s="20"/>
      <c r="F54" s="20"/>
      <c r="G54" s="20"/>
      <c r="H54" s="20"/>
      <c r="I54" s="20"/>
      <c r="J54" s="20"/>
      <c r="K54" s="1"/>
      <c r="L54" s="1"/>
      <c r="M54" s="1"/>
    </row>
    <row r="55" ht="15" customHeight="1">
      <c r="A55" s="1"/>
      <c r="B55" s="1" t="s">
        <v>904</v>
      </c>
      <c r="C55" s="67">
        <v>2.01</v>
      </c>
      <c r="D55" s="20"/>
      <c r="E55" s="20"/>
      <c r="F55" s="20"/>
      <c r="G55" s="20"/>
      <c r="H55" s="20"/>
      <c r="I55" s="20"/>
      <c r="J55" s="20"/>
      <c r="K55" s="1"/>
      <c r="L55" s="1"/>
      <c r="M55" s="1"/>
    </row>
    <row r="56" ht="15" customHeight="1">
      <c r="A56" s="1"/>
      <c r="B56" s="1" t="s">
        <v>905</v>
      </c>
      <c r="C56" s="67">
        <v>0.11</v>
      </c>
      <c r="D56" s="20"/>
      <c r="E56" s="20"/>
      <c r="F56" s="20"/>
      <c r="G56" s="20"/>
      <c r="H56" s="20"/>
      <c r="I56" s="20"/>
      <c r="J56" s="20"/>
      <c r="K56" s="1"/>
      <c r="L56" s="1"/>
      <c r="M56" s="1"/>
    </row>
    <row r="57" ht="15" customHeight="1">
      <c r="A57" s="1"/>
      <c r="B57" s="1" t="s">
        <v>906</v>
      </c>
      <c r="C57" s="46">
        <v>8</v>
      </c>
      <c r="D57" s="33"/>
      <c r="E57" s="33"/>
      <c r="F57" s="33"/>
      <c r="G57" s="33"/>
      <c r="H57" s="33"/>
      <c r="I57" s="33"/>
      <c r="J57" s="33"/>
      <c r="K57" s="1"/>
      <c r="L57" s="1"/>
      <c r="M57" s="1"/>
    </row>
    <row r="58" ht="15" customHeight="1">
      <c r="A58" s="1"/>
      <c r="B58" s="1" t="s">
        <v>907</v>
      </c>
      <c r="C58" s="1"/>
      <c r="D58" s="1"/>
      <c r="E58" s="1"/>
      <c r="F58" s="1"/>
      <c r="G58" s="1"/>
      <c r="H58" s="1"/>
      <c r="I58" s="1"/>
      <c r="J58" s="1"/>
      <c r="K58" s="1" t="s">
        <v>891</v>
      </c>
      <c r="L58" s="1"/>
      <c r="M58" s="1"/>
    </row>
    <row r="59" ht="15" customHeight="1">
      <c r="A59" s="1"/>
      <c r="B59" s="1" t="s">
        <v>908</v>
      </c>
      <c r="C59" s="1"/>
      <c r="D59" s="1"/>
      <c r="E59" s="1"/>
      <c r="F59" s="1"/>
      <c r="G59" s="1"/>
      <c r="H59" s="1"/>
      <c r="I59" s="1"/>
      <c r="J59" s="1"/>
      <c r="K59" s="1" t="s">
        <v>891</v>
      </c>
      <c r="L59" s="1"/>
      <c r="M59" s="1"/>
    </row>
    <row r="60" ht="15" customHeight="1">
      <c r="A60" s="1"/>
      <c r="B60" s="1" t="s">
        <v>909</v>
      </c>
      <c r="C60" s="1"/>
      <c r="D60" s="1"/>
      <c r="E60" s="1"/>
      <c r="F60" s="1"/>
      <c r="G60" s="1"/>
      <c r="H60" s="1"/>
      <c r="I60" s="1"/>
      <c r="J60" s="1"/>
      <c r="K60" s="1" t="s">
        <v>891</v>
      </c>
      <c r="L60" s="1"/>
      <c r="M60" s="1"/>
    </row>
    <row r="61" ht="15" customHeight="1">
      <c r="A61" s="1"/>
      <c r="B61" s="1" t="s">
        <v>910</v>
      </c>
      <c r="C61" s="77">
        <v>12877.84</v>
      </c>
      <c r="D61" s="48"/>
      <c r="E61" s="48"/>
      <c r="F61" s="48"/>
      <c r="G61" s="48"/>
      <c r="H61" s="48"/>
      <c r="I61" s="48"/>
      <c r="J61" s="48"/>
      <c r="K61" s="1"/>
      <c r="L61" s="1"/>
      <c r="M61" s="1"/>
    </row>
    <row r="62" ht="15" customHeight="1">
      <c r="A62" s="1"/>
      <c r="B62" s="1" t="s">
        <v>911</v>
      </c>
      <c r="C62" s="77">
        <v>12863.55</v>
      </c>
      <c r="D62" s="48"/>
      <c r="E62" s="48"/>
      <c r="F62" s="48"/>
      <c r="G62" s="48"/>
      <c r="H62" s="48"/>
      <c r="I62" s="48"/>
      <c r="J62" s="48"/>
      <c r="K62" s="1"/>
      <c r="L62" s="1"/>
      <c r="M62" s="1"/>
    </row>
    <row r="63" ht="15" customHeight="1">
      <c r="A63" s="1"/>
      <c r="B63" s="1" t="s">
        <v>912</v>
      </c>
      <c r="C63" s="77">
        <v>13133</v>
      </c>
      <c r="D63" s="48"/>
      <c r="E63" s="48"/>
      <c r="F63" s="48"/>
      <c r="G63" s="48"/>
      <c r="H63" s="48"/>
      <c r="I63" s="48"/>
      <c r="J63" s="48"/>
      <c r="K63" s="1"/>
      <c r="L63" s="1"/>
      <c r="M63" s="1"/>
    </row>
    <row r="64" ht="15" customHeight="1">
      <c r="A64" s="1"/>
      <c r="B64" s="1" t="s">
        <v>913</v>
      </c>
      <c r="C64" s="77">
        <v>12554</v>
      </c>
      <c r="D64" s="48"/>
      <c r="E64" s="48"/>
      <c r="F64" s="48"/>
      <c r="G64" s="48"/>
      <c r="H64" s="48"/>
      <c r="I64" s="48"/>
      <c r="J64" s="48"/>
      <c r="K64" s="1"/>
      <c r="L64" s="1"/>
      <c r="M64" s="1"/>
    </row>
    <row r="65" ht="15" customHeight="1">
      <c r="A65" s="1"/>
      <c r="B65" s="1" t="s">
        <v>914</v>
      </c>
      <c r="C65" s="77">
        <v>165.09</v>
      </c>
      <c r="D65" s="48"/>
      <c r="E65" s="48"/>
      <c r="F65" s="48"/>
      <c r="G65" s="48"/>
      <c r="H65" s="48"/>
      <c r="I65" s="48"/>
      <c r="J65" s="48"/>
      <c r="K65" s="1"/>
      <c r="L65" s="1"/>
      <c r="M65" s="1"/>
    </row>
    <row r="66" ht="15" customHeight="1">
      <c r="A66" s="1"/>
      <c r="B66" s="1" t="s">
        <v>915</v>
      </c>
      <c r="C66" s="46">
        <v>13</v>
      </c>
      <c r="D66" s="33"/>
      <c r="E66" s="33"/>
      <c r="F66" s="33"/>
      <c r="G66" s="33"/>
      <c r="H66" s="33"/>
      <c r="I66" s="33"/>
      <c r="J66" s="33"/>
      <c r="K66" s="1"/>
      <c r="L66" s="1"/>
      <c r="M66" s="1"/>
    </row>
    <row r="67" ht="15" customHeight="1">
      <c r="A67" s="1"/>
      <c r="B67" s="1" t="s">
        <v>916</v>
      </c>
      <c r="C67" s="1"/>
      <c r="D67" s="1"/>
      <c r="E67" s="1"/>
      <c r="F67" s="1"/>
      <c r="G67" s="1"/>
      <c r="H67" s="1"/>
      <c r="I67" s="1"/>
      <c r="J67" s="1"/>
      <c r="K67" s="1" t="s">
        <v>891</v>
      </c>
      <c r="L67" s="1"/>
      <c r="M67" s="1"/>
    </row>
    <row r="68" ht="15" customHeight="1">
      <c r="A68" s="1"/>
      <c r="B68" s="1" t="s">
        <v>917</v>
      </c>
      <c r="C68" s="1"/>
      <c r="D68" s="1"/>
      <c r="E68" s="1"/>
      <c r="F68" s="1"/>
      <c r="G68" s="1"/>
      <c r="H68" s="1"/>
      <c r="I68" s="1"/>
      <c r="J68" s="1"/>
      <c r="K68" s="1" t="s">
        <v>891</v>
      </c>
      <c r="L68" s="1"/>
      <c r="M68" s="1"/>
    </row>
    <row r="69" ht="15" customHeight="1">
      <c r="A69" s="1"/>
      <c r="B69" s="1" t="s">
        <v>918</v>
      </c>
      <c r="C69" s="1"/>
      <c r="D69" s="1"/>
      <c r="E69" s="1"/>
      <c r="F69" s="1"/>
      <c r="G69" s="1"/>
      <c r="H69" s="1"/>
      <c r="I69" s="1"/>
      <c r="J69" s="1"/>
      <c r="K69" s="1" t="s">
        <v>891</v>
      </c>
      <c r="L69" s="1"/>
      <c r="M69" s="1"/>
    </row>
    <row r="70" ht="15" customHeight="1">
      <c r="A70" s="1"/>
      <c r="B70" s="1" t="s">
        <v>919</v>
      </c>
      <c r="C70" s="77">
        <v>3088.56</v>
      </c>
      <c r="D70" s="48"/>
      <c r="E70" s="48"/>
      <c r="F70" s="48"/>
      <c r="G70" s="48"/>
      <c r="H70" s="48"/>
      <c r="I70" s="48"/>
      <c r="J70" s="48"/>
      <c r="K70" s="1" t="s">
        <v>920</v>
      </c>
      <c r="L70" s="1"/>
      <c r="M70" s="1"/>
    </row>
    <row r="71" ht="15" customHeight="1">
      <c r="A71" s="1"/>
      <c r="B71" s="1" t="s">
        <v>921</v>
      </c>
      <c r="C71" s="77">
        <v>2810.36</v>
      </c>
      <c r="D71" s="48"/>
      <c r="E71" s="48"/>
      <c r="F71" s="48"/>
      <c r="G71" s="48"/>
      <c r="H71" s="48"/>
      <c r="I71" s="48"/>
      <c r="J71" s="48"/>
      <c r="K71" s="1"/>
      <c r="L71" s="1"/>
      <c r="M71" s="1"/>
    </row>
    <row r="72" ht="15" customHeight="1">
      <c r="A72" s="1"/>
      <c r="B72" s="1" t="s">
        <v>922</v>
      </c>
      <c r="C72" s="77">
        <v>2499.7</v>
      </c>
      <c r="D72" s="48"/>
      <c r="E72" s="48"/>
      <c r="F72" s="48"/>
      <c r="G72" s="48"/>
      <c r="H72" s="48"/>
      <c r="I72" s="48"/>
      <c r="J72" s="48"/>
      <c r="K72" s="1"/>
      <c r="L72" s="1"/>
      <c r="M72" s="1"/>
    </row>
    <row r="73" ht="15" customHeight="1">
      <c r="A73" s="1"/>
      <c r="B73" s="1" t="s">
        <v>923</v>
      </c>
      <c r="C73" s="77">
        <v>2772.81</v>
      </c>
      <c r="D73" s="48"/>
      <c r="E73" s="48"/>
      <c r="F73" s="48"/>
      <c r="G73" s="48"/>
      <c r="H73" s="48"/>
      <c r="I73" s="48"/>
      <c r="J73" s="48"/>
      <c r="K73" s="1"/>
      <c r="L73" s="1"/>
      <c r="M73" s="1"/>
    </row>
    <row r="74" ht="15" customHeight="1">
      <c r="A74" s="1"/>
      <c r="B74" s="1" t="s">
        <v>924</v>
      </c>
      <c r="C74" s="77">
        <v>2099.25</v>
      </c>
      <c r="D74" s="48"/>
      <c r="E74" s="48"/>
      <c r="F74" s="48"/>
      <c r="G74" s="48"/>
      <c r="H74" s="48"/>
      <c r="I74" s="48"/>
      <c r="J74" s="48"/>
      <c r="K74" s="1"/>
      <c r="L74" s="1"/>
      <c r="M74" s="1"/>
    </row>
    <row r="75" ht="15" customHeight="1">
      <c r="A75" s="1"/>
      <c r="B75" s="1" t="s">
        <v>925</v>
      </c>
      <c r="C75" s="77">
        <v>2332.45</v>
      </c>
      <c r="D75" s="48"/>
      <c r="E75" s="48"/>
      <c r="F75" s="48"/>
      <c r="G75" s="48"/>
      <c r="H75" s="48"/>
      <c r="I75" s="48"/>
      <c r="J75" s="48"/>
      <c r="K75" s="1"/>
      <c r="L75" s="1"/>
      <c r="M75" s="1"/>
    </row>
    <row r="76" ht="15" customHeight="1">
      <c r="A76" s="1"/>
      <c r="B76" s="1" t="s">
        <v>926</v>
      </c>
      <c r="C76" s="1"/>
      <c r="D76" s="1"/>
      <c r="E76" s="1"/>
      <c r="F76" s="1"/>
      <c r="G76" s="1"/>
      <c r="H76" s="1"/>
      <c r="I76" s="1"/>
      <c r="J76" s="1"/>
      <c r="K76" s="1" t="s">
        <v>891</v>
      </c>
      <c r="L76" s="1"/>
      <c r="M76" s="1"/>
    </row>
    <row r="77" ht="15" customHeight="1">
      <c r="A77" s="1"/>
      <c r="B77" s="1" t="s">
        <v>927</v>
      </c>
      <c r="C77" s="1"/>
      <c r="D77" s="1"/>
      <c r="E77" s="1"/>
      <c r="F77" s="1"/>
      <c r="G77" s="1"/>
      <c r="H77" s="1"/>
      <c r="I77" s="1"/>
      <c r="J77" s="1"/>
      <c r="K77" s="1" t="s">
        <v>891</v>
      </c>
      <c r="L77" s="1"/>
      <c r="M77" s="1"/>
    </row>
    <row r="78" ht="15" customHeight="1">
      <c r="A78" s="1"/>
      <c r="B78" s="1" t="s">
        <v>928</v>
      </c>
      <c r="C78" s="77">
        <v>321</v>
      </c>
      <c r="D78" s="48"/>
      <c r="E78" s="48"/>
      <c r="F78" s="48"/>
      <c r="G78" s="48"/>
      <c r="H78" s="48"/>
      <c r="I78" s="48"/>
      <c r="J78" s="48"/>
      <c r="K78" s="1"/>
      <c r="L78" s="1"/>
      <c r="M78" s="1"/>
    </row>
    <row r="79" ht="15" customHeight="1">
      <c r="A79" s="1"/>
      <c r="B79" s="1" t="s">
        <v>929</v>
      </c>
      <c r="C79" s="1"/>
      <c r="D79" s="1"/>
      <c r="E79" s="1"/>
      <c r="F79" s="1"/>
      <c r="G79" s="1"/>
      <c r="H79" s="1"/>
      <c r="I79" s="1"/>
      <c r="J79" s="1"/>
      <c r="K79" s="1" t="s">
        <v>891</v>
      </c>
      <c r="L79" s="1"/>
      <c r="M79" s="1"/>
    </row>
    <row r="80" ht="15" customHeight="1">
      <c r="A80" s="1"/>
      <c r="B80" s="1" t="s">
        <v>930</v>
      </c>
      <c r="C80" s="1"/>
      <c r="D80" s="1"/>
      <c r="E80" s="1"/>
      <c r="F80" s="1"/>
      <c r="G80" s="1"/>
      <c r="H80" s="1"/>
      <c r="I80" s="1"/>
      <c r="J80" s="1"/>
      <c r="K80" s="1" t="s">
        <v>891</v>
      </c>
      <c r="L80" s="1"/>
      <c r="M80" s="1"/>
    </row>
    <row r="81" ht="15" customHeight="1">
      <c r="A81" s="1"/>
      <c r="B81" s="1" t="s">
        <v>931</v>
      </c>
      <c r="C81" s="1"/>
      <c r="D81" s="1"/>
      <c r="E81" s="1"/>
      <c r="F81" s="1"/>
      <c r="G81" s="1"/>
      <c r="H81" s="1"/>
      <c r="I81" s="1"/>
      <c r="J81" s="1"/>
      <c r="K81" s="1" t="s">
        <v>891</v>
      </c>
      <c r="L81" s="1"/>
      <c r="M81" s="1"/>
    </row>
    <row r="82" ht="15" customHeight="1">
      <c r="A82" s="1"/>
      <c r="B82" s="1" t="s">
        <v>932</v>
      </c>
      <c r="C82" s="77">
        <v>-221.5</v>
      </c>
      <c r="D82" s="48"/>
      <c r="E82" s="48"/>
      <c r="F82" s="48"/>
      <c r="G82" s="48"/>
      <c r="H82" s="48"/>
      <c r="I82" s="48"/>
      <c r="J82" s="48"/>
      <c r="K82" s="1"/>
      <c r="L82" s="1"/>
      <c r="M82" s="1"/>
    </row>
    <row r="83" ht="15" customHeight="1">
      <c r="A83" s="1"/>
      <c r="B83" s="1" t="s">
        <v>933</v>
      </c>
      <c r="C83" s="77">
        <v>10184.42</v>
      </c>
      <c r="D83" s="48"/>
      <c r="E83" s="48"/>
      <c r="F83" s="48"/>
      <c r="G83" s="48"/>
      <c r="H83" s="48"/>
      <c r="I83" s="48"/>
      <c r="J83" s="48"/>
      <c r="K83" s="1"/>
      <c r="L83" s="1"/>
      <c r="M83" s="1"/>
    </row>
    <row r="84" ht="15" customHeight="1">
      <c r="A84" s="1"/>
      <c r="B84" s="1" t="s">
        <v>934</v>
      </c>
      <c r="C84" s="1"/>
      <c r="D84" s="1"/>
      <c r="E84" s="1"/>
      <c r="F84" s="1"/>
      <c r="G84" s="1"/>
      <c r="H84" s="1"/>
      <c r="I84" s="1"/>
      <c r="J84" s="1"/>
      <c r="K84" s="1" t="s">
        <v>891</v>
      </c>
      <c r="L84" s="1"/>
      <c r="M84" s="1"/>
    </row>
    <row r="85" ht="15" customHeight="1">
      <c r="A85" s="1"/>
      <c r="B85" s="1" t="s">
        <v>935</v>
      </c>
      <c r="C85" s="1"/>
      <c r="D85" s="1"/>
      <c r="E85" s="1"/>
      <c r="F85" s="1"/>
      <c r="G85" s="1"/>
      <c r="H85" s="1"/>
      <c r="I85" s="1"/>
      <c r="J85" s="1"/>
      <c r="K85" s="1" t="s">
        <v>891</v>
      </c>
      <c r="L85" s="1"/>
      <c r="M85" s="1"/>
    </row>
    <row r="86" ht="15" customHeight="1">
      <c r="A86" s="1"/>
      <c r="B86" s="1" t="s">
        <v>936</v>
      </c>
      <c r="C86" s="67">
        <v>391.19</v>
      </c>
      <c r="D86" s="20"/>
      <c r="E86" s="20"/>
      <c r="F86" s="20"/>
      <c r="G86" s="20"/>
      <c r="H86" s="20"/>
      <c r="I86" s="20"/>
      <c r="J86" s="20"/>
      <c r="K86" s="1"/>
      <c r="L86" s="1"/>
      <c r="M86" s="1"/>
    </row>
    <row r="87" ht="15" customHeight="1">
      <c r="A87" s="1"/>
      <c r="B87" s="1" t="s">
        <v>937</v>
      </c>
      <c r="C87" s="67">
        <v>400</v>
      </c>
      <c r="D87" s="20"/>
      <c r="E87" s="20"/>
      <c r="F87" s="20"/>
      <c r="G87" s="20"/>
      <c r="H87" s="20"/>
      <c r="I87" s="20"/>
      <c r="J87" s="20"/>
      <c r="K87" s="1"/>
      <c r="L87" s="1"/>
      <c r="M87" s="1"/>
    </row>
    <row r="88" ht="15" customHeight="1">
      <c r="A88" s="1"/>
      <c r="B88" s="1" t="s">
        <v>938</v>
      </c>
      <c r="C88" s="67">
        <v>435</v>
      </c>
      <c r="D88" s="20"/>
      <c r="E88" s="20"/>
      <c r="F88" s="20"/>
      <c r="G88" s="20"/>
      <c r="H88" s="20"/>
      <c r="I88" s="20"/>
      <c r="J88" s="20"/>
      <c r="K88" s="1"/>
      <c r="L88" s="1"/>
      <c r="M88" s="1"/>
    </row>
    <row r="89" ht="15" customHeight="1">
      <c r="A89" s="1"/>
      <c r="B89" s="1" t="s">
        <v>939</v>
      </c>
      <c r="C89" s="67">
        <v>305</v>
      </c>
      <c r="D89" s="20"/>
      <c r="E89" s="20"/>
      <c r="F89" s="20"/>
      <c r="G89" s="20"/>
      <c r="H89" s="20"/>
      <c r="I89" s="20"/>
      <c r="J89" s="20"/>
      <c r="K89" s="1"/>
      <c r="L89" s="1"/>
      <c r="M89" s="1"/>
    </row>
    <row r="90" ht="15" customHeight="1">
      <c r="A90" s="1"/>
      <c r="B90" s="1" t="s">
        <v>940</v>
      </c>
      <c r="C90" s="67">
        <v>30.16</v>
      </c>
      <c r="D90" s="20"/>
      <c r="E90" s="20"/>
      <c r="F90" s="20"/>
      <c r="G90" s="20"/>
      <c r="H90" s="20"/>
      <c r="I90" s="20"/>
      <c r="J90" s="20"/>
      <c r="K90" s="1"/>
      <c r="L90" s="1"/>
      <c r="M90" s="1"/>
    </row>
    <row r="91" ht="15" customHeight="1">
      <c r="A91" s="1"/>
      <c r="B91" s="1" t="s">
        <v>941</v>
      </c>
      <c r="C91" s="46">
        <v>21</v>
      </c>
      <c r="D91" s="33"/>
      <c r="E91" s="33"/>
      <c r="F91" s="33"/>
      <c r="G91" s="33"/>
      <c r="H91" s="33"/>
      <c r="I91" s="33"/>
      <c r="J91" s="33"/>
      <c r="K91" s="1"/>
      <c r="L91" s="1"/>
      <c r="M91" s="1"/>
    </row>
    <row r="92" ht="15" customHeight="1">
      <c r="A92" s="1"/>
      <c r="B92" s="1" t="s">
        <v>942</v>
      </c>
      <c r="C92" s="76" t="s">
        <v>943</v>
      </c>
      <c r="D92" s="1"/>
      <c r="E92" s="1"/>
      <c r="F92" s="1"/>
      <c r="G92" s="1"/>
      <c r="H92" s="1"/>
      <c r="I92" s="1"/>
      <c r="J92" s="1"/>
      <c r="K92" s="1"/>
      <c r="L92" s="1"/>
      <c r="M92" s="1"/>
    </row>
    <row r="93" ht="15" customHeight="1">
      <c r="A93" s="1"/>
      <c r="B93" s="1" t="s">
        <v>944</v>
      </c>
      <c r="C93" s="77">
        <v>1.52</v>
      </c>
      <c r="D93" s="48"/>
      <c r="E93" s="48"/>
      <c r="F93" s="48"/>
      <c r="G93" s="48"/>
      <c r="H93" s="48"/>
      <c r="I93" s="48"/>
      <c r="J93" s="48"/>
      <c r="K93" s="1"/>
      <c r="L93" s="1"/>
      <c r="M93" s="1"/>
    </row>
    <row r="94" ht="15" customHeight="1">
      <c r="A94" s="1"/>
      <c r="B94" s="1" t="s">
        <v>945</v>
      </c>
      <c r="C94" s="67">
        <v>313.83</v>
      </c>
      <c r="D94" s="20"/>
      <c r="E94" s="20"/>
      <c r="F94" s="20"/>
      <c r="G94" s="20"/>
      <c r="H94" s="20"/>
      <c r="I94" s="20"/>
      <c r="J94" s="20"/>
      <c r="K94" s="1"/>
      <c r="L94" s="1"/>
      <c r="M94" s="1"/>
    </row>
    <row r="95" ht="15" customHeight="1">
      <c r="A95" s="1"/>
      <c r="B95" s="1" t="s">
        <v>946</v>
      </c>
      <c r="C95" s="76" t="s">
        <v>947</v>
      </c>
      <c r="D95" s="1"/>
      <c r="E95" s="1"/>
      <c r="F95" s="1"/>
      <c r="G95" s="1"/>
      <c r="H95" s="1"/>
      <c r="I95" s="1"/>
      <c r="J95" s="1"/>
      <c r="K95" s="1"/>
      <c r="L95" s="1"/>
      <c r="M95" s="1"/>
    </row>
    <row r="96" ht="15" customHeight="1">
      <c r="A96" s="1"/>
      <c r="B96" s="1" t="s">
        <v>948</v>
      </c>
      <c r="C96" s="76" t="s">
        <v>747</v>
      </c>
      <c r="D96" s="1"/>
      <c r="E96" s="1"/>
      <c r="F96" s="1"/>
      <c r="G96" s="1"/>
      <c r="H96" s="1"/>
      <c r="I96" s="1"/>
      <c r="J96" s="1"/>
      <c r="K96" s="1"/>
      <c r="L96" s="1"/>
      <c r="M96" s="1"/>
    </row>
    <row r="97" ht="15" customHeight="1">
      <c r="A97" s="1"/>
      <c r="B97" s="1" t="s">
        <v>949</v>
      </c>
      <c r="C97" s="76" t="s">
        <v>950</v>
      </c>
      <c r="D97" s="1"/>
      <c r="E97" s="1"/>
      <c r="F97" s="1"/>
      <c r="G97" s="1"/>
      <c r="H97" s="1"/>
      <c r="I97" s="1"/>
      <c r="J97" s="1"/>
      <c r="K97" s="1"/>
      <c r="L97" s="1"/>
      <c r="M97" s="1"/>
    </row>
    <row r="98" ht="15" customHeight="1">
      <c r="A98" s="1"/>
      <c r="B98" s="28" t="s">
        <v>951</v>
      </c>
      <c r="C98" s="29"/>
      <c r="D98" s="29"/>
      <c r="E98" s="29"/>
      <c r="F98" s="29"/>
      <c r="G98" s="29"/>
      <c r="H98" s="29"/>
      <c r="I98" s="29"/>
      <c r="J98" s="29"/>
      <c r="K98" s="29" t="s">
        <v>952</v>
      </c>
      <c r="L98" s="1"/>
      <c r="M98" s="1"/>
    </row>
    <row r="99" ht="15" customHeight="1">
      <c r="A99" s="1"/>
      <c r="B99" s="1" t="s">
        <v>853</v>
      </c>
      <c r="C99" s="78" t="s">
        <v>953</v>
      </c>
      <c r="D99" s="78" t="s">
        <v>954</v>
      </c>
      <c r="E99" s="78" t="s">
        <v>955</v>
      </c>
      <c r="F99" s="78" t="s">
        <v>956</v>
      </c>
      <c r="G99" s="40"/>
      <c r="H99" s="78" t="s">
        <v>957</v>
      </c>
      <c r="I99" s="78" t="s">
        <v>958</v>
      </c>
      <c r="J99" s="1"/>
      <c r="K99" s="1"/>
      <c r="L99" s="1"/>
      <c r="M99" s="1"/>
    </row>
    <row r="100" ht="15" customHeight="1">
      <c r="A100" s="1"/>
      <c r="B100" s="1" t="s">
        <v>959</v>
      </c>
      <c r="C100" s="78" t="s">
        <v>754</v>
      </c>
      <c r="D100" s="78" t="s">
        <v>663</v>
      </c>
      <c r="E100" s="78" t="s">
        <v>674</v>
      </c>
      <c r="F100" s="78" t="s">
        <v>683</v>
      </c>
      <c r="G100" s="40"/>
      <c r="H100" s="78" t="s">
        <v>694</v>
      </c>
      <c r="I100" s="78" t="s">
        <v>699</v>
      </c>
      <c r="J100" s="1"/>
      <c r="K100" s="1"/>
      <c r="L100" s="1"/>
      <c r="M100" s="1"/>
    </row>
    <row r="101" ht="15" customHeight="1">
      <c r="A101" s="1"/>
      <c r="B101" s="1" t="s">
        <v>960</v>
      </c>
      <c r="C101" s="67">
        <v>1.27</v>
      </c>
      <c r="D101" s="67">
        <v>1.43</v>
      </c>
      <c r="E101" s="67">
        <v>1.47</v>
      </c>
      <c r="F101" s="67">
        <v>1.43</v>
      </c>
      <c r="G101" s="20"/>
      <c r="H101" s="67">
        <v>1.6</v>
      </c>
      <c r="I101" s="67">
        <v>1.86</v>
      </c>
      <c r="J101" s="20"/>
      <c r="K101" s="1"/>
      <c r="L101" s="1"/>
      <c r="M101" s="1"/>
    </row>
    <row r="102" ht="15" customHeight="1">
      <c r="A102" s="1"/>
      <c r="B102" s="1" t="s">
        <v>961</v>
      </c>
      <c r="C102" s="67">
        <v>1.49</v>
      </c>
      <c r="D102" s="67">
        <v>1.66</v>
      </c>
      <c r="E102" s="67">
        <v>1.66</v>
      </c>
      <c r="F102" s="67">
        <v>1.57</v>
      </c>
      <c r="G102" s="20"/>
      <c r="H102" s="67">
        <v>1.86</v>
      </c>
      <c r="I102" s="67">
        <v>2.02</v>
      </c>
      <c r="J102" s="20"/>
      <c r="K102" s="1"/>
      <c r="L102" s="1"/>
      <c r="M102" s="1"/>
    </row>
    <row r="103" ht="15" customHeight="1">
      <c r="A103" s="1"/>
      <c r="B103" s="1" t="s">
        <v>962</v>
      </c>
      <c r="C103" s="67">
        <v>1.42</v>
      </c>
      <c r="D103" s="67">
        <v>1.53</v>
      </c>
      <c r="E103" s="67">
        <v>1.61</v>
      </c>
      <c r="F103" s="67">
        <v>1.58</v>
      </c>
      <c r="G103" s="20"/>
      <c r="H103" s="67">
        <v>1.72</v>
      </c>
      <c r="I103" s="67">
        <v>2.07</v>
      </c>
      <c r="J103" s="20"/>
      <c r="K103" s="1"/>
      <c r="L103" s="1"/>
      <c r="M103" s="1"/>
    </row>
    <row r="104" ht="15" customHeight="1">
      <c r="A104" s="1"/>
      <c r="B104" s="1" t="s">
        <v>963</v>
      </c>
      <c r="C104" s="67">
        <v>1.83</v>
      </c>
      <c r="D104" s="67">
        <v>1.87</v>
      </c>
      <c r="E104" s="67">
        <v>2.04</v>
      </c>
      <c r="F104" s="67">
        <v>2.31</v>
      </c>
      <c r="G104" s="20"/>
      <c r="H104" s="67">
        <v>1.83</v>
      </c>
      <c r="I104" s="67">
        <v>2.3</v>
      </c>
      <c r="J104" s="20"/>
      <c r="K104" s="1"/>
      <c r="L104" s="1"/>
      <c r="M104" s="1"/>
    </row>
    <row r="105" ht="15" customHeight="1">
      <c r="A105" s="1"/>
      <c r="B105" s="1" t="s">
        <v>964</v>
      </c>
      <c r="C105" s="77">
        <v>9047.75</v>
      </c>
      <c r="D105" s="77">
        <v>9583.67</v>
      </c>
      <c r="E105" s="77">
        <v>10414.25</v>
      </c>
      <c r="F105" s="77">
        <v>11196.11</v>
      </c>
      <c r="G105" s="48"/>
      <c r="H105" s="77">
        <v>10714.57</v>
      </c>
      <c r="I105" s="77">
        <v>11888.44</v>
      </c>
      <c r="J105" s="48"/>
      <c r="K105" s="1"/>
      <c r="L105" s="1"/>
      <c r="M105" s="1"/>
    </row>
    <row r="106" ht="15" customHeight="1">
      <c r="A106" s="1"/>
      <c r="B106" s="1" t="s">
        <v>965</v>
      </c>
      <c r="C106" s="77">
        <v>9001</v>
      </c>
      <c r="D106" s="77">
        <v>10151</v>
      </c>
      <c r="E106" s="77">
        <v>11305</v>
      </c>
      <c r="F106" s="77">
        <v>11865</v>
      </c>
      <c r="G106" s="48"/>
      <c r="H106" s="77">
        <v>11614</v>
      </c>
      <c r="I106" s="77">
        <v>12634</v>
      </c>
      <c r="J106" s="48"/>
      <c r="K106" s="1"/>
      <c r="L106" s="1"/>
      <c r="M106" s="1"/>
    </row>
    <row r="107" ht="15" customHeight="1">
      <c r="A107" s="1"/>
      <c r="B107" s="1" t="s">
        <v>966</v>
      </c>
      <c r="C107" s="20">
        <f t="shared" si="3" ref="C107:I107">IF(AND(ISNUMBER(C102),ISNUMBER(C101)),C102-C101,"")</f>
        <v>0.21999999999999997</v>
      </c>
      <c r="D107" s="20">
        <f t="shared" si="3"/>
        <v>0.22999999999999998</v>
      </c>
      <c r="E107" s="20">
        <f t="shared" si="3"/>
        <v>0.18999999999999995</v>
      </c>
      <c r="F107" s="20">
        <f t="shared" si="3"/>
        <v>0.14000000000000012</v>
      </c>
      <c r="G107" s="20"/>
      <c r="H107" s="20">
        <f t="shared" si="3"/>
        <v>0.26</v>
      </c>
      <c r="I107" s="20">
        <f t="shared" si="3"/>
        <v>0.15999999999999992</v>
      </c>
      <c r="J107" s="20"/>
      <c r="K107" s="1" t="s">
        <v>967</v>
      </c>
      <c r="L107" s="1"/>
      <c r="M107" s="1"/>
    </row>
    <row r="108" ht="15" customHeight="1">
      <c r="A108" s="1"/>
      <c r="B108" s="1" t="s">
        <v>968</v>
      </c>
      <c r="C108" s="33">
        <f t="shared" si="4" ref="C108:I108">IF(C102&gt;C101,1,0)</f>
        <v>1</v>
      </c>
      <c r="D108" s="33">
        <f t="shared" si="4"/>
        <v>1</v>
      </c>
      <c r="E108" s="33">
        <f t="shared" si="4"/>
        <v>1</v>
      </c>
      <c r="F108" s="33">
        <f t="shared" si="4"/>
        <v>1</v>
      </c>
      <c r="G108" s="33"/>
      <c r="H108" s="33">
        <f t="shared" si="4"/>
        <v>1</v>
      </c>
      <c r="I108" s="33">
        <f t="shared" si="4"/>
        <v>1</v>
      </c>
      <c r="J108" s="33"/>
      <c r="K108" s="1"/>
      <c r="L108" s="1"/>
      <c r="M108" s="1"/>
    </row>
    <row r="109" ht="15" customHeight="1">
      <c r="A109" s="1"/>
      <c r="B109" s="28" t="s">
        <v>969</v>
      </c>
      <c r="C109" s="29"/>
      <c r="D109" s="29"/>
      <c r="E109" s="29"/>
      <c r="F109" s="29"/>
      <c r="G109" s="29"/>
      <c r="H109" s="29"/>
      <c r="I109" s="29"/>
      <c r="J109" s="29"/>
      <c r="K109" s="29" t="s">
        <v>970</v>
      </c>
      <c r="L109" s="1"/>
      <c r="M109" s="1"/>
    </row>
    <row r="110" ht="15" customHeight="1">
      <c r="A110" s="1"/>
      <c r="B110" s="1" t="s">
        <v>971</v>
      </c>
      <c r="C110" s="35">
        <v>325620</v>
      </c>
      <c r="D110" s="17"/>
      <c r="E110" s="17"/>
      <c r="F110" s="17"/>
      <c r="G110" s="17"/>
      <c r="H110" s="17"/>
      <c r="I110" s="17"/>
      <c r="J110" s="17"/>
      <c r="K110" s="1" t="s">
        <v>972</v>
      </c>
      <c r="L110" s="1"/>
      <c r="M110" s="1"/>
    </row>
    <row r="111" ht="15" customHeight="1">
      <c r="A111" s="1"/>
      <c r="B111" s="1" t="s">
        <v>973</v>
      </c>
      <c r="C111" s="46">
        <v>1</v>
      </c>
      <c r="D111" s="33"/>
      <c r="E111" s="33"/>
      <c r="F111" s="33"/>
      <c r="G111" s="33"/>
      <c r="H111" s="33"/>
      <c r="I111" s="33"/>
      <c r="J111" s="33"/>
      <c r="K111" s="1" t="s">
        <v>974</v>
      </c>
      <c r="L111" s="1"/>
      <c r="M111" s="1"/>
    </row>
    <row r="112" ht="15" customHeight="1">
      <c r="A112" s="1"/>
      <c r="B112" s="1" t="s">
        <v>975</v>
      </c>
      <c r="C112" s="76" t="s">
        <v>976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ht="15" customHeight="1">
      <c r="A113" s="1"/>
      <c r="B113" s="4" t="s">
        <v>977</v>
      </c>
      <c r="C113" s="51">
        <v>0.78</v>
      </c>
      <c r="D113" s="18"/>
      <c r="E113" s="18"/>
      <c r="F113" s="18"/>
      <c r="G113" s="18"/>
      <c r="H113" s="18"/>
      <c r="I113" s="18"/>
      <c r="J113" s="18"/>
      <c r="K113" s="1" t="s">
        <v>978</v>
      </c>
      <c r="L113" s="1"/>
      <c r="M113" s="1"/>
    </row>
    <row r="114" ht="15" customHeight="1">
      <c r="A114" s="1"/>
      <c r="B114" s="1" t="s">
        <v>979</v>
      </c>
      <c r="C114" s="33">
        <f>SUM(C108:I108)</f>
        <v>6</v>
      </c>
      <c r="D114" s="33"/>
      <c r="E114" s="33"/>
      <c r="F114" s="33"/>
      <c r="G114" s="33"/>
      <c r="H114" s="33"/>
      <c r="I114" s="33"/>
      <c r="J114" s="33"/>
      <c r="K114" s="1"/>
      <c r="L114" s="1"/>
      <c r="M114" s="1"/>
    </row>
    <row r="115" ht="15" customHeight="1">
      <c r="A115" s="1"/>
      <c r="B115" s="1" t="s">
        <v>980</v>
      </c>
      <c r="C115" s="33">
        <f>COUNT(C107:I107)</f>
        <v>6</v>
      </c>
      <c r="D115" s="33"/>
      <c r="E115" s="33"/>
      <c r="F115" s="33"/>
      <c r="G115" s="33"/>
      <c r="H115" s="33"/>
      <c r="I115" s="33"/>
      <c r="J115" s="33"/>
      <c r="K115" s="1" t="s">
        <v>981</v>
      </c>
      <c r="L115" s="1"/>
      <c r="M115" s="1"/>
    </row>
    <row r="116" ht="15" customHeight="1">
      <c r="A116" s="1"/>
      <c r="B116" s="1" t="s">
        <v>982</v>
      </c>
      <c r="C116" s="46">
        <v>8</v>
      </c>
      <c r="D116" s="33"/>
      <c r="E116" s="33"/>
      <c r="F116" s="33"/>
      <c r="G116" s="33"/>
      <c r="H116" s="33"/>
      <c r="I116" s="33"/>
      <c r="J116" s="33"/>
      <c r="K116" s="1"/>
      <c r="L116" s="1"/>
      <c r="M116" s="1"/>
    </row>
    <row r="117" ht="15" customHeight="1">
      <c r="A117" s="1"/>
      <c r="B117" s="4" t="s">
        <v>983</v>
      </c>
      <c r="C117" s="18">
        <f>(C116*C113+C114)/(C116+C115)</f>
        <v>0.8742857142857143</v>
      </c>
      <c r="D117" s="18"/>
      <c r="E117" s="18"/>
      <c r="F117" s="18"/>
      <c r="G117" s="18"/>
      <c r="H117" s="18"/>
      <c r="I117" s="18"/>
      <c r="J117" s="18"/>
      <c r="K117" s="1" t="s">
        <v>984</v>
      </c>
      <c r="L117" s="1"/>
      <c r="M117" s="1"/>
    </row>
    <row r="118" ht="15" customHeight="1">
      <c r="A118" s="1"/>
      <c r="B118" s="4" t="s">
        <v>985</v>
      </c>
      <c r="C118" s="51">
        <v>0.83</v>
      </c>
      <c r="D118" s="18"/>
      <c r="E118" s="18"/>
      <c r="F118" s="18"/>
      <c r="G118" s="18"/>
      <c r="H118" s="18"/>
      <c r="I118" s="18"/>
      <c r="J118" s="18"/>
      <c r="K118" s="1" t="s">
        <v>986</v>
      </c>
      <c r="L118" s="1"/>
      <c r="M118" s="1"/>
    </row>
    <row r="119" ht="15" customHeight="1">
      <c r="A119" s="1"/>
      <c r="B119" s="4" t="s">
        <v>987</v>
      </c>
      <c r="C119" s="18">
        <f>C118-C117</f>
        <v>-0.04428571428571437</v>
      </c>
      <c r="D119" s="18"/>
      <c r="E119" s="18"/>
      <c r="F119" s="18"/>
      <c r="G119" s="18"/>
      <c r="H119" s="18"/>
      <c r="I119" s="18"/>
      <c r="J119" s="18"/>
      <c r="K119" s="1"/>
      <c r="L119" s="1"/>
      <c r="M119" s="1"/>
    </row>
    <row r="120" ht="15" customHeight="1">
      <c r="A120" s="1"/>
      <c r="B120" s="1" t="s">
        <v>49</v>
      </c>
      <c r="C120" s="76" t="s">
        <v>50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ht="15" customHeight="1">
      <c r="A121" s="1"/>
      <c r="B121" s="1" t="s">
        <v>988</v>
      </c>
      <c r="C121" s="20">
        <f>AVERAGE(C107:I107)</f>
        <v>0.19999999999999998</v>
      </c>
      <c r="D121" s="20"/>
      <c r="E121" s="20"/>
      <c r="F121" s="20"/>
      <c r="G121" s="20"/>
      <c r="H121" s="20"/>
      <c r="I121" s="20"/>
      <c r="J121" s="20"/>
      <c r="K121" s="1" t="s">
        <v>989</v>
      </c>
      <c r="L121" s="1"/>
      <c r="M121" s="1"/>
    </row>
    <row r="122" ht="15" customHeight="1">
      <c r="A122" s="1"/>
      <c r="B122" s="1" t="s">
        <v>990</v>
      </c>
      <c r="C122" s="20">
        <f>MIN(C107:I107)</f>
        <v>0.14000000000000012</v>
      </c>
      <c r="D122" s="20"/>
      <c r="E122" s="20"/>
      <c r="F122" s="20"/>
      <c r="G122" s="20"/>
      <c r="H122" s="20"/>
      <c r="I122" s="20"/>
      <c r="J122" s="20"/>
      <c r="K122" s="1"/>
      <c r="L122" s="1"/>
      <c r="M122" s="1"/>
    </row>
    <row r="123" ht="15" customHeight="1">
      <c r="A123" s="1"/>
      <c r="B123" s="1" t="s">
        <v>991</v>
      </c>
      <c r="C123" s="20">
        <f>MAX(C107:I107)</f>
        <v>0.26</v>
      </c>
      <c r="D123" s="20"/>
      <c r="E123" s="20"/>
      <c r="F123" s="20"/>
      <c r="G123" s="20"/>
      <c r="H123" s="20"/>
      <c r="I123" s="20"/>
      <c r="J123" s="20"/>
      <c r="K123" s="1"/>
      <c r="L123" s="1"/>
      <c r="M123" s="1"/>
    </row>
    <row r="124" ht="15" customHeight="1">
      <c r="A124" s="1"/>
      <c r="B124" s="28" t="s">
        <v>992</v>
      </c>
      <c r="C124" s="29"/>
      <c r="D124" s="29"/>
      <c r="E124" s="29"/>
      <c r="F124" s="29"/>
      <c r="G124" s="29"/>
      <c r="H124" s="29"/>
      <c r="I124" s="29"/>
      <c r="J124" s="29"/>
      <c r="K124" s="29" t="s">
        <v>993</v>
      </c>
      <c r="L124" s="1"/>
      <c r="M124" s="1"/>
    </row>
    <row r="125" ht="15" customHeight="1">
      <c r="A125" s="1"/>
      <c r="B125" s="1" t="s">
        <v>994</v>
      </c>
      <c r="C125" s="67">
        <v>2.02</v>
      </c>
      <c r="D125" s="20"/>
      <c r="E125" s="20"/>
      <c r="F125" s="20"/>
      <c r="G125" s="20"/>
      <c r="H125" s="20"/>
      <c r="I125" s="20"/>
      <c r="J125" s="20"/>
      <c r="K125" s="1"/>
      <c r="L125" s="1"/>
      <c r="M125" s="1"/>
    </row>
    <row r="126" ht="15" customHeight="1">
      <c r="A126" s="1"/>
      <c r="B126" s="1" t="s">
        <v>995</v>
      </c>
      <c r="C126" s="77">
        <v>12700</v>
      </c>
      <c r="D126" s="48"/>
      <c r="E126" s="48"/>
      <c r="F126" s="48"/>
      <c r="G126" s="48"/>
      <c r="H126" s="48"/>
      <c r="I126" s="48"/>
      <c r="J126" s="48"/>
      <c r="K126" s="1"/>
      <c r="L126" s="1"/>
      <c r="M126" s="1"/>
    </row>
    <row r="127" ht="15" customHeight="1">
      <c r="A127" s="1"/>
      <c r="B127" s="1" t="s">
        <v>996</v>
      </c>
      <c r="C127" s="67">
        <v>1.99</v>
      </c>
      <c r="D127" s="20"/>
      <c r="E127" s="20"/>
      <c r="F127" s="20"/>
      <c r="G127" s="20"/>
      <c r="H127" s="20"/>
      <c r="I127" s="20"/>
      <c r="J127" s="20"/>
      <c r="K127" s="1"/>
      <c r="L127" s="1"/>
      <c r="M127" s="1"/>
    </row>
    <row r="128" ht="15" customHeight="1">
      <c r="A128" s="1"/>
      <c r="B128" s="1" t="s">
        <v>997</v>
      </c>
      <c r="C128" s="77">
        <v>12840</v>
      </c>
      <c r="D128" s="48"/>
      <c r="E128" s="48"/>
      <c r="F128" s="48"/>
      <c r="G128" s="48"/>
      <c r="H128" s="48"/>
      <c r="I128" s="48"/>
      <c r="J128" s="48"/>
      <c r="K128" s="1"/>
      <c r="L128" s="1"/>
      <c r="M128" s="1"/>
    </row>
    <row r="129" ht="15" customHeight="1">
      <c r="A129" s="1"/>
      <c r="B129" s="1" t="s">
        <v>998</v>
      </c>
      <c r="C129" s="67">
        <v>7.91</v>
      </c>
      <c r="D129" s="20"/>
      <c r="E129" s="20"/>
      <c r="F129" s="20"/>
      <c r="G129" s="20"/>
      <c r="H129" s="20"/>
      <c r="I129" s="20"/>
      <c r="J129" s="20"/>
      <c r="K129" s="1" t="s">
        <v>999</v>
      </c>
      <c r="L129" s="1"/>
      <c r="M129" s="1"/>
    </row>
    <row r="130" ht="1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ht="1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ht="1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2026-10-19T16:43:34Z</dcterms:created>
</cp:coreProperties>
</file>