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Mechanical" sheetId="3" r:id="rId4"/>
    <sheet name="Segment - Electrical" sheetId="4" r:id="rId5"/>
    <sheet name="Income Statement" sheetId="5" r:id="rId6"/>
    <sheet name="Balance Sheet" sheetId="6" r:id="rId7"/>
    <sheet name="Cash Flow Statement" sheetId="7" r:id="rId8"/>
    <sheet name="Share Count" sheetId="8" r:id="rId9"/>
    <sheet name="Guidance" sheetId="9" r:id="rId10"/>
    <sheet name="Sources" sheetId="10" r:id="rId11"/>
    <sheet name="Inputs" sheetId="11" r:id="rId12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38" authorId="0">
      <text>
        <t>finance.yahoo.com (Zacks) 2026-10-14 | Comfort Systems (FIX) Falls More Steeply... | $12.42; $3.35 billion</t>
      </text>
    </comment>
    <comment ref="C39" authorId="0">
      <text>
        <t>ad-hoc-news.de 2026-10-16 | MarketBeat lists consensus | USD 12.85; USD 3.39 billion</t>
      </text>
    </comment>
    <comment ref="C40" authorId="0">
      <text>
        <t>drillr.ai 2026-09-24 | third-quarter consensus | $12.90; $3.403 billion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46" authorId="0">
      <text>
        <t>fix-20250331x10q.htm | MD&amp;A: Revenue | 15.4%</t>
      </text>
    </comment>
    <comment ref="D46" authorId="0">
      <text>
        <t>fix-20250630x10q.htm | MD&amp;A: Revenue | 18.6%</t>
      </text>
    </comment>
    <comment ref="E46" authorId="0">
      <text>
        <t>fix-20250930x10q.htm | MD&amp;A: Revenue | 33.3%</t>
      </text>
    </comment>
    <comment ref="F46" authorId="0">
      <text>
        <t>Q4 2025 earnings call (S13) | MD&amp;A: Revenue | 35%</t>
      </text>
    </comment>
    <comment ref="I46" authorId="0">
      <text>
        <t>fix-20251231x10k.htm | MD&amp;A: Revenue | 26.1%</t>
      </text>
    </comment>
    <comment ref="G46" authorId="0">
      <text>
        <t>fix-20260331x10q.htm | MD&amp;A: Revenue | 51.5%</t>
      </text>
    </comment>
    <comment ref="H46" authorId="0">
      <text>
        <t>fix-20260630x10q.htm | MD&amp;A: Revenue | 43.8%</t>
      </text>
    </comment>
    <comment ref="C51" authorId="0">
      <text>
        <t>fix-20250331x10q.htm | Note: Revenue from Contracts with Customers | 677,553</t>
      </text>
    </comment>
    <comment ref="D51" authorId="0">
      <text>
        <t>fix-20250630x10q.htm | Note: Revenue from Contracts with Customers | 934,199</t>
      </text>
    </comment>
    <comment ref="E51" authorId="0">
      <text>
        <t>fix-20250930x10q.htm | Note: Revenue from Contracts with Customers | 1,122,528</t>
      </text>
    </comment>
    <comment ref="I51" authorId="0">
      <text>
        <t>fix-20251231x10k.htm | Note: Revenue from Contracts with Customers | 4,098,854</t>
      </text>
    </comment>
    <comment ref="G51" authorId="0">
      <text>
        <t>fix-20260331x10q.htm | Note: Revenue from Contracts with Customers | 1,616,515</t>
      </text>
    </comment>
    <comment ref="H51" authorId="0">
      <text>
        <t>fix-20260630x10q.htm | Note: Revenue from Contracts with Customers | 1,917,354</t>
      </text>
    </comment>
    <comment ref="C58" authorId="0">
      <text>
        <t>fix-20250331x10q.htm | Note: Revenue from Contracts with Customers | 452,786</t>
      </text>
    </comment>
    <comment ref="D58" authorId="0">
      <text>
        <t>fix-20250630x10q.htm | Note: Revenue from Contracts with Customers | 473,040</t>
      </text>
    </comment>
    <comment ref="E58" authorId="0">
      <text>
        <t>fix-20250930x10q.htm | Note: Revenue from Contracts with Customers | 543,110</t>
      </text>
    </comment>
    <comment ref="I58" authorId="0">
      <text>
        <t>fix-20251231x10k.htm | Note: Revenue from Contracts with Customers | 2,011,607</t>
      </text>
    </comment>
    <comment ref="G58" authorId="0">
      <text>
        <t>fix-20260331x10q.htm | Note: Revenue from Contracts with Customers | 536,442</t>
      </text>
    </comment>
    <comment ref="H58" authorId="0">
      <text>
        <t>fix-20260630x10q.htm | Note: Revenue from Contracts with Customers | 535,357</t>
      </text>
    </comment>
    <comment ref="C70" authorId="0">
      <text>
        <t>fix-20250331x10q.htm | Note: Revenue from Contracts with Customers | 182,542</t>
      </text>
    </comment>
    <comment ref="D70" authorId="0">
      <text>
        <t>fix-20250630x10q.htm | Note: Revenue from Contracts with Customers | 200,341</t>
      </text>
    </comment>
    <comment ref="E70" authorId="0">
      <text>
        <t>fix-20250930x10q.htm | Note: Revenue from Contracts with Customers | 206,965</t>
      </text>
    </comment>
    <comment ref="I70" authorId="0">
      <text>
        <t>fix-20251231x10k.htm | Note: Revenue from Contracts with Customers | 810,646</t>
      </text>
    </comment>
    <comment ref="G70" authorId="0">
      <text>
        <t>fix-20260331x10q.htm | Note: Revenue from Contracts with Customers | 220,534</t>
      </text>
    </comment>
    <comment ref="H70" authorId="0">
      <text>
        <t>fix-20260630x10q.htm | Note: Revenue from Contracts with Customers | 230,783</t>
      </text>
    </comment>
    <comment ref="C77" authorId="0">
      <text>
        <t>fix-20250331x10q.htm | Note: Revenue from Contracts with Customers | 161,242</t>
      </text>
    </comment>
    <comment ref="D77" authorId="0">
      <text>
        <t>fix-20250630x10q.htm | Note: Revenue from Contracts with Customers | 194,845</t>
      </text>
    </comment>
    <comment ref="E77" authorId="0">
      <text>
        <t>fix-20250930x10q.htm | Note: Revenue from Contracts with Customers | 171,707</t>
      </text>
    </comment>
    <comment ref="I77" authorId="0">
      <text>
        <t>fix-20251231x10k.htm | Note: Revenue from Contracts with Customers | 665,266</t>
      </text>
    </comment>
    <comment ref="G77" authorId="0">
      <text>
        <t>fix-20260331x10q.htm | Note: Revenue from Contracts with Customers | 130,313</t>
      </text>
    </comment>
    <comment ref="H77" authorId="0">
      <text>
        <t>fix-20260630x10q.htm | Note: Revenue from Contracts with Customers | 168,252</t>
      </text>
    </comment>
    <comment ref="C84" authorId="0">
      <text>
        <t>fix-20250331x10q.htm | Note: Revenue from Contracts with Customers | 96,281</t>
      </text>
    </comment>
    <comment ref="D84" authorId="0">
      <text>
        <t>fix-20250630x10q.htm | Note: Revenue from Contracts with Customers | 107,753</t>
      </text>
    </comment>
    <comment ref="E84" authorId="0">
      <text>
        <t>fix-20250930x10q.htm | Note: Revenue from Contracts with Customers | 122,284</t>
      </text>
    </comment>
    <comment ref="I84" authorId="0">
      <text>
        <t>fix-20251231x10k.htm | Note: Revenue from Contracts with Customers | 457,329</t>
      </text>
    </comment>
    <comment ref="G84" authorId="0">
      <text>
        <t>fix-20260331x10q.htm | Note: Revenue from Contracts with Customers | 133,417</t>
      </text>
    </comment>
    <comment ref="H84" authorId="0">
      <text>
        <t>fix-20260630x10q.htm | Note: Revenue from Contracts with Customers | 145,507</t>
      </text>
    </comment>
    <comment ref="C96" authorId="0">
      <text>
        <t>fix-20250331x10q.htm | Note: Revenue from Contracts with Customers | 122,526</t>
      </text>
    </comment>
    <comment ref="D96" authorId="0">
      <text>
        <t>fix-20250630x10q.htm | Note: Revenue from Contracts with Customers | 110,461</t>
      </text>
    </comment>
    <comment ref="E96" authorId="0">
      <text>
        <t>fix-20250930x10q.htm | Note: Revenue from Contracts with Customers | 125,458</t>
      </text>
    </comment>
    <comment ref="I96" authorId="0">
      <text>
        <t>fix-20251231x10k.htm | Note: Revenue from Contracts with Customers | 446,659</t>
      </text>
    </comment>
    <comment ref="G96" authorId="0">
      <text>
        <t>fix-20260331x10q.htm | Note: Revenue from Contracts with Customers | 80,340</t>
      </text>
    </comment>
    <comment ref="H96" authorId="0">
      <text>
        <t>fix-20260630x10q.htm | Note: Revenue from Contracts with Customers | 92,468</t>
      </text>
    </comment>
    <comment ref="C103" authorId="0">
      <text>
        <t>fix-20250331x10q.htm | Note: Revenue from Contracts with Customers | 77,009</t>
      </text>
    </comment>
    <comment ref="D103" authorId="0">
      <text>
        <t>fix-20250630x10q.htm | Note: Revenue from Contracts with Customers | 85,107</t>
      </text>
    </comment>
    <comment ref="E103" authorId="0">
      <text>
        <t>fix-20250930x10q.htm | Note: Revenue from Contracts with Customers | 88,503</t>
      </text>
    </comment>
    <comment ref="I103" authorId="0">
      <text>
        <t>fix-20251231x10k.htm | Note: Revenue from Contracts with Customers | 337,590</t>
      </text>
    </comment>
    <comment ref="G103" authorId="0">
      <text>
        <t>fix-20260331x10q.htm | Note: Revenue from Contracts with Customers | 81,286</t>
      </text>
    </comment>
    <comment ref="H103" authorId="0">
      <text>
        <t>fix-20260630x10q.htm | Note: Revenue from Contracts with Customers | 89,893</t>
      </text>
    </comment>
    <comment ref="C110" authorId="0">
      <text>
        <t>fix-20250331x10q.htm | Note: Revenue from Contracts with Customers | 28,353</t>
      </text>
    </comment>
    <comment ref="D110" authorId="0">
      <text>
        <t>fix-20250630x10q.htm | Note: Revenue from Contracts with Customers | 33,214</t>
      </text>
    </comment>
    <comment ref="E110" authorId="0">
      <text>
        <t>fix-20250930x10q.htm | Note: Revenue from Contracts with Customers | 35,342</t>
      </text>
    </comment>
    <comment ref="I110" authorId="0">
      <text>
        <t>fix-20251231x10k.htm | Note: Revenue from Contracts with Customers | 130,578</t>
      </text>
    </comment>
    <comment ref="G110" authorId="0">
      <text>
        <t>fix-20260331x10q.htm | Note: Revenue from Contracts with Customers | 35,035</t>
      </text>
    </comment>
    <comment ref="H110" authorId="0">
      <text>
        <t>fix-20260630x10q.htm | Note: Revenue from Contracts with Customers | 44,678</t>
      </text>
    </comment>
    <comment ref="C117" authorId="0">
      <text>
        <t>fix-20250331x10q.htm | Note: Revenue from Contracts with Customers | 32,994</t>
      </text>
    </comment>
    <comment ref="D117" authorId="0">
      <text>
        <t>fix-20250630x10q.htm | Note: Revenue from Contracts with Customers | 34,359</t>
      </text>
    </comment>
    <comment ref="E117" authorId="0">
      <text>
        <t>fix-20250930x10q.htm | Note: Revenue from Contracts with Customers | 35,072</t>
      </text>
    </comment>
    <comment ref="I117" authorId="0">
      <text>
        <t>fix-20251231x10k.htm | Note: Revenue from Contracts with Customers | 143,112</t>
      </text>
    </comment>
    <comment ref="G117" authorId="0">
      <text>
        <t>fix-20260331x10q.htm | Note: Revenue from Contracts with Customers | 31,450</t>
      </text>
    </comment>
    <comment ref="H117" authorId="0">
      <text>
        <t>fix-20260630x10q.htm | Note: Revenue from Contracts with Customers | 41,364</t>
      </text>
    </comment>
    <comment ref="C133" authorId="0">
      <text>
        <t>fix-20250331x10q.htm | Note: Revenue from Contracts with Customers | 1,065,084</t>
      </text>
    </comment>
    <comment ref="D133" authorId="0">
      <text>
        <t>fix-20250630x10q.htm | Note: Revenue from Contracts with Customers | 1,256,866</t>
      </text>
    </comment>
    <comment ref="E133" authorId="0">
      <text>
        <t>fix-20250930x10q.htm | Note: Revenue from Contracts with Customers | 1,597,452</t>
      </text>
    </comment>
    <comment ref="I133" authorId="0">
      <text>
        <t>fix-20251231x10k.htm | Note: Revenue from Contracts with Customers | 5,752,786</t>
      </text>
    </comment>
    <comment ref="G133" authorId="0">
      <text>
        <t>fix-20260331x10q.htm | Note: Revenue from Contracts with Customers | 2,133,494</t>
      </text>
    </comment>
    <comment ref="H133" authorId="0">
      <text>
        <t>fix-20260630x10q.htm | Note: Revenue from Contracts with Customers | 2,454,064</t>
      </text>
    </comment>
    <comment ref="C140" authorId="0">
      <text>
        <t>fix-20250331x10q.htm | Note: Revenue from Contracts with Customers | 492,603</t>
      </text>
    </comment>
    <comment ref="D140" authorId="0">
      <text>
        <t>fix-20250630x10q.htm | Note: Revenue from Contracts with Customers | 607,236</t>
      </text>
    </comment>
    <comment ref="E140" authorId="0">
      <text>
        <t>fix-20250930x10q.htm | Note: Revenue from Contracts with Customers | 527,139</t>
      </text>
    </comment>
    <comment ref="I140" authorId="0">
      <text>
        <t>fix-20251231x10k.htm | Note: Revenue from Contracts with Customers | 2,118,363</t>
      </text>
    </comment>
    <comment ref="G140" authorId="0">
      <text>
        <t>fix-20260331x10q.htm | Note: Revenue from Contracts with Customers | 436,601</t>
      </text>
    </comment>
    <comment ref="H140" authorId="0">
      <text>
        <t>fix-20260630x10q.htm | Note: Revenue from Contracts with Customers | 483,469</t>
      </text>
    </comment>
    <comment ref="C152" authorId="0">
      <text>
        <t>fix-20250331x10q.htm | Note: Revenue from Contracts with Customers | 119,214</t>
      </text>
    </comment>
    <comment ref="D152" authorId="0">
      <text>
        <t>fix-20250630x10q.htm | Note: Revenue from Contracts with Customers | 146,271</t>
      </text>
    </comment>
    <comment ref="E152" authorId="0">
      <text>
        <t>fix-20250930x10q.htm | Note: Revenue from Contracts with Customers | 150,383</t>
      </text>
    </comment>
    <comment ref="I152" authorId="0">
      <text>
        <t>fix-20251231x10k.htm | Note: Revenue from Contracts with Customers | 568,845</t>
      </text>
    </comment>
    <comment ref="G152" authorId="0">
      <text>
        <t>fix-20260331x10q.htm | Note: Revenue from Contracts with Customers | 138,088</t>
      </text>
    </comment>
    <comment ref="H152" authorId="0">
      <text>
        <t>fix-20260630x10q.htm | Note: Revenue from Contracts with Customers | 144,742</t>
      </text>
    </comment>
    <comment ref="C159" authorId="0">
      <text>
        <t>fix-20250331x10q.htm | Note: Revenue from Contracts with Customers | 154,385</t>
      </text>
    </comment>
    <comment ref="D159" authorId="0">
      <text>
        <t>fix-20250630x10q.htm | Note: Revenue from Contracts with Customers | 162,946</t>
      </text>
    </comment>
    <comment ref="E159" authorId="0">
      <text>
        <t>fix-20250930x10q.htm | Note: Revenue from Contracts with Customers | 175,995</t>
      </text>
    </comment>
    <comment ref="I159" authorId="0">
      <text>
        <t>fix-20251231x10k.htm | Note: Revenue from Contracts with Customers | 661,647</t>
      </text>
    </comment>
    <comment ref="G159" authorId="0">
      <text>
        <t>fix-20260331x10q.htm | Note: Revenue from Contracts with Customers | 157,149</t>
      </text>
    </comment>
    <comment ref="H159" authorId="0">
      <text>
        <t>fix-20260630x10q.htm | Note: Revenue from Contracts with Customers | 183,381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9" authorId="0">
      <text>
        <t>fix-20251231x10k.htm | MD&amp;A: Backlog (Dec 31, 2024 column) | 4,687,619</t>
      </text>
    </comment>
    <comment ref="C12" authorId="0">
      <text>
        <t>fix-20250331x10q.htm | MD&amp;A: Backlog | 47,300</t>
      </text>
    </comment>
    <comment ref="D12" authorId="0">
      <text>
        <t>fix-20250630x10q.htm | MD&amp;A: Backlog | 137,600</t>
      </text>
    </comment>
    <comment ref="C19" authorId="0">
      <text>
        <t>fix-20250331x10q.htm | MD&amp;A: Backlog | 5,205,745</t>
      </text>
    </comment>
    <comment ref="D19" authorId="0">
      <text>
        <t>fix-20250630x10q.htm | MD&amp;A: Backlog | 5,814,217</t>
      </text>
    </comment>
    <comment ref="E19" authorId="0">
      <text>
        <t>fix-20250930x10q.htm | MD&amp;A: Backlog | 6,790,316</t>
      </text>
    </comment>
    <comment ref="F19" authorId="0">
      <text>
        <t>fix-20251231x10k.htm | MD&amp;A: Backlog | 9,026,661</t>
      </text>
    </comment>
    <comment ref="G19" authorId="0">
      <text>
        <t>fix-20260331x10q.htm | MD&amp;A: Backlog | 9,593,241</t>
      </text>
    </comment>
    <comment ref="H19" authorId="0">
      <text>
        <t>fix-20260630x10q.htm | MD&amp;A: Backlog | 10,058,662</t>
      </text>
    </comment>
    <comment ref="C38" authorId="0">
      <text>
        <t>fix-20250331x10q.htm | Note: Segment Information | 1,402,215</t>
      </text>
    </comment>
    <comment ref="D38" authorId="0">
      <text>
        <t>fix-20250630x10q.htm | Note: Segment Information | 1,638,672</t>
      </text>
    </comment>
    <comment ref="E38" authorId="0">
      <text>
        <t>fix-20250930x10q.htm | Note: Segment Information | 1,810,462</t>
      </text>
    </comment>
    <comment ref="I38" authorId="0">
      <text>
        <t>fix-20251231x10k.htm | Note: Segment Information | 6,673,745</t>
      </text>
    </comment>
    <comment ref="G38" authorId="0">
      <text>
        <t>fix-20260331x10q.htm | Note: Segment Information | 2,060,622</t>
      </text>
    </comment>
    <comment ref="H38" authorId="0">
      <text>
        <t>fix-20260630x10q.htm | Note: Segment Information | 2,296,667</t>
      </text>
    </comment>
    <comment ref="C43" authorId="0">
      <text>
        <t>fix-20250331x10q.htm | Note: Segment Information (2024 comparative) | 1,185,009</t>
      </text>
    </comment>
    <comment ref="D43" authorId="0">
      <text>
        <t>fix-20250630x10q.htm | Note: Segment Information (2024 comparative) | 1,451,679</t>
      </text>
    </comment>
    <comment ref="E43" authorId="0">
      <text>
        <t>fix-20250930x10q.htm | Note: Segment Information (2024 comparative) | 1,438,617</t>
      </text>
    </comment>
    <comment ref="I43" authorId="0">
      <text>
        <t>fix-20251231x10k.htm | Note: Segment Information (2024 comparative) | 5,527,604</t>
      </text>
    </comment>
    <comment ref="C46" authorId="0">
      <text>
        <t>fix-20250331x10q.htm | MD&amp;A: Revenue | $0.1 million</t>
      </text>
    </comment>
    <comment ref="D46" authorId="0">
      <text>
        <t>fix-20250630x10q.htm | MD&amp;A: Revenue | $0.0 million</t>
      </text>
    </comment>
    <comment ref="E46" authorId="0">
      <text>
        <t>fix-20250930x10q.htm | MD&amp;A: Revenue | $0.0 million</t>
      </text>
    </comment>
    <comment ref="I46" authorId="0">
      <text>
        <t>fix-20251231x10k.htm | MD&amp;A: Revenue | $0.2 million</t>
      </text>
    </comment>
    <comment ref="G46" authorId="0">
      <text>
        <t>fix-20260331x10q.htm | MD&amp;A: Revenue | $0.0 million</t>
      </text>
    </comment>
    <comment ref="H46" authorId="0">
      <text>
        <t>fix-20260630x10q.htm | MD&amp;A: Revenue | $0.0 million</t>
      </text>
    </comment>
    <comment ref="C53" authorId="0">
      <text>
        <t>fix-20251231x10k.htm | Note 16 Segment Information | Substantially all of our revenue is generated, and all of our assets are located, in the United States</t>
      </text>
    </comment>
    <comment ref="C59" authorId="0">
      <text>
        <t>fix-20250331x10q.htm | Note: Segment Information | 1,097,696</t>
      </text>
    </comment>
    <comment ref="D59" authorId="0">
      <text>
        <t>fix-20250630x10q.htm | Note: Segment Information | 1,264,066</t>
      </text>
    </comment>
    <comment ref="E59" authorId="0">
      <text>
        <t>fix-20250930x10q.htm | Note: Segment Information | 1,370,687</t>
      </text>
    </comment>
    <comment ref="I59" authorId="0">
      <text>
        <t>fix-20251231x10k.htm | Note: Segment Information | 5,101,349</t>
      </text>
    </comment>
    <comment ref="G59" authorId="0">
      <text>
        <t>fix-20260331x10q.htm | Note: Segment Information | 1,506,345</t>
      </text>
    </comment>
    <comment ref="H59" authorId="0">
      <text>
        <t>fix-20260630x10q.htm | Note: Segment Information | 1,708,157</t>
      </text>
    </comment>
    <comment ref="C68" authorId="0">
      <text>
        <t>fix-20250331x10q.htm | Note: Segment Information | 132,270</t>
      </text>
    </comment>
    <comment ref="D68" authorId="0">
      <text>
        <t>fix-20250630x10q.htm | Note: Segment Information | 137,074</t>
      </text>
    </comment>
    <comment ref="E68" authorId="0">
      <text>
        <t>fix-20250930x10q.htm | Note: Segment Information | 152,442</t>
      </text>
    </comment>
    <comment ref="I68" authorId="0">
      <text>
        <t>fix-20251231x10k.htm | Note: Segment Information | 574,344</t>
      </text>
    </comment>
    <comment ref="G68" authorId="0">
      <text>
        <t>fix-20260331x10q.htm | Note: Segment Information | 156,514</t>
      </text>
    </comment>
    <comment ref="H68" authorId="0">
      <text>
        <t>fix-20260630x10q.htm | Note: Segment Information | 162,398</t>
      </text>
    </comment>
    <comment ref="C74" authorId="0">
      <text>
        <t>fix-20250331x10q.htm | Note: Segment Information (gain shown positive) | 352</t>
      </text>
    </comment>
    <comment ref="D74" authorId="0">
      <text>
        <t>fix-20250630x10q.htm | Note: Segment Information (gain shown positive) | 371</t>
      </text>
    </comment>
    <comment ref="E74" authorId="0">
      <text>
        <t>fix-20250930x10q.htm | Note: Segment Information (gain shown positive) | 418</t>
      </text>
    </comment>
    <comment ref="I74" authorId="0">
      <text>
        <t>fix-20251231x10k.htm | Note: Segment Information (gain shown positive) | 1,433</t>
      </text>
    </comment>
    <comment ref="G74" authorId="0">
      <text>
        <t>fix-20260331x10q.htm | Note: Segment Information (gain shown positive) | 347</t>
      </text>
    </comment>
    <comment ref="H74" authorId="0">
      <text>
        <t>fix-20260630x10q.htm | Note: Segment Information (gain shown positive) | 626</t>
      </text>
    </comment>
    <comment ref="C85" authorId="0">
      <text>
        <t>fix-20250331x10q.htm | Note: Segment Information | 14,590</t>
      </text>
    </comment>
    <comment ref="D85" authorId="0">
      <text>
        <t>fix-20250630x10q.htm | Note: Segment Information | 14,266</t>
      </text>
    </comment>
    <comment ref="E85" authorId="0">
      <text>
        <t>fix-20250930x10q.htm | Note: Segment Information | 14,001</t>
      </text>
    </comment>
    <comment ref="I85" authorId="0">
      <text>
        <t>fix-20251231x10k.htm | Note: Segment Information | 54,162</t>
      </text>
    </comment>
    <comment ref="G85" authorId="0">
      <text>
        <t>fix-20260331x10q.htm | Note: Segment Information | 10,777</t>
      </text>
    </comment>
    <comment ref="H85" authorId="0">
      <text>
        <t>fix-20260630x10q.htm | Note: Segment Information | 10,429</t>
      </text>
    </comment>
    <comment ref="C88" authorId="0">
      <text>
        <t>fix-20250331x10q.htm | Note: Segment Information | 11,404</t>
      </text>
    </comment>
    <comment ref="D88" authorId="0">
      <text>
        <t>fix-20250630x10q.htm | Note: Segment Information | 12,093</t>
      </text>
    </comment>
    <comment ref="E88" authorId="0">
      <text>
        <t>fix-20250930x10q.htm | Note: Segment Information | 13,048</t>
      </text>
    </comment>
    <comment ref="I88" authorId="0">
      <text>
        <t>fix-20251231x10k.htm | Note: Segment Information | 50,754</t>
      </text>
    </comment>
    <comment ref="G88" authorId="0">
      <text>
        <t>fix-20260331x10q.htm | Note: Segment Information | 15,236</t>
      </text>
    </comment>
    <comment ref="H88" authorId="0">
      <text>
        <t>fix-20260630x10q.htm | Note: Segment Information | 16,408</t>
      </text>
    </comment>
    <comment ref="C95" authorId="0">
      <text>
        <t>fix-20250331x10q.htm | Note: Segment Information | 18,419</t>
      </text>
    </comment>
    <comment ref="D95" authorId="0">
      <text>
        <t>fix-20250630x10q.htm | Note: Segment Information | 24,879</t>
      </text>
    </comment>
    <comment ref="E95" authorId="0">
      <text>
        <t>fix-20250930x10q.htm | Note: Segment Information | 28,881</t>
      </text>
    </comment>
    <comment ref="I95" authorId="0">
      <text>
        <t>fix-20251231x10k.htm | Note: Segment Information | 126,436</t>
      </text>
    </comment>
    <comment ref="G95" authorId="0">
      <text>
        <t>fix-20260331x10q.htm | Note: Segment Information | 140,214</t>
      </text>
    </comment>
    <comment ref="H95" authorId="0">
      <text>
        <t>fix-20260630x10q.htm | Note: Segment Information | 131,818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C9" authorId="0">
      <text>
        <t>fix-20251231x10k.htm | MD&amp;A: Backlog (Dec 31, 2024 column) | 1,306,347</t>
      </text>
    </comment>
    <comment ref="F12" authorId="0">
      <text>
        <t>fix-20251231x10k.htm | MD&amp;A: Backlog | 163,400</t>
      </text>
    </comment>
    <comment ref="H12" authorId="0">
      <text>
        <t>fix-20260630x10q.htm | MD&amp;A: Backlog | 217,400</t>
      </text>
    </comment>
    <comment ref="C19" authorId="0">
      <text>
        <t>fix-20250331x10q.htm | MD&amp;A: Backlog | 1,683,073</t>
      </text>
    </comment>
    <comment ref="D19" authorId="0">
      <text>
        <t>fix-20250630x10q.htm | MD&amp;A: Backlog | 2,309,491</t>
      </text>
    </comment>
    <comment ref="E19" authorId="0">
      <text>
        <t>fix-20250930x10q.htm | MD&amp;A: Backlog | 2,586,522</t>
      </text>
    </comment>
    <comment ref="F19" authorId="0">
      <text>
        <t>fix-20251231x10k.htm | MD&amp;A: Backlog | 2,917,940</t>
      </text>
    </comment>
    <comment ref="G19" authorId="0">
      <text>
        <t>fix-20260331x10q.htm | MD&amp;A: Backlog | 2,861,485</t>
      </text>
    </comment>
    <comment ref="H19" authorId="0">
      <text>
        <t>fix-20260630x10q.htm | MD&amp;A: Backlog | 4,002,847</t>
      </text>
    </comment>
    <comment ref="C38" authorId="0">
      <text>
        <t>fix-20250331x10q.htm | Note: Segment Information | 429,071</t>
      </text>
    </comment>
    <comment ref="D38" authorId="0">
      <text>
        <t>fix-20250630x10q.htm | Note: Segment Information | 534,647</t>
      </text>
    </comment>
    <comment ref="E38" authorId="0">
      <text>
        <t>fix-20250930x10q.htm | Note: Segment Information | 640,507</t>
      </text>
    </comment>
    <comment ref="I38" authorId="0">
      <text>
        <t>fix-20251231x10k.htm | Note: Segment Information | 2,427,896</t>
      </text>
    </comment>
    <comment ref="G38" authorId="0">
      <text>
        <t>fix-20260331x10q.htm | Note: Segment Information | 804,710</t>
      </text>
    </comment>
    <comment ref="H38" authorId="0">
      <text>
        <t>fix-20260630x10q.htm | Note: Segment Information | 968,989</t>
      </text>
    </comment>
    <comment ref="C43" authorId="0">
      <text>
        <t>fix-20250331x10q.htm | Note: Segment Information (2024 comparative) | 352,007</t>
      </text>
    </comment>
    <comment ref="D43" authorId="0">
      <text>
        <t>fix-20250630x10q.htm | Note: Segment Information (2024 comparative) | 358,611</t>
      </text>
    </comment>
    <comment ref="E43" authorId="0">
      <text>
        <t>fix-20250930x10q.htm | Note: Segment Information (2024 comparative) | 373,749</t>
      </text>
    </comment>
    <comment ref="I43" authorId="0">
      <text>
        <t>fix-20251231x10k.htm | Note: Segment Information (2024 comparative) | 1,499,872</t>
      </text>
    </comment>
    <comment ref="C46" authorId="0">
      <text>
        <t>fix-20250331x10q.htm | MD&amp;A: Revenue | no acquisition revenue disclosed</t>
      </text>
    </comment>
    <comment ref="D46" authorId="0">
      <text>
        <t>fix-20250630x10q.htm | MD&amp;A: Revenue | no acquisition revenue disclosed</t>
      </text>
    </comment>
    <comment ref="E46" authorId="0">
      <text>
        <t>fix-20250930x10q.htm | MD&amp;A: Revenue | no acquisition revenue disclosed</t>
      </text>
    </comment>
    <comment ref="I46" authorId="0">
      <text>
        <t>fix-20251231x10k.htm | MD&amp;A: Revenue | $0.1 million</t>
      </text>
    </comment>
    <comment ref="G46" authorId="0">
      <text>
        <t>fix-20260331x10q.htm | MD&amp;A: Revenue | $0.1 million</t>
      </text>
    </comment>
    <comment ref="H46" authorId="0">
      <text>
        <t>fix-20260630x10q.htm | MD&amp;A: Revenue | $0.1 million</t>
      </text>
    </comment>
    <comment ref="C53" authorId="0">
      <text>
        <t>fix-20251231x10k.htm | Note 16 Segment Information | Substantially all of our revenue is generated, and all of our assets are located, in the United States</t>
      </text>
    </comment>
    <comment ref="C59" authorId="0">
      <text>
        <t>fix-20250331x10q.htm | Note: Segment Information | 330,174</t>
      </text>
    </comment>
    <comment ref="D59" authorId="0">
      <text>
        <t>fix-20250630x10q.htm | Note: Segment Information | 399,356</t>
      </text>
    </comment>
    <comment ref="E59" authorId="0">
      <text>
        <t>fix-20250930x10q.htm | Note: Segment Information | 472,411</t>
      </text>
    </comment>
    <comment ref="I59" authorId="0">
      <text>
        <t>fix-20251231x10k.htm | Note: Segment Information | 1,804,393</t>
      </text>
    </comment>
    <comment ref="G59" authorId="0">
      <text>
        <t>fix-20260331x10q.htm | Note: Segment Information | 604,575</t>
      </text>
    </comment>
    <comment ref="H59" authorId="0">
      <text>
        <t>fix-20260630x10q.htm | Note: Segment Information | 713,271</t>
      </text>
    </comment>
    <comment ref="C68" authorId="0">
      <text>
        <t>fix-20250331x10q.htm | Note: Segment Information | 44,046</t>
      </text>
    </comment>
    <comment ref="D68" authorId="0">
      <text>
        <t>fix-20250630x10q.htm | Note: Segment Information | 55,235</t>
      </text>
    </comment>
    <comment ref="E68" authorId="0">
      <text>
        <t>fix-20250930x10q.htm | Note: Segment Information | 60,021</t>
      </text>
    </comment>
    <comment ref="I68" authorId="0">
      <text>
        <t>fix-20251231x10k.htm | Note: Segment Information | 236,580</t>
      </text>
    </comment>
    <comment ref="G68" authorId="0">
      <text>
        <t>fix-20260331x10q.htm | Note: Segment Information | 79,854</t>
      </text>
    </comment>
    <comment ref="H68" authorId="0">
      <text>
        <t>fix-20260630x10q.htm | Note: Segment Information | 101,825</t>
      </text>
    </comment>
    <comment ref="C74" authorId="0">
      <text>
        <t>fix-20250331x10q.htm | Note: Segment Information (gain shown positive) | 204</t>
      </text>
    </comment>
    <comment ref="D74" authorId="0">
      <text>
        <t>fix-20250630x10q.htm | Note: Segment Information (gain shown positive) | 71</t>
      </text>
    </comment>
    <comment ref="E74" authorId="0">
      <text>
        <t>fix-20250930x10q.htm | Note: Segment Information (gain shown positive) | 164</t>
      </text>
    </comment>
    <comment ref="I74" authorId="0">
      <text>
        <t>fix-20251231x10k.htm | Note: Segment Information (gain shown positive) | 541</t>
      </text>
    </comment>
    <comment ref="G74" authorId="0">
      <text>
        <t>fix-20260331x10q.htm | Note: Segment Information (gain shown positive) | (45)</t>
      </text>
    </comment>
    <comment ref="H74" authorId="0">
      <text>
        <t>fix-20260630x10q.htm | Note: Segment Information (gain shown positive) | 159</t>
      </text>
    </comment>
    <comment ref="C85" authorId="0">
      <text>
        <t>fix-20250331x10q.htm | Note: Segment Information | 5,525</t>
      </text>
    </comment>
    <comment ref="D85" authorId="0">
      <text>
        <t>fix-20250630x10q.htm | Note: Segment Information | 5,525</t>
      </text>
    </comment>
    <comment ref="E85" authorId="0">
      <text>
        <t>fix-20250930x10q.htm | Note: Segment Information | 5,525</t>
      </text>
    </comment>
    <comment ref="I85" authorId="0">
      <text>
        <t>fix-20251231x10k.htm | Note: Segment Information | 25,418</t>
      </text>
    </comment>
    <comment ref="G85" authorId="0">
      <text>
        <t>fix-20260331x10q.htm | Note: Segment Information | 9,617</t>
      </text>
    </comment>
    <comment ref="H85" authorId="0">
      <text>
        <t>fix-20260630x10q.htm | Note: Segment Information | 12,845</t>
      </text>
    </comment>
    <comment ref="C88" authorId="0">
      <text>
        <t>fix-20250331x10q.htm | Note: Segment Information | 2,303</t>
      </text>
    </comment>
    <comment ref="D88" authorId="0">
      <text>
        <t>fix-20250630x10q.htm | Note: Segment Information | 2,458</t>
      </text>
    </comment>
    <comment ref="E88" authorId="0">
      <text>
        <t>fix-20250930x10q.htm | Note: Segment Information | 2,600</t>
      </text>
    </comment>
    <comment ref="I88" authorId="0">
      <text>
        <t>fix-20251231x10k.htm | Note: Segment Information | 10,199</t>
      </text>
    </comment>
    <comment ref="G88" authorId="0">
      <text>
        <t>fix-20260331x10q.htm | Note: Segment Information | 2,958</t>
      </text>
    </comment>
    <comment ref="H88" authorId="0">
      <text>
        <t>fix-20260630x10q.htm | Note: Segment Information | 3,243</t>
      </text>
    </comment>
    <comment ref="C95" authorId="0">
      <text>
        <t>fix-20250331x10q.htm | Note: Segment Information | 3,539</t>
      </text>
    </comment>
    <comment ref="D95" authorId="0">
      <text>
        <t>fix-20250630x10q.htm | Note: Segment Information | 6,093</t>
      </text>
    </comment>
    <comment ref="E95" authorId="0">
      <text>
        <t>fix-20250930x10q.htm | Note: Segment Information | 5,787</t>
      </text>
    </comment>
    <comment ref="I95" authorId="0">
      <text>
        <t>fix-20251231x10k.htm | Note: Segment Information | 26,556</t>
      </text>
    </comment>
    <comment ref="G95" authorId="0">
      <text>
        <t>fix-20260331x10q.htm | Note: Segment Information | 6,629</t>
      </text>
    </comment>
    <comment ref="H95" authorId="0">
      <text>
        <t>fix-20260630x10q.htm | Note: Segment Information | 9,185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C9" authorId="0">
      <text>
        <t>fix-20250331x10q.htm | Consolidated Statements of Operations | 1,831,286</t>
      </text>
    </comment>
    <comment ref="D9" authorId="0">
      <text>
        <t>fix-20260630x10q.htm | Consolidated Statements of Operations | 2,173,319</t>
      </text>
    </comment>
    <comment ref="E9" authorId="0">
      <text>
        <t>fix-20250930x10q.htm | Consolidated Statements of Operations | 2,450,969</t>
      </text>
    </comment>
    <comment ref="I9" authorId="0">
      <text>
        <t>fix-20251231x10k.htm | Consolidated Statements of Operations | 9,101,641</t>
      </text>
    </comment>
    <comment ref="G9" authorId="0">
      <text>
        <t>fix-20260331x10q.htm | Consolidated Statements of Operations | 2,865,332</t>
      </text>
    </comment>
    <comment ref="H9" authorId="0">
      <text>
        <t>fix-20260630x10q.htm | Consolidated Statements of Operations | 3,265,656</t>
      </text>
    </comment>
    <comment ref="C14" authorId="0">
      <text>
        <t>fix-20250331x10q.htm | Consolidated Statements of Operations (2024 comparative) | 1,537,016</t>
      </text>
    </comment>
    <comment ref="D14" authorId="0">
      <text>
        <t>fix-20250630x10q.htm | Consolidated Statements of Operations (2024 comparative) | 1,810,290</t>
      </text>
    </comment>
    <comment ref="E14" authorId="0">
      <text>
        <t>fix-20250930x10q.htm | Consolidated Statements of Operations (2024 comparative) | 1,812,366</t>
      </text>
    </comment>
    <comment ref="I14" authorId="0">
      <text>
        <t>fix-20251231x10k.htm | Consolidated Statements of Operations (2024 comparative) | 7,027,476</t>
      </text>
    </comment>
    <comment ref="C15" authorId="0">
      <text>
        <t>fix-20250331x10q.htm | Consolidated Statements of Operations | 1,427,870</t>
      </text>
    </comment>
    <comment ref="D15" authorId="0">
      <text>
        <t>fix-20260630x10q.htm | Consolidated Statements of Operations | 1,663,422</t>
      </text>
    </comment>
    <comment ref="E15" authorId="0">
      <text>
        <t>fix-20250930x10q.htm | Consolidated Statements of Operations | 1,843,098</t>
      </text>
    </comment>
    <comment ref="I15" authorId="0">
      <text>
        <t>fix-20251231x10k.htm | Consolidated Statements of Operations | 6,905,742</t>
      </text>
    </comment>
    <comment ref="G15" authorId="0">
      <text>
        <t>fix-20260331x10q.htm | Consolidated Statements of Operations | 2,110,920</t>
      </text>
    </comment>
    <comment ref="H15" authorId="0">
      <text>
        <t>fix-20260630x10q.htm | Consolidated Statements of Operations | 2,421,428</t>
      </text>
    </comment>
    <comment ref="C22" authorId="0">
      <text>
        <t>fix-20250331x10q.htm | Consolidated Statements of Operations | 194,874</t>
      </text>
    </comment>
    <comment ref="D22" authorId="0">
      <text>
        <t>fix-20260630x10q.htm | Consolidated Statements of Operations | 210,466</t>
      </text>
    </comment>
    <comment ref="E22" authorId="0">
      <text>
        <t>fix-20250930x10q.htm | Consolidated Statements of Operations | 229,579</t>
      </text>
    </comment>
    <comment ref="I22" authorId="0">
      <text>
        <t>fix-20251231x10k.htm | Consolidated Statements of Operations | 883,284</t>
      </text>
    </comment>
    <comment ref="G22" authorId="0">
      <text>
        <t>fix-20260331x10q.htm | Consolidated Statements of Operations | 268,996</t>
      </text>
    </comment>
    <comment ref="H22" authorId="0">
      <text>
        <t>fix-20260630x10q.htm | Consolidated Statements of Operations | 287,047</t>
      </text>
    </comment>
    <comment ref="C23" authorId="0">
      <text>
        <t>fix-20250331x10q.htm | Note: Segment Information (Corporate) | 18,558</t>
      </text>
    </comment>
    <comment ref="D23" authorId="0">
      <text>
        <t>fix-20250630x10q.htm | Note: Segment Information (Corporate) | 18,157</t>
      </text>
    </comment>
    <comment ref="E23" authorId="0">
      <text>
        <t>fix-20250930x10q.htm | Note: Segment Information (Corporate) | 17,116</t>
      </text>
    </comment>
    <comment ref="I23" authorId="0">
      <text>
        <t>fix-20251231x10k.htm | Note: Segment Information (Corporate) | 72,360</t>
      </text>
    </comment>
    <comment ref="G23" authorId="0">
      <text>
        <t>fix-20260331x10q.htm | Note: Segment Information (Corporate) | 32,628</t>
      </text>
    </comment>
    <comment ref="H23" authorId="0">
      <text>
        <t>fix-20260630x10q.htm | Note: Segment Information (Corporate) | 22,824</t>
      </text>
    </comment>
    <comment ref="C29" authorId="0">
      <text>
        <t>fix-20250331x10q.htm | Consolidated Statements of Operations (gain shown positive) | 556</t>
      </text>
    </comment>
    <comment ref="D29" authorId="0">
      <text>
        <t>fix-20260630x10q.htm | Consolidated Statements of Operations (gain shown positive) | 442</t>
      </text>
    </comment>
    <comment ref="E29" authorId="0">
      <text>
        <t>fix-20250930x10q.htm | Consolidated Statements of Operations (gain shown positive) | 582</t>
      </text>
    </comment>
    <comment ref="I29" authorId="0">
      <text>
        <t>fix-20251231x10k.htm | Consolidated Statements of Operations (gain shown positive) | 1,974</t>
      </text>
    </comment>
    <comment ref="G29" authorId="0">
      <text>
        <t>fix-20260331x10q.htm | Consolidated Statements of Operations (gain shown positive) | 302</t>
      </text>
    </comment>
    <comment ref="H29" authorId="0">
      <text>
        <t>fix-20260630x10q.htm | Consolidated Statements of Operations (gain shown positive) | 785</t>
      </text>
    </comment>
    <comment ref="C36" authorId="0">
      <text>
        <t>fix-20250331x10q.htm | Consolidated Statements of Operations | 4,267</t>
      </text>
    </comment>
    <comment ref="D36" authorId="0">
      <text>
        <t>fix-20260630x10q.htm | Consolidated Statements of Operations | 2,819</t>
      </text>
    </comment>
    <comment ref="E36" authorId="0">
      <text>
        <t>fix-20250930x10q.htm | Consolidated Statements of Operations | 6,381</t>
      </text>
    </comment>
    <comment ref="I36" authorId="0">
      <text>
        <t>fix-20251231x10k.htm | Consolidated Statements of Operations | 21,604</t>
      </text>
    </comment>
    <comment ref="G36" authorId="0">
      <text>
        <t>fix-20260331x10q.htm | Consolidated Statements of Operations | 8,512</t>
      </text>
    </comment>
    <comment ref="H36" authorId="0">
      <text>
        <t>fix-20260630x10q.htm | Consolidated Statements of Operations | 11,051</t>
      </text>
    </comment>
    <comment ref="C39" authorId="0">
      <text>
        <t>fix-20250331x10q.htm | Consolidated Statements of Operations | (1,619)</t>
      </text>
    </comment>
    <comment ref="D39" authorId="0">
      <text>
        <t>fix-20260630x10q.htm | Consolidated Statements of Operations | (1,605)</t>
      </text>
    </comment>
    <comment ref="E39" authorId="0">
      <text>
        <t>fix-20250930x10q.htm | Consolidated Statements of Operations | (2,974)</t>
      </text>
    </comment>
    <comment ref="I39" authorId="0">
      <text>
        <t>fix-20251231x10k.htm | Consolidated Statements of Operations | (9,009)</t>
      </text>
    </comment>
    <comment ref="G39" authorId="0">
      <text>
        <t>fix-20260331x10q.htm | Consolidated Statements of Operations | (2,178)</t>
      </text>
    </comment>
    <comment ref="H39" authorId="0">
      <text>
        <t>fix-20260630x10q.htm | Consolidated Statements of Operations | (1,437)</t>
      </text>
    </comment>
    <comment ref="C42" authorId="0">
      <text>
        <t>fix-20250331x10q.htm | Consolidated Statements of Operations | (3,758)</t>
      </text>
    </comment>
    <comment ref="D42" authorId="0">
      <text>
        <t>fix-20260630x10q.htm | Consolidated Statements of Operations | (4,073)</t>
      </text>
    </comment>
    <comment ref="E42" authorId="0">
      <text>
        <t>fix-20250930x10q.htm | Consolidated Statements of Operations | (12,103)</t>
      </text>
    </comment>
    <comment ref="I42" authorId="0">
      <text>
        <t>fix-20251231x10k.htm | Consolidated Statements of Operations | (33,473)</t>
      </text>
    </comment>
    <comment ref="G42" authorId="0">
      <text>
        <t>fix-20260331x10q.htm | Consolidated Statements of Operations | (10,370)</t>
      </text>
    </comment>
    <comment ref="H42" authorId="0">
      <text>
        <t>fix-20260630x10q.htm | Consolidated Statements of Operations | (2,045)</t>
      </text>
    </comment>
    <comment ref="C45" authorId="0">
      <text>
        <t>fix-20250331x10q.htm | Consolidated Statements of Operations | 24</t>
      </text>
    </comment>
    <comment ref="D45" authorId="0">
      <text>
        <t>fix-20260630x10q.htm | Consolidated Statements of Operations | (530)</t>
      </text>
    </comment>
    <comment ref="E45" authorId="0">
      <text>
        <t>fix-20250930x10q.htm | Consolidated Statements of Operations | 280</t>
      </text>
    </comment>
    <comment ref="I45" authorId="0">
      <text>
        <t>fix-20251231x10k.htm | Consolidated Statements of Operations | (258)</t>
      </text>
    </comment>
    <comment ref="G45" authorId="0">
      <text>
        <t>fix-20260331x10q.htm | Consolidated Statements of Operations | 464</t>
      </text>
    </comment>
    <comment ref="H45" authorId="0">
      <text>
        <t>fix-20260630x10q.htm | Consolidated Statements of Operations | 708</t>
      </text>
    </comment>
    <comment ref="C51" authorId="0">
      <text>
        <t>fix-20250331x10q.htm | Consolidated Statements of Operations | 38,723</t>
      </text>
    </comment>
    <comment ref="D51" authorId="0">
      <text>
        <t>fix-20260630x10q.htm | Consolidated Statements of Operations | 65,636</t>
      </text>
    </comment>
    <comment ref="E51" authorId="0">
      <text>
        <t>fix-20250930x10q.htm | Consolidated Statements of Operations | 78,843</t>
      </text>
    </comment>
    <comment ref="I51" authorId="0">
      <text>
        <t>fix-20251231x10k.htm | Consolidated Statements of Operations | 270,895</t>
      </text>
    </comment>
    <comment ref="G51" authorId="0">
      <text>
        <t>fix-20260331x10q.htm | Consolidated Statements of Operations | 111,768</t>
      </text>
    </comment>
    <comment ref="H51" authorId="0">
      <text>
        <t>fix-20260630x10q.htm | Consolidated Statements of Operations | 124,641</t>
      </text>
    </comment>
    <comment ref="I69" authorId="0">
      <text>
        <t>fix-20251231x10k.htm | Consolidated Statements of Operations | $28.88</t>
      </text>
    </comment>
    <comment ref="C97" authorId="0">
      <text>
        <t>fix-20250331x10q.htm | Note: Segment Information (Corporate) | 303</t>
      </text>
    </comment>
    <comment ref="D97" authorId="0">
      <text>
        <t>fix-20250630x10q.htm | Note: Segment Information (Corporate) | 305</t>
      </text>
    </comment>
    <comment ref="E97" authorId="0">
      <text>
        <t>fix-20250930x10q.htm | Note: Segment Information (Corporate) | 400</t>
      </text>
    </comment>
    <comment ref="I97" authorId="0">
      <text>
        <t>fix-20251231x10k.htm | Note: Segment Information (Corporate) | 1,426</t>
      </text>
    </comment>
    <comment ref="G97" authorId="0">
      <text>
        <t>fix-20260331x10q.htm | Note: Segment Information (Corporate) | 372</t>
      </text>
    </comment>
    <comment ref="H97" authorId="0">
      <text>
        <t>fix-20260630x10q.htm | Note: Segment Information (Corporate) | 385</t>
      </text>
    </comment>
    <comment ref="D106" authorId="0">
      <text>
        <t>fix-20260723xex99d1.htm | Supplemental Non-GAAP Information - Adjusted EBITDA | 334,078</t>
      </text>
    </comment>
    <comment ref="F106" authorId="0">
      <text>
        <t>fix-20260219xex99d1.htm | Supplemental Non-GAAP Information - Adjusted EBITDA | 463,963</t>
      </text>
    </comment>
    <comment ref="I106" authorId="0">
      <text>
        <t>fix-20260219xex99d1.htm | Supplemental Non-GAAP Information - Adjusted EBITDA | 1,454,574</t>
      </text>
    </comment>
    <comment ref="H106" authorId="0">
      <text>
        <t>fix-20260723xex99d1.htm | Supplemental Non-GAAP Information - Adjusted EBITDA | 600,491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C9" authorId="0">
      <text>
        <t>fix-20250331x10q.htm | Consolidated Balance Sheets | 204,758</t>
      </text>
    </comment>
    <comment ref="D9" authorId="0">
      <text>
        <t>fix-20250630x10q.htm | Consolidated Balance Sheets | 331,710</t>
      </text>
    </comment>
    <comment ref="E9" authorId="0">
      <text>
        <t>fix-20250930x10q.htm | Consolidated Balance Sheets | 860,523</t>
      </text>
    </comment>
    <comment ref="F9" authorId="0">
      <text>
        <t>fix-20251231x10k.htm | Consolidated Balance Sheets | 981,898</t>
      </text>
    </comment>
    <comment ref="G9" authorId="0">
      <text>
        <t>fix-20260331x10q.htm | Consolidated Balance Sheets | 1,050,164</t>
      </text>
    </comment>
    <comment ref="H9" authorId="0">
      <text>
        <t>fix-20260630x10q.htm | Consolidated Balance Sheets | 1,854,794</t>
      </text>
    </comment>
    <comment ref="C10" authorId="0">
      <text>
        <t>fix-20250331x10q.htm | Consolidated Balance Sheets | 1,736,976</t>
      </text>
    </comment>
    <comment ref="D10" authorId="0">
      <text>
        <t>fix-20250630x10q.htm | Consolidated Balance Sheets | 2,162,345</t>
      </text>
    </comment>
    <comment ref="E10" authorId="0">
      <text>
        <t>fix-20250930x10q.htm | Consolidated Balance Sheets | 2,306,295</t>
      </text>
    </comment>
    <comment ref="F10" authorId="0">
      <text>
        <t>fix-20251231x10k.htm | Consolidated Balance Sheets | 2,577,858</t>
      </text>
    </comment>
    <comment ref="G10" authorId="0">
      <text>
        <t>fix-20260331x10q.htm | Consolidated Balance Sheets | 2,805,270</t>
      </text>
    </comment>
    <comment ref="H10" authorId="0">
      <text>
        <t>fix-20260630x10q.htm | Consolidated Balance Sheets | 3,278,811</t>
      </text>
    </comment>
    <comment ref="C13" authorId="0">
      <text>
        <t>fix-20250331x10q.htm | Consolidated Balance Sheets | 110,496</t>
      </text>
    </comment>
    <comment ref="D13" authorId="0">
      <text>
        <t>fix-20250630x10q.htm | Consolidated Balance Sheets | 149,721</t>
      </text>
    </comment>
    <comment ref="E13" authorId="0">
      <text>
        <t>fix-20250930x10q.htm | Consolidated Balance Sheets | 145,615</t>
      </text>
    </comment>
    <comment ref="F13" authorId="0">
      <text>
        <t>fix-20251231x10k.htm | Consolidated Balance Sheets | 123,197</t>
      </text>
    </comment>
    <comment ref="G13" authorId="0">
      <text>
        <t>fix-20260331x10q.htm | Consolidated Balance Sheets | 137,070</t>
      </text>
    </comment>
    <comment ref="H13" authorId="0">
      <text>
        <t>fix-20260630x10q.htm | Consolidated Balance Sheets | 136,617</t>
      </text>
    </comment>
    <comment ref="C16" authorId="0">
      <text>
        <t>fix-20250331x10q.htm | Consolidated Balance Sheets | 203,687</t>
      </text>
    </comment>
    <comment ref="D16" authorId="0">
      <text>
        <t>fix-20250630x10q.htm | Consolidated Balance Sheets | 87,376</t>
      </text>
    </comment>
    <comment ref="E16" authorId="0">
      <text>
        <t>fix-20250930x10q.htm | Consolidated Balance Sheets | 85,755</t>
      </text>
    </comment>
    <comment ref="F16" authorId="0">
      <text>
        <t>fix-20251231x10k.htm | Consolidated Balance Sheets | 116,157</t>
      </text>
    </comment>
    <comment ref="G16" authorId="0">
      <text>
        <t>fix-20260331x10q.htm | Consolidated Balance Sheets | 108,885</t>
      </text>
    </comment>
    <comment ref="H16" authorId="0">
      <text>
        <t>fix-20260630x10q.htm | Consolidated Balance Sheets | 122,100</t>
      </text>
    </comment>
    <comment ref="C19" authorId="0">
      <text>
        <t>fix-20250331x10q.htm | Consolidated Balance Sheets | 63,045</t>
      </text>
    </comment>
    <comment ref="D19" authorId="0">
      <text>
        <t>fix-20250630x10q.htm | Consolidated Balance Sheets | 70,732</t>
      </text>
    </comment>
    <comment ref="E19" authorId="0">
      <text>
        <t>fix-20250930x10q.htm | Consolidated Balance Sheets | 78,830</t>
      </text>
    </comment>
    <comment ref="F19" authorId="0">
      <text>
        <t>fix-20251231x10k.htm | Consolidated Balance Sheets | 84,066</t>
      </text>
    </comment>
    <comment ref="G19" authorId="0">
      <text>
        <t>fix-20260331x10q.htm | Consolidated Balance Sheets | 93,947</t>
      </text>
    </comment>
    <comment ref="H19" authorId="0">
      <text>
        <t>fix-20260630x10q.htm | Consolidated Balance Sheets | 104,804</t>
      </text>
    </comment>
    <comment ref="C22" authorId="0">
      <text>
        <t>fix-20250331x10q.htm | Consolidated Balance Sheets | 50,859</t>
      </text>
    </comment>
    <comment ref="D22" authorId="0">
      <text>
        <t>fix-20250630x10q.htm | Consolidated Balance Sheets | 37,991</t>
      </text>
    </comment>
    <comment ref="E22" authorId="0">
      <text>
        <t>fix-20250930x10q.htm | Consolidated Balance Sheets | 63,160</t>
      </text>
    </comment>
    <comment ref="F22" authorId="0">
      <text>
        <t>fix-20251231x10k.htm | Consolidated Balance Sheets | 138,560</t>
      </text>
    </comment>
    <comment ref="G22" authorId="0">
      <text>
        <t>fix-20260331x10q.htm | Consolidated Balance Sheets | 177,588</t>
      </text>
    </comment>
    <comment ref="H22" authorId="0">
      <text>
        <t>fix-20260630x10q.htm | Consolidated Balance Sheets | 146,723</t>
      </text>
    </comment>
    <comment ref="C25" authorId="0">
      <text>
        <t>fix-20250331x10q.htm | Consolidated Balance Sheets | 227,678</t>
      </text>
    </comment>
    <comment ref="D25" authorId="0">
      <text>
        <t>fix-20250630x10q.htm | Consolidated Balance Sheets | 203,404</t>
      </text>
    </comment>
    <comment ref="E25" authorId="0">
      <text>
        <t>fix-20250930x10q.htm | Consolidated Balance Sheets | 163,350</t>
      </text>
    </comment>
    <comment ref="F25" authorId="0">
      <text>
        <t>fix-20251231x10k.htm | Consolidated Balance Sheets | 88,817</t>
      </text>
    </comment>
    <comment ref="G25" authorId="0">
      <text>
        <t>fix-20260331x10q.htm | Consolidated Balance Sheets | 128,007</t>
      </text>
    </comment>
    <comment ref="H25" authorId="0">
      <text>
        <t>fix-20260630x10q.htm | Consolidated Balance Sheets | 144,553</t>
      </text>
    </comment>
    <comment ref="C29" authorId="0">
      <text>
        <t>fix-20250331x10q.htm | Consolidated Balance Sheets | 295,098</t>
      </text>
    </comment>
    <comment ref="D29" authorId="0">
      <text>
        <t>fix-20250630x10q.htm | Consolidated Balance Sheets | 311,249</t>
      </text>
    </comment>
    <comment ref="E29" authorId="0">
      <text>
        <t>fix-20250930x10q.htm | Consolidated Balance Sheets | 337,452</t>
      </text>
    </comment>
    <comment ref="F29" authorId="0">
      <text>
        <t>fix-20251231x10k.htm | Consolidated Balance Sheets | 387,952</t>
      </text>
    </comment>
    <comment ref="G29" authorId="0">
      <text>
        <t>fix-20260331x10q.htm | Consolidated Balance Sheets | 515,796</t>
      </text>
    </comment>
    <comment ref="H29" authorId="0">
      <text>
        <t>fix-20260630x10q.htm | Consolidated Balance Sheets | 653,873</t>
      </text>
    </comment>
    <comment ref="C30" authorId="0">
      <text>
        <t>fix-20250331x10q.htm | Consolidated Balance Sheets | 226,620</t>
      </text>
    </comment>
    <comment ref="D30" authorId="0">
      <text>
        <t>fix-20250630x10q.htm | Consolidated Balance Sheets | 226,430</t>
      </text>
    </comment>
    <comment ref="E30" authorId="0">
      <text>
        <t>fix-20250930x10q.htm | Consolidated Balance Sheets | 274,697</t>
      </text>
    </comment>
    <comment ref="F30" authorId="0">
      <text>
        <t>fix-20251231x10k.htm | Consolidated Balance Sheets | 322,922</t>
      </text>
    </comment>
    <comment ref="G30" authorId="0">
      <text>
        <t>fix-20260331x10q.htm | Consolidated Balance Sheets | 321,652</t>
      </text>
    </comment>
    <comment ref="H30" authorId="0">
      <text>
        <t>fix-20260630x10q.htm | Consolidated Balance Sheets | 299,638</t>
      </text>
    </comment>
    <comment ref="C31" authorId="0">
      <text>
        <t>fix-20250331x10q.htm | Consolidated Balance Sheets | 905,843</t>
      </text>
    </comment>
    <comment ref="D31" authorId="0">
      <text>
        <t>fix-20250630x10q.htm | Consolidated Balance Sheets | 927,780</t>
      </text>
    </comment>
    <comment ref="E31" authorId="0">
      <text>
        <t>fix-20250930x10q.htm | Consolidated Balance Sheets | 928,168</t>
      </text>
    </comment>
    <comment ref="F31" authorId="0">
      <text>
        <t>fix-20251231x10k.htm | Consolidated Balance Sheets | 1,025,515</t>
      </text>
    </comment>
    <comment ref="G31" authorId="0">
      <text>
        <t>fix-20260331x10q.htm | Consolidated Balance Sheets | 1,025,515</t>
      </text>
    </comment>
    <comment ref="H31" authorId="0">
      <text>
        <t>fix-20260630x10q.htm | Consolidated Balance Sheets | 1,101,475</t>
      </text>
    </comment>
    <comment ref="C32" authorId="0">
      <text>
        <t>fix-20250331x10q.htm | Consolidated Balance Sheets | 441,502</t>
      </text>
    </comment>
    <comment ref="D32" authorId="0">
      <text>
        <t>fix-20250630x10q.htm | Consolidated Balance Sheets | 451,446</t>
      </text>
    </comment>
    <comment ref="E32" authorId="0">
      <text>
        <t>fix-20250930x10q.htm | Consolidated Balance Sheets | 431,921</t>
      </text>
    </comment>
    <comment ref="F32" authorId="0">
      <text>
        <t>fix-20251231x10k.htm | Consolidated Balance Sheets | 485,168</t>
      </text>
    </comment>
    <comment ref="G32" authorId="0">
      <text>
        <t>fix-20260331x10q.htm | Consolidated Balance Sheets | 464,774</t>
      </text>
    </comment>
    <comment ref="H32" authorId="0">
      <text>
        <t>fix-20260630x10q.htm | Consolidated Balance Sheets | 534,580</t>
      </text>
    </comment>
    <comment ref="C33" authorId="0">
      <text>
        <t>fix-20250331x10q.htm | Consolidated Balance Sheets | 83,409</t>
      </text>
    </comment>
    <comment ref="D33" authorId="0">
      <text>
        <t>fix-20250630x10q.htm | Consolidated Balance Sheets | 84,344</t>
      </text>
    </comment>
    <comment ref="E33" authorId="0">
      <text>
        <t>fix-20250930x10q.htm | Consolidated Balance Sheets | 77,904</t>
      </text>
    </comment>
    <comment ref="F33" authorId="0">
      <text>
        <t>fix-20251231x10k.htm | Consolidated Balance Sheets | 84,139</t>
      </text>
    </comment>
    <comment ref="G33" authorId="0">
      <text>
        <t>fix-20260331x10q.htm | Consolidated Balance Sheets | 83,183</t>
      </text>
    </comment>
    <comment ref="H33" authorId="0">
      <text>
        <t>fix-20260630x10q.htm | Consolidated Balance Sheets | 80,920</t>
      </text>
    </comment>
    <comment ref="C34" authorId="0">
      <text>
        <t>fix-20250331x10q.htm | Consolidated Balance Sheets | 19,247</t>
      </text>
    </comment>
    <comment ref="D34" authorId="0">
      <text>
        <t>fix-20250630x10q.htm | Consolidated Balance Sheets | 19,201</t>
      </text>
    </comment>
    <comment ref="E34" authorId="0">
      <text>
        <t>fix-20250930x10q.htm | Consolidated Balance Sheets | 24,181</t>
      </text>
    </comment>
    <comment ref="F34" authorId="0">
      <text>
        <t>fix-20251231x10k.htm | Consolidated Balance Sheets | 24,920</t>
      </text>
    </comment>
    <comment ref="G34" authorId="0">
      <text>
        <t>fix-20260331x10q.htm | Consolidated Balance Sheets | 26,495</t>
      </text>
    </comment>
    <comment ref="H34" authorId="0">
      <text>
        <t>fix-20260630x10q.htm | Consolidated Balance Sheets | 28,918</t>
      </text>
    </comment>
    <comment ref="C38" authorId="0">
      <text>
        <t>fix-20250331x10q.htm | Consolidated Balance Sheets | 4,066</t>
      </text>
    </comment>
    <comment ref="D38" authorId="0">
      <text>
        <t>fix-20250630x10q.htm | Consolidated Balance Sheets | 11,689</t>
      </text>
    </comment>
    <comment ref="E38" authorId="0">
      <text>
        <t>fix-20250930x10q.htm | Consolidated Balance Sheets | 4,676</t>
      </text>
    </comment>
    <comment ref="F38" authorId="0">
      <text>
        <t>fix-20251231x10k.htm | Consolidated Balance Sheets | 6,163</t>
      </text>
    </comment>
    <comment ref="G38" authorId="0">
      <text>
        <t>fix-20260331x10q.htm | Consolidated Balance Sheets | 25</t>
      </text>
    </comment>
    <comment ref="H38" authorId="0">
      <text>
        <t>fix-20260630x10q.htm | Consolidated Balance Sheets | 215</t>
      </text>
    </comment>
    <comment ref="C39" authorId="0">
      <text>
        <t>fix-20250331x10q.htm | Consolidated Balance Sheets | 560,663</t>
      </text>
    </comment>
    <comment ref="D39" authorId="0">
      <text>
        <t>fix-20250630x10q.htm | Consolidated Balance Sheets | 573,267</t>
      </text>
    </comment>
    <comment ref="E39" authorId="0">
      <text>
        <t>fix-20250930x10q.htm | Consolidated Balance Sheets | 665,132</t>
      </text>
    </comment>
    <comment ref="F39" authorId="0">
      <text>
        <t>fix-20251231x10k.htm | Consolidated Balance Sheets | 696,348</t>
      </text>
    </comment>
    <comment ref="G39" authorId="0">
      <text>
        <t>fix-20260331x10q.htm | Consolidated Balance Sheets | 719,590</t>
      </text>
    </comment>
    <comment ref="H39" authorId="0">
      <text>
        <t>fix-20260630x10q.htm | Consolidated Balance Sheets | 771,906</t>
      </text>
    </comment>
    <comment ref="C42" authorId="0">
      <text>
        <t>fix-20250331x10q.htm | Consolidated Balance Sheets | 191,950</t>
      </text>
    </comment>
    <comment ref="D42" authorId="0">
      <text>
        <t>fix-20250630x10q.htm | Consolidated Balance Sheets | 264,495</t>
      </text>
    </comment>
    <comment ref="E42" authorId="0">
      <text>
        <t>fix-20250930x10q.htm | Consolidated Balance Sheets | 356,397</t>
      </text>
    </comment>
    <comment ref="F42" authorId="0">
      <text>
        <t>fix-20251231x10k.htm | Consolidated Balance Sheets | 291,722</t>
      </text>
    </comment>
    <comment ref="G42" authorId="0">
      <text>
        <t>fix-20260331x10q.htm | Consolidated Balance Sheets | 278,182</t>
      </text>
    </comment>
    <comment ref="H42" authorId="0">
      <text>
        <t>fix-20260630x10q.htm | Consolidated Balance Sheets | 403,471</t>
      </text>
    </comment>
    <comment ref="C45" authorId="0">
      <text>
        <t>fix-20250331x10q.htm | Consolidated Balance Sheets | 1,267,373</t>
      </text>
    </comment>
    <comment ref="D45" authorId="0">
      <text>
        <t>fix-20250630x10q.htm | Consolidated Balance Sheets | 1,546,306</t>
      </text>
    </comment>
    <comment ref="E45" authorId="0">
      <text>
        <t>fix-20250930x10q.htm | Consolidated Balance Sheets | 1,734,272</t>
      </text>
    </comment>
    <comment ref="F45" authorId="0">
      <text>
        <t>fix-20251231x10k.htm | Consolidated Balance Sheets | 2,120,262</t>
      </text>
    </comment>
    <comment ref="G45" authorId="0">
      <text>
        <t>fix-20260331x10q.htm | Consolidated Balance Sheets | 2,345,279</t>
      </text>
    </comment>
    <comment ref="H45" authorId="0">
      <text>
        <t>fix-20260630x10q.htm | Consolidated Balance Sheets | 3,231,104</t>
      </text>
    </comment>
    <comment ref="C48" authorId="0">
      <text>
        <t>fix-20250331x10q.htm | Consolidated Balance Sheets | 35,413</t>
      </text>
    </comment>
    <comment ref="D48" authorId="0">
      <text>
        <t>fix-20250630x10q.htm | Consolidated Balance Sheets | 35,121</t>
      </text>
    </comment>
    <comment ref="E48" authorId="0">
      <text>
        <t>fix-20250930x10q.htm | Consolidated Balance Sheets | 41,990</t>
      </text>
    </comment>
    <comment ref="F48" authorId="0">
      <text>
        <t>fix-20251231x10k.htm | Consolidated Balance Sheets | 42,973</t>
      </text>
    </comment>
    <comment ref="G48" authorId="0">
      <text>
        <t>fix-20260331x10q.htm | Consolidated Balance Sheets | 37,933</t>
      </text>
    </comment>
    <comment ref="H48" authorId="0">
      <text>
        <t>fix-20260630x10q.htm | Consolidated Balance Sheets | 40,141</t>
      </text>
    </comment>
    <comment ref="C51" authorId="0">
      <text>
        <t>fix-20250331x10q.htm | Consolidated Balance Sheets | 351,779</t>
      </text>
    </comment>
    <comment ref="D51" authorId="0">
      <text>
        <t>fix-20250630x10q.htm | Consolidated Balance Sheets | 268,721</t>
      </text>
    </comment>
    <comment ref="E51" authorId="0">
      <text>
        <t>fix-20250930x10q.htm | Consolidated Balance Sheets | 229,756</t>
      </text>
    </comment>
    <comment ref="F51" authorId="0">
      <text>
        <t>fix-20251231x10k.htm | Consolidated Balance Sheets | 236,382</t>
      </text>
    </comment>
    <comment ref="G51" authorId="0">
      <text>
        <t>fix-20260331x10q.htm | Consolidated Balance Sheets | 249,784</t>
      </text>
    </comment>
    <comment ref="H51" authorId="0">
      <text>
        <t>fix-20260630x10q.htm | Consolidated Balance Sheets | 321,927</t>
      </text>
    </comment>
    <comment ref="C55" authorId="0">
      <text>
        <t>fix-20250331x10q.htm | Consolidated Balance Sheets | 63,776</t>
      </text>
    </comment>
    <comment ref="D55" authorId="0">
      <text>
        <t>fix-20250630x10q.htm | Consolidated Balance Sheets | 61,331</t>
      </text>
    </comment>
    <comment ref="E55" authorId="0">
      <text>
        <t>fix-20250930x10q.htm | Consolidated Balance Sheets | 131,322</t>
      </text>
    </comment>
    <comment ref="F55" authorId="0">
      <text>
        <t>fix-20251231x10k.htm | Consolidated Balance Sheets | 139,063</t>
      </text>
    </comment>
    <comment ref="G55" authorId="0">
      <text>
        <t>fix-20260331x10q.htm | Consolidated Balance Sheets | 39,054</t>
      </text>
    </comment>
    <comment ref="H55" authorId="0">
      <text>
        <t>fix-20260630x10q.htm | Consolidated Balance Sheets | 53,849</t>
      </text>
    </comment>
    <comment ref="C56" authorId="0">
      <text>
        <t>fix-20250331x10q.htm | Consolidated Balance Sheets | 210,364</t>
      </text>
    </comment>
    <comment ref="D56" authorId="0">
      <text>
        <t>fix-20250630x10q.htm | Consolidated Balance Sheets | 210,630</t>
      </text>
    </comment>
    <comment ref="E56" authorId="0">
      <text>
        <t>fix-20250930x10q.htm | Consolidated Balance Sheets | 258,056</t>
      </text>
    </comment>
    <comment ref="F56" authorId="0">
      <text>
        <t>fix-20251231x10k.htm | Consolidated Balance Sheets | 302,590</t>
      </text>
    </comment>
    <comment ref="G56" authorId="0">
      <text>
        <t>fix-20260331x10q.htm | Consolidated Balance Sheets | 300,005</t>
      </text>
    </comment>
    <comment ref="H56" authorId="0">
      <text>
        <t>fix-20260630x10q.htm | Consolidated Balance Sheets | 273,969</t>
      </text>
    </comment>
    <comment ref="C57" authorId="0">
      <text>
        <t>fix-20250331x10q.htm | Consolidated Balance Sheets | 2,225</t>
      </text>
    </comment>
    <comment ref="D57" authorId="0">
      <text>
        <t>fix-20250630x10q.htm | Consolidated Balance Sheets | 2,225</t>
      </text>
    </comment>
    <comment ref="E57" authorId="0">
      <text>
        <t>fix-20250930x10q.htm | Consolidated Balance Sheets | 2,225</t>
      </text>
    </comment>
    <comment ref="F57" authorId="0">
      <text>
        <t>fix-20251231x10k.htm | Consolidated Balance Sheets | 3,892</t>
      </text>
    </comment>
    <comment ref="G57" authorId="0">
      <text>
        <t>fix-20260331x10q.htm | Consolidated Balance Sheets | 3,892</t>
      </text>
    </comment>
    <comment ref="H57" authorId="0">
      <text>
        <t>fix-20260630x10q.htm | Consolidated Balance Sheets | 3,892</t>
      </text>
    </comment>
    <comment ref="C58" authorId="0">
      <text>
        <t>fix-20250331x10q.htm | Consolidated Balance Sheets | 104,596</t>
      </text>
    </comment>
    <comment ref="D58" authorId="0">
      <text>
        <t>fix-20250630x10q.htm | Consolidated Balance Sheets | 118,735</t>
      </text>
    </comment>
    <comment ref="E58" authorId="0">
      <text>
        <t>fix-20250930x10q.htm | Consolidated Balance Sheets | 120,639</t>
      </text>
    </comment>
    <comment ref="F58" authorId="0">
      <text>
        <t>fix-20251231x10k.htm | Consolidated Balance Sheets | 153,000</t>
      </text>
    </comment>
    <comment ref="G58" authorId="0">
      <text>
        <t>fix-20260331x10q.htm | Consolidated Balance Sheets | 149,554</t>
      </text>
    </comment>
    <comment ref="H58" authorId="0">
      <text>
        <t>fix-20260630x10q.htm | Consolidated Balance Sheets | 170,063</t>
      </text>
    </comment>
    <comment ref="C62" authorId="0">
      <text>
        <t>fix-20250331x10q.htm | Consolidated Balance Sheets | 411</t>
      </text>
    </comment>
    <comment ref="D62" authorId="0">
      <text>
        <t>fix-20250630x10q.htm | Consolidated Balance Sheets | 411</t>
      </text>
    </comment>
    <comment ref="E62" authorId="0">
      <text>
        <t>fix-20250930x10q.htm | Consolidated Balance Sheets | 411</t>
      </text>
    </comment>
    <comment ref="F62" authorId="0">
      <text>
        <t>fix-20251231x10k.htm | Consolidated Balance Sheets | 411</t>
      </text>
    </comment>
    <comment ref="G62" authorId="0">
      <text>
        <t>fix-20260331x10q.htm | Consolidated Balance Sheets | 411</t>
      </text>
    </comment>
    <comment ref="H62" authorId="0">
      <text>
        <t>fix-20260630x10q.htm | Consolidated Balance Sheets | 411</t>
      </text>
    </comment>
    <comment ref="C63" authorId="0">
      <text>
        <t>fix-20250331x10q.htm | Consolidated Balance Sheets | (367,508)</t>
      </text>
    </comment>
    <comment ref="D63" authorId="0">
      <text>
        <t>fix-20250630x10q.htm | Consolidated Balance Sheets | (388,298)</t>
      </text>
    </comment>
    <comment ref="E63" authorId="0">
      <text>
        <t>fix-20250930x10q.htm | Consolidated Balance Sheets | (401,121)</t>
      </text>
    </comment>
    <comment ref="F63" authorId="0">
      <text>
        <t>fix-20251231x10k.htm | Consolidated Balance Sheets | (496,006)</t>
      </text>
    </comment>
    <comment ref="G63" authorId="0">
      <text>
        <t>fix-20260331x10q.htm | Consolidated Balance Sheets | (500,449)</t>
      </text>
    </comment>
    <comment ref="H63" authorId="0">
      <text>
        <t>fix-20260630x10q.htm | Consolidated Balance Sheets | (517,499)</t>
      </text>
    </comment>
    <comment ref="C64" authorId="0">
      <text>
        <t>fix-20250331x10q.htm | Consolidated Balance Sheets | 361,653</t>
      </text>
    </comment>
    <comment ref="D64" authorId="0">
      <text>
        <t>fix-20250630x10q.htm | Consolidated Balance Sheets | 361,662</t>
      </text>
    </comment>
    <comment ref="E64" authorId="0">
      <text>
        <t>fix-20250930x10q.htm | Consolidated Balance Sheets | 362,688</t>
      </text>
    </comment>
    <comment ref="F64" authorId="0">
      <text>
        <t>fix-20251231x10k.htm | Consolidated Balance Sheets | 363,314</t>
      </text>
    </comment>
    <comment ref="G64" authorId="0">
      <text>
        <t>fix-20260331x10q.htm | Consolidated Balance Sheets | 388,276</t>
      </text>
    </comment>
    <comment ref="H64" authorId="0">
      <text>
        <t>fix-20260630x10q.htm | Consolidated Balance Sheets | 394,107</t>
      </text>
    </comment>
    <comment ref="C65" authorId="0">
      <text>
        <t>fix-20250331x10q.htm | Consolidated Balance Sheets | 1,782,457</t>
      </text>
    </comment>
    <comment ref="D65" authorId="0">
      <text>
        <t>fix-20250630x10q.htm | Consolidated Balance Sheets | 1,997,434</t>
      </text>
    </comment>
    <comment ref="E65" authorId="0">
      <text>
        <t>fix-20250930x10q.htm | Consolidated Balance Sheets | 2,271,408</t>
      </text>
    </comment>
    <comment ref="F65" authorId="0">
      <text>
        <t>fix-20251231x10k.htm | Consolidated Balance Sheets | 2,581,055</t>
      </text>
    </comment>
    <comment ref="G65" authorId="0">
      <text>
        <t>fix-20260331x10q.htm | Consolidated Balance Sheets | 2,926,810</t>
      </text>
    </comment>
    <comment ref="H65" authorId="0">
      <text>
        <t>fix-20260630x10q.htm | Consolidated Balance Sheets | 3,340,250</t>
      </text>
    </comment>
    <comment ref="C69" authorId="0">
      <text>
        <t>fix-20250331x10q.htm | Consolidated Balance Sheets | 4,569,218</t>
      </text>
    </comment>
    <comment ref="D69" authorId="0">
      <text>
        <t>fix-20250630x10q.htm | Consolidated Balance Sheets | 5,063,729</t>
      </text>
    </comment>
    <comment ref="E69" authorId="0">
      <text>
        <t>fix-20250930x10q.htm | Consolidated Balance Sheets | 5,777,851</t>
      </text>
    </comment>
    <comment ref="F69" authorId="0">
      <text>
        <t>fix-20251231x10k.htm | Consolidated Balance Sheets | 6,441,169</t>
      </text>
    </comment>
    <comment ref="G69" authorId="0">
      <text>
        <t>fix-20260331x10q.htm | Consolidated Balance Sheets | 6,938,346</t>
      </text>
    </comment>
    <comment ref="H69" authorId="0">
      <text>
        <t>fix-20260630x10q.htm | Consolidated Balance Sheets | 8,487,806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C114" authorId="0">
      <text>
        <t>fix-20251231x10k.htm | Consolidated Balance Sheets (Dec 31, 2024 column) | 549,939</t>
      </text>
    </comment>
    <comment ref="D128" authorId="0">
      <text>
        <t>fix-20260723xex99d1.htm | Selected Cash Flow Data - Free cash flow | 222,191</t>
      </text>
    </comment>
    <comment ref="F128" authorId="0">
      <text>
        <t>fix-20260219xex99d1.htm | Selected Cash Flow Data - Free cash flow | 402,993</t>
      </text>
    </comment>
    <comment ref="I128" authorId="0">
      <text>
        <t>fix-20260219xex99d1.htm | Selected Cash Flow Data - Free cash flow | 1,035,148</t>
      </text>
    </comment>
    <comment ref="H128" authorId="0">
      <text>
        <t>fix-20260723xex99d1.htm | Selected Cash Flow Data - Free cash flow | 999,320</t>
      </text>
    </comment>
    <comment ref="C134" authorId="0">
      <text>
        <t>fix-20250331x10q.htm | Note: Segment Information (Corporate) | 250</t>
      </text>
    </comment>
    <comment ref="D134" authorId="0">
      <text>
        <t>fix-20250630x10q.htm | Note: Segment Information (Corporate) | 301</t>
      </text>
    </comment>
    <comment ref="E134" authorId="0">
      <text>
        <t>fix-20250930x10q.htm | Note: Segment Information (Corporate) | 664</t>
      </text>
    </comment>
    <comment ref="I134" authorId="0">
      <text>
        <t>fix-20251231x10k.htm | Note: Segment Information (Corporate) | 1,911</t>
      </text>
    </comment>
    <comment ref="G134" authorId="0">
      <text>
        <t>fix-20260331x10q.htm | Note: Segment Information (Corporate) | 630</t>
      </text>
    </comment>
    <comment ref="H134" authorId="0">
      <text>
        <t>fix-20260630x10q.htm | Note: Segment Information (Corporate) | 361</t>
      </text>
    </comment>
    <comment ref="C145" authorId="0">
      <text>
        <t>fix-20250331x10q.htm | Consolidated Statements of Cash Flows | 169,289</t>
      </text>
    </comment>
    <comment ref="D145" authorId="0">
      <text>
        <t>fix-20260630x10q.htm | Consolidated Statements of Cash Flows | 400,137</t>
      </text>
    </comment>
    <comment ref="E145" authorId="0">
      <text>
        <t>fix-20250930x10q.htm | Consolidated Statements of Cash Flows | 691,752</t>
      </text>
    </comment>
    <comment ref="F145" authorId="0">
      <text>
        <t>fix-20251231x10k.htm | Consolidated Statements of Cash Flows | 1,022,558</t>
      </text>
    </comment>
    <comment ref="G145" authorId="0">
      <text>
        <t>fix-20260331x10q.htm | Consolidated Statements of Cash Flows | 370,378</t>
      </text>
    </comment>
    <comment ref="H145" authorId="0">
      <text>
        <t>fix-20260630x10q.htm | Consolidated Statements of Cash Flows | 811,980</t>
      </text>
    </comment>
    <comment ref="C146" authorId="0">
      <text>
        <t>fix-20250331x10q.htm | Consolidated Statements of Cash Flows | 20,115</t>
      </text>
    </comment>
    <comment ref="D146" authorId="0">
      <text>
        <t>fix-20260630x10q.htm | Consolidated Statements of Cash Flows | 39,906</t>
      </text>
    </comment>
    <comment ref="E146" authorId="0">
      <text>
        <t>fix-20250930x10q.htm | Consolidated Statements of Cash Flows | 59,432</t>
      </text>
    </comment>
    <comment ref="F146" authorId="0">
      <text>
        <t>fix-20251231x10k.htm | Consolidated Statements of Cash Flows | 79,580</t>
      </text>
    </comment>
    <comment ref="G146" authorId="0">
      <text>
        <t>fix-20260331x10q.htm | Consolidated Statements of Cash Flows | 20,394</t>
      </text>
    </comment>
    <comment ref="H146" authorId="0">
      <text>
        <t>fix-20260630x10q.htm | Consolidated Statements of Cash Flows | 43,668</t>
      </text>
    </comment>
    <comment ref="C147" authorId="0">
      <text>
        <t>fix-20250331x10q.htm | Consolidated Statements of Cash Flows | 14,010</t>
      </text>
    </comment>
    <comment ref="D147" authorId="0">
      <text>
        <t>fix-20260630x10q.htm | Consolidated Statements of Cash Flows | 28,866</t>
      </text>
    </comment>
    <comment ref="E147" authorId="0">
      <text>
        <t>fix-20250930x10q.htm | Consolidated Statements of Cash Flows | 44,914</t>
      </text>
    </comment>
    <comment ref="F147" authorId="0">
      <text>
        <t>fix-20251231x10k.htm | Consolidated Statements of Cash Flows | 62,379</t>
      </text>
    </comment>
    <comment ref="G147" authorId="0">
      <text>
        <t>fix-20260331x10q.htm | Consolidated Statements of Cash Flows | 18,566</t>
      </text>
    </comment>
    <comment ref="H147" authorId="0">
      <text>
        <t>fix-20260630x10q.htm | Consolidated Statements of Cash Flows | 38,602</t>
      </text>
    </comment>
    <comment ref="C148" authorId="0">
      <text>
        <t>fix-20250331x10q.htm | Consolidated Statements of Cash Flows | 7,658</t>
      </text>
    </comment>
    <comment ref="D148" authorId="0">
      <text>
        <t>fix-20260630x10q.htm | Consolidated Statements of Cash Flows | 14,968</t>
      </text>
    </comment>
    <comment ref="E148" authorId="0">
      <text>
        <t>fix-20250930x10q.htm | Consolidated Statements of Cash Flows | 22,535</t>
      </text>
    </comment>
    <comment ref="F148" authorId="0">
      <text>
        <t>fix-20251231x10k.htm | Consolidated Statements of Cash Flows | 33,848</t>
      </text>
    </comment>
    <comment ref="G148" authorId="0">
      <text>
        <t>fix-20260331x10q.htm | Consolidated Statements of Cash Flows | 12,668</t>
      </text>
    </comment>
    <comment ref="H148" authorId="0">
      <text>
        <t>fix-20260630x10q.htm | Consolidated Statements of Cash Flows | 23,719</t>
      </text>
    </comment>
    <comment ref="C149" authorId="0">
      <text>
        <t>fix-20250331x10q.htm | Consolidated Statements of Cash Flows | 1,380</t>
      </text>
    </comment>
    <comment ref="D149" authorId="0">
      <text>
        <t>fix-20260630x10q.htm | Consolidated Statements of Cash Flows | 3,688</t>
      </text>
    </comment>
    <comment ref="E149" authorId="0">
      <text>
        <t>fix-20250930x10q.htm | Consolidated Statements of Cash Flows | 5,617</t>
      </text>
    </comment>
    <comment ref="F149" authorId="0">
      <text>
        <t>fix-20251231x10k.htm | Consolidated Statements of Cash Flows | 6,609</t>
      </text>
    </comment>
    <comment ref="G149" authorId="0">
      <text>
        <t>fix-20260331x10q.htm | Consolidated Statements of Cash Flows | 838</t>
      </text>
    </comment>
    <comment ref="H149" authorId="0">
      <text>
        <t>fix-20260630x10q.htm | Consolidated Statements of Cash Flows | 4,328</t>
      </text>
    </comment>
    <comment ref="C150" authorId="0">
      <text>
        <t>fix-20250331x10q.htm | Consolidated Statements of Cash Flows | 2,032</t>
      </text>
    </comment>
    <comment ref="D150" authorId="0">
      <text>
        <t>fix-20260630x10q.htm | Consolidated Statements of Cash Flows | 1,097</t>
      </text>
    </comment>
    <comment ref="E150" authorId="0">
      <text>
        <t>fix-20250930x10q.htm | Consolidated Statements of Cash Flows | 7,537</t>
      </text>
    </comment>
    <comment ref="F150" authorId="0">
      <text>
        <t>fix-20251231x10k.htm | Consolidated Statements of Cash Flows | (5,277)</t>
      </text>
    </comment>
    <comment ref="G150" authorId="0">
      <text>
        <t>fix-20260331x10q.htm | Consolidated Statements of Cash Flows | 956</t>
      </text>
    </comment>
    <comment ref="H150" authorId="0">
      <text>
        <t>fix-20260630x10q.htm | Consolidated Statements of Cash Flows | 3,219</t>
      </text>
    </comment>
    <comment ref="C151" authorId="0">
      <text>
        <t>fix-20250331x10q.htm | Consolidated Statements of Cash Flows | 169</t>
      </text>
    </comment>
    <comment ref="D151" authorId="0">
      <text>
        <t>fix-20260630x10q.htm | Consolidated Statements of Cash Flows | 340</t>
      </text>
    </comment>
    <comment ref="E151" authorId="0">
      <text>
        <t>fix-20250930x10q.htm | Consolidated Statements of Cash Flows | 786</t>
      </text>
    </comment>
    <comment ref="F151" authorId="0">
      <text>
        <t>fix-20251231x10k.htm | Consolidated Statements of Cash Flows | 1,018</t>
      </text>
    </comment>
    <comment ref="G151" authorId="0">
      <text>
        <t>fix-20260331x10q.htm | Consolidated Statements of Cash Flows | 232</t>
      </text>
    </comment>
    <comment ref="H151" authorId="0">
      <text>
        <t>fix-20260630x10q.htm | Consolidated Statements of Cash Flows | 464</t>
      </text>
    </comment>
    <comment ref="C152" authorId="0">
      <text>
        <t>fix-20250331x10q.htm | Consolidated Statements of Cash Flows | (556)</t>
      </text>
    </comment>
    <comment ref="D152" authorId="0">
      <text>
        <t>fix-20260630x10q.htm | Consolidated Statements of Cash Flows | (998)</t>
      </text>
    </comment>
    <comment ref="E152" authorId="0">
      <text>
        <t>fix-20250930x10q.htm | Consolidated Statements of Cash Flows | (1,580)</t>
      </text>
    </comment>
    <comment ref="F152" authorId="0">
      <text>
        <t>fix-20251231x10k.htm | Consolidated Statements of Cash Flows | (1,974)</t>
      </text>
    </comment>
    <comment ref="G152" authorId="0">
      <text>
        <t>fix-20260331x10q.htm | Consolidated Statements of Cash Flows | (302)</t>
      </text>
    </comment>
    <comment ref="H152" authorId="0">
      <text>
        <t>fix-20260630x10q.htm | Consolidated Statements of Cash Flows | (1,087)</t>
      </text>
    </comment>
    <comment ref="C153" authorId="0">
      <text>
        <t>fix-20250331x10q.htm | Consolidated Statements of Cash Flows | 3,758</t>
      </text>
    </comment>
    <comment ref="D153" authorId="0">
      <text>
        <t>fix-20260630x10q.htm | Consolidated Statements of Cash Flows | 7,831</t>
      </text>
    </comment>
    <comment ref="E153" authorId="0">
      <text>
        <t>fix-20250930x10q.htm | Consolidated Statements of Cash Flows | 19,934</t>
      </text>
    </comment>
    <comment ref="F153" authorId="0">
      <text>
        <t>fix-20251231x10k.htm | Consolidated Statements of Cash Flows | 33,473</t>
      </text>
    </comment>
    <comment ref="G153" authorId="0">
      <text>
        <t>fix-20260331x10q.htm | Consolidated Statements of Cash Flows | 10,370</t>
      </text>
    </comment>
    <comment ref="H153" authorId="0">
      <text>
        <t>fix-20260630x10q.htm | Consolidated Statements of Cash Flows | 12,415</t>
      </text>
    </comment>
    <comment ref="C154" authorId="0">
      <text>
        <t>fix-20250331x10q.htm | Consolidated Statements of Cash Flows | 8,037</t>
      </text>
    </comment>
    <comment ref="D154" authorId="0">
      <text>
        <t>fix-20260630x10q.htm | Consolidated Statements of Cash Flows | 12,193</t>
      </text>
    </comment>
    <comment ref="E154" authorId="0">
      <text>
        <t>fix-20250930x10q.htm | Consolidated Statements of Cash Flows | 15,746</t>
      </text>
    </comment>
    <comment ref="F154" authorId="0">
      <text>
        <t>fix-20251231x10k.htm | Consolidated Statements of Cash Flows | 21,809</t>
      </text>
    </comment>
    <comment ref="G154" authorId="0">
      <text>
        <t>fix-20260331x10q.htm | Consolidated Statements of Cash Flows | 19,406</t>
      </text>
    </comment>
    <comment ref="H154" authorId="0">
      <text>
        <t>fix-20260630x10q.htm | Consolidated Statements of Cash Flows | 28,612</t>
      </text>
    </comment>
    <comment ref="C155" authorId="0">
      <text>
        <t>fix-20250331x10q.htm | Consolidated Statements of Cash Flows | 48,265</t>
      </text>
    </comment>
    <comment ref="D155" authorId="0">
      <text>
        <t>fix-20260630x10q.htm | Consolidated Statements of Cash Flows | (239,680)</t>
      </text>
    </comment>
    <comment ref="E155" authorId="0">
      <text>
        <t>fix-20250930x10q.htm | Consolidated Statements of Cash Flows | (378,644)</t>
      </text>
    </comment>
    <comment ref="F155" authorId="0">
      <text>
        <t>fix-20251231x10k.htm | Consolidated Statements of Cash Flows | (594,298)</t>
      </text>
    </comment>
    <comment ref="G155" authorId="0">
      <text>
        <t>fix-20260331x10q.htm | Consolidated Statements of Cash Flows | (214,734)</t>
      </text>
    </comment>
    <comment ref="H155" authorId="0">
      <text>
        <t>fix-20260630x10q.htm | Consolidated Statements of Cash Flows | (633,131)</t>
      </text>
    </comment>
    <comment ref="C156" authorId="0">
      <text>
        <t>fix-20250331x10q.htm | Consolidated Statements of Cash Flows | (3,821)</t>
      </text>
    </comment>
    <comment ref="D156" authorId="0">
      <text>
        <t>fix-20260630x10q.htm | Consolidated Statements of Cash Flows | (11,420)</t>
      </text>
    </comment>
    <comment ref="E156" authorId="0">
      <text>
        <t>fix-20250930x10q.htm | Consolidated Statements of Cash Flows | (19,518)</t>
      </text>
    </comment>
    <comment ref="F156" authorId="0">
      <text>
        <t>fix-20251231x10k.htm | Consolidated Statements of Cash Flows | (24,411)</t>
      </text>
    </comment>
    <comment ref="G156" authorId="0">
      <text>
        <t>fix-20260331x10q.htm | Consolidated Statements of Cash Flows | (9,881)</t>
      </text>
    </comment>
    <comment ref="H156" authorId="0">
      <text>
        <t>fix-20260630x10q.htm | Consolidated Statements of Cash Flows | (20,738)</t>
      </text>
    </comment>
    <comment ref="C157" authorId="0">
      <text>
        <t>fix-20250331x10q.htm | Consolidated Statements of Cash Flows | (2,044)</t>
      </text>
    </comment>
    <comment ref="D157" authorId="0">
      <text>
        <t>fix-20260630x10q.htm | Consolidated Statements of Cash Flows | 3,817</t>
      </text>
    </comment>
    <comment ref="E157" authorId="0">
      <text>
        <t>fix-20250930x10q.htm | Consolidated Statements of Cash Flows | (13,228)</t>
      </text>
    </comment>
    <comment ref="F157" authorId="0">
      <text>
        <t>fix-20251231x10k.htm | Consolidated Statements of Cash Flows | (91,359)</t>
      </text>
    </comment>
    <comment ref="G157" authorId="0">
      <text>
        <t>fix-20260331x10q.htm | Consolidated Statements of Cash Flows | (15,666)</t>
      </text>
    </comment>
    <comment ref="H157" authorId="0">
      <text>
        <t>fix-20260630x10q.htm | Consolidated Statements of Cash Flows | (3)</t>
      </text>
    </comment>
    <comment ref="C158" authorId="0">
      <text>
        <t>fix-20250331x10q.htm | Consolidated Statements of Cash Flows | (150,100)</t>
      </text>
    </comment>
    <comment ref="D158" authorId="0">
      <text>
        <t>fix-20260630x10q.htm | Consolidated Statements of Cash Flows | (163,567)</t>
      </text>
    </comment>
    <comment ref="E158" authorId="0">
      <text>
        <t>fix-20250930x10q.htm | Consolidated Statements of Cash Flows | (119,619)</t>
      </text>
    </comment>
    <comment ref="F158" authorId="0">
      <text>
        <t>fix-20251231x10k.htm | Consolidated Statements of Cash Flows | (19,945)</t>
      </text>
    </comment>
    <comment ref="G158" authorId="0">
      <text>
        <t>fix-20260331x10q.htm | Consolidated Statements of Cash Flows | (52,575)</t>
      </text>
    </comment>
    <comment ref="H158" authorId="0">
      <text>
        <t>fix-20260630x10q.htm | Consolidated Statements of Cash Flows | (49,629)</t>
      </text>
    </comment>
    <comment ref="C159" authorId="0">
      <text>
        <t>fix-20250331x10q.htm | Consolidated Statements of Cash Flows | 24</t>
      </text>
    </comment>
    <comment ref="D159" authorId="0">
      <text>
        <t>fix-20260630x10q.htm | Consolidated Statements of Cash Flows | 135</t>
      </text>
    </comment>
    <comment ref="E159" authorId="0">
      <text>
        <t>fix-20250930x10q.htm | Consolidated Statements of Cash Flows | (567)</t>
      </text>
    </comment>
    <comment ref="F159" authorId="0">
      <text>
        <t>fix-20251231x10k.htm | Consolidated Statements of Cash Flows | (386)</t>
      </text>
    </comment>
    <comment ref="G159" authorId="0">
      <text>
        <t>fix-20260331x10q.htm | Consolidated Statements of Cash Flows | (597)</t>
      </text>
    </comment>
    <comment ref="H159" authorId="0">
      <text>
        <t>fix-20260630x10q.htm | Consolidated Statements of Cash Flows | (3,129)</t>
      </text>
    </comment>
    <comment ref="C160" authorId="0">
      <text>
        <t>fix-20250331x10q.htm | Consolidated Statements of Cash Flows | (312,499)</t>
      </text>
    </comment>
    <comment ref="D160" authorId="0">
      <text>
        <t>fix-20260630x10q.htm | Consolidated Statements of Cash Flows | (320,130)</t>
      </text>
    </comment>
    <comment ref="E160" authorId="0">
      <text>
        <t>fix-20250930x10q.htm | Consolidated Statements of Cash Flows | (194,715)</t>
      </text>
    </comment>
    <comment ref="F160" authorId="0">
      <text>
        <t>fix-20251231x10k.htm | Consolidated Statements of Cash Flows | (276,051)</t>
      </text>
    </comment>
    <comment ref="G160" authorId="0">
      <text>
        <t>fix-20260331x10q.htm | Consolidated Statements of Cash Flows | 4,879</t>
      </text>
    </comment>
    <comment ref="H160" authorId="0">
      <text>
        <t>fix-20260630x10q.htm | Consolidated Statements of Cash Flows | 215,497</t>
      </text>
    </comment>
    <comment ref="C161" authorId="0">
      <text>
        <t>fix-20250331x10q.htm | Consolidated Statements of Cash Flows | 103,063</t>
      </text>
    </comment>
    <comment ref="D161" authorId="0">
      <text>
        <t>fix-20260630x10q.htm | Consolidated Statements of Cash Flows | 376,780</t>
      </text>
    </comment>
    <comment ref="E161" authorId="0">
      <text>
        <t>fix-20250930x10q.htm | Consolidated Statements of Cash Flows | 564,746</t>
      </text>
    </comment>
    <comment ref="F161" authorId="0">
      <text>
        <t>fix-20251231x10k.htm | Consolidated Statements of Cash Flows | 910,084</t>
      </text>
    </comment>
    <comment ref="G161" authorId="0">
      <text>
        <t>fix-20260331x10q.htm | Consolidated Statements of Cash Flows | 225,017</t>
      </text>
    </comment>
    <comment ref="H161" authorId="0">
      <text>
        <t>fix-20260630x10q.htm | Consolidated Statements of Cash Flows | 1,061,506</t>
      </text>
    </comment>
    <comment ref="C162" authorId="0">
      <text>
        <t>fix-20250331x10q.htm | Consolidated Statements of Cash Flows | 3,270</t>
      </text>
    </comment>
    <comment ref="D162" authorId="0">
      <text>
        <t>fix-20260630x10q.htm | Consolidated Statements of Cash Flows | 10,582</t>
      </text>
    </comment>
    <comment ref="E162" authorId="0">
      <text>
        <t>fix-20250930x10q.htm | Consolidated Statements of Cash Flows | 12,688</t>
      </text>
    </comment>
    <comment ref="F162" authorId="0">
      <text>
        <t>fix-20251231x10k.htm | Consolidated Statements of Cash Flows | 28,699</t>
      </text>
    </comment>
    <comment ref="G162" authorId="0">
      <text>
        <t>fix-20260331x10q.htm | Consolidated Statements of Cash Flows | (1,121)</t>
      </text>
    </comment>
    <comment ref="H162" authorId="0">
      <text>
        <t>fix-20260630x10q.htm | Consolidated Statements of Cash Flows | (8,039)</t>
      </text>
    </comment>
    <comment ref="C163" authorId="0">
      <text>
        <t>fix-20250331x10q.htm | Consolidated Statements of Cash Flows | (87,950)</t>
      </text>
    </comment>
    <comment ref="D163" authorId="0">
      <text>
        <t>fix-20260630x10q.htm | Consolidated Statements of Cash Flows | 164,545</t>
      </text>
    </comment>
    <comment ref="E163" authorId="0">
      <text>
        <t>fix-20250930x10q.htm | Consolidated Statements of Cash Flows | 717,816</t>
      </text>
    </comment>
    <comment ref="F163" authorId="0">
      <text>
        <t>fix-20251231x10k.htm | Consolidated Statements of Cash Flows | 1,186,356</t>
      </text>
    </comment>
    <comment ref="G163" authorId="0">
      <text>
        <t>fix-20260331x10q.htm | Consolidated Statements of Cash Flows | 388,828</t>
      </text>
    </comment>
    <comment ref="H163" authorId="0">
      <text>
        <t>fix-20260630x10q.htm | Consolidated Statements of Cash Flows | 1,528,254</t>
      </text>
    </comment>
    <comment ref="C165" authorId="0">
      <text>
        <t>fix-20250331x10q.htm | Consolidated Statements of Cash Flows | (22,208)</t>
      </text>
    </comment>
    <comment ref="D165" authorId="0">
      <text>
        <t>fix-20260630x10q.htm | Consolidated Statements of Cash Flows | (53,481)</t>
      </text>
    </comment>
    <comment ref="E165" authorId="0">
      <text>
        <t>fix-20250930x10q.htm | Consolidated Statements of Cash Flows | (88,813)</t>
      </text>
    </comment>
    <comment ref="F165" authorId="0">
      <text>
        <t>fix-20251231x10k.htm | Consolidated Statements of Cash Flows | (154,903)</t>
      </text>
    </comment>
    <comment ref="G165" authorId="0">
      <text>
        <t>fix-20260331x10q.htm | Consolidated Statements of Cash Flows | (147,473)</t>
      </text>
    </comment>
    <comment ref="H165" authorId="0">
      <text>
        <t>fix-20260630x10q.htm | Consolidated Statements of Cash Flows | (288,837)</t>
      </text>
    </comment>
    <comment ref="C166" authorId="0">
      <text>
        <t>fix-20250331x10q.htm | Consolidated Statements of Cash Flows | 1,095</t>
      </text>
    </comment>
    <comment ref="D166" authorId="0">
      <text>
        <t>fix-20260630x10q.htm | Consolidated Statements of Cash Flows | 2,064</t>
      </text>
    </comment>
    <comment ref="E166" authorId="0">
      <text>
        <t>fix-20250930x10q.htm | Consolidated Statements of Cash Flows | 3,152</t>
      </text>
    </comment>
    <comment ref="F166" authorId="0">
      <text>
        <t>fix-20251231x10k.htm | Consolidated Statements of Cash Flows | 3,695</t>
      </text>
    </comment>
    <comment ref="G166" authorId="0">
      <text>
        <t>fix-20260331x10q.htm | Consolidated Statements of Cash Flows | 874</t>
      </text>
    </comment>
    <comment ref="H166" authorId="0">
      <text>
        <t>fix-20260630x10q.htm | Consolidated Statements of Cash Flows | 2,132</t>
      </text>
    </comment>
    <comment ref="C167" authorId="0">
      <text>
        <t>fix-20250331x10q.htm | Consolidated Statements of Cash Flows | (68,412)</t>
      </text>
    </comment>
    <comment ref="D167" authorId="0">
      <text>
        <t>fix-20260630x10q.htm | Consolidated Statements of Cash Flows | (124,093)</t>
      </text>
    </comment>
    <comment ref="E167" authorId="0">
      <text>
        <t>fix-20250930x10q.htm | Consolidated Statements of Cash Flows | (128,594)</t>
      </text>
    </comment>
    <comment ref="F167" authorId="0">
      <text>
        <t>fix-20251231x10k.htm | Consolidated Statements of Cash Flows | (279,610)</t>
      </text>
    </comment>
    <comment ref="G167" authorId="0">
      <text>
        <t>fix-20260331x10q.htm | Consolidated Statements of Cash Flows | (6,097)</t>
      </text>
    </comment>
    <comment ref="H167" authorId="0">
      <text>
        <t>fix-20260630x10q.htm | Consolidated Statements of Cash Flows | (162,845)</t>
      </text>
    </comment>
    <comment ref="C168" authorId="0">
      <text>
        <t>fix-20250331x10q.htm | Consolidated Statements of Cash Flows | (7,258)</t>
      </text>
    </comment>
    <comment ref="D168" authorId="0">
      <text>
        <t>fix-20260630x10q.htm | Consolidated Statements of Cash Flows | (7,478)</t>
      </text>
    </comment>
    <comment ref="E168" authorId="0">
      <text>
        <t>fix-20250930x10q.htm | Consolidated Statements of Cash Flows | (28,999)</t>
      </text>
    </comment>
    <comment ref="F168" authorId="0">
      <text>
        <t>fix-20251231x10k.htm | Consolidated Statements of Cash Flows | (64,201)</t>
      </text>
    </comment>
    <comment ref="G168" authorId="0">
      <text>
        <t>fix-20260331x10q.htm | Consolidated Statements of Cash Flows | (45,071)</t>
      </text>
    </comment>
    <comment ref="H168" authorId="0">
      <text>
        <t>fix-20260630x10q.htm | Consolidated Statements of Cash Flows | (66,123)</t>
      </text>
    </comment>
    <comment ref="C169" authorId="0">
      <text>
        <t>fix-20250331x10q.htm | Consolidated Statements of Cash Flows | 0</t>
      </text>
    </comment>
    <comment ref="D169" authorId="0">
      <text>
        <t>fix-20260630x10q.htm | Consolidated Statements of Cash Flows | 0</t>
      </text>
    </comment>
    <comment ref="E169" authorId="0">
      <text>
        <t>fix-20250930x10q.htm | Consolidated Statements of Cash Flows | 7,258</t>
      </text>
    </comment>
    <comment ref="F169" authorId="0">
      <text>
        <t>fix-20251231x10k.htm | Consolidated Statements of Cash Flows | 27,747</t>
      </text>
    </comment>
    <comment ref="G169" authorId="0">
      <text>
        <t>fix-20260331x10q.htm | Consolidated Statements of Cash Flows | 13,766</t>
      </text>
    </comment>
    <comment ref="H169" authorId="0">
      <text>
        <t>fix-20260630x10q.htm | Consolidated Statements of Cash Flows | 48,209</t>
      </text>
    </comment>
    <comment ref="C170" authorId="0">
      <text>
        <t>fix-20250331x10q.htm | Consolidated Statements of Cash Flows | (96,783)</t>
      </text>
    </comment>
    <comment ref="D170" authorId="0">
      <text>
        <t>fix-20260630x10q.htm | Consolidated Statements of Cash Flows | (182,988)</t>
      </text>
    </comment>
    <comment ref="E170" authorId="0">
      <text>
        <t>fix-20250930x10q.htm | Consolidated Statements of Cash Flows | (235,996)</t>
      </text>
    </comment>
    <comment ref="F170" authorId="0">
      <text>
        <t>fix-20251231x10k.htm | Consolidated Statements of Cash Flows | (467,272)</t>
      </text>
    </comment>
    <comment ref="G170" authorId="0">
      <text>
        <t>fix-20260331x10q.htm | Consolidated Statements of Cash Flows | (184,001)</t>
      </text>
    </comment>
    <comment ref="H170" authorId="0">
      <text>
        <t>fix-20260630x10q.htm | Consolidated Statements of Cash Flows | (467,464)</t>
      </text>
    </comment>
    <comment ref="C172" authorId="0">
      <text>
        <t>fix-20250331x10q.htm | Consolidated Statements of Cash Flows | 0</t>
      </text>
    </comment>
    <comment ref="D172" authorId="0">
      <text>
        <t>fix-20260630x10q.htm | Consolidated Statements of Cash Flows | 0</t>
      </text>
    </comment>
    <comment ref="E172" authorId="0">
      <text>
        <t>fix-20250930x10q.htm | Consolidated Statements of Cash Flows | 200,000</t>
      </text>
    </comment>
    <comment ref="F172" authorId="0">
      <text>
        <t>fix-20251231x10k.htm | Consolidated Statements of Cash Flows | 200,000</t>
      </text>
    </comment>
    <comment ref="G172" authorId="0">
      <text>
        <t>fix-20260331x10q.htm | Consolidated Statements of Cash Flows | 0</t>
      </text>
    </comment>
    <comment ref="H172" authorId="0">
      <text>
        <t>fix-20260630x10q.htm | Consolidated Statements of Cash Flows | 0</t>
      </text>
    </comment>
    <comment ref="C173" authorId="0">
      <text>
        <t>fix-20250331x10q.htm | Consolidated Statements of Cash Flows | 0</t>
      </text>
    </comment>
    <comment ref="D173" authorId="0">
      <text>
        <t>fix-20260630x10q.htm | Consolidated Statements of Cash Flows | 0</t>
      </text>
    </comment>
    <comment ref="E173" authorId="0">
      <text>
        <t>fix-20250930x10q.htm | Consolidated Statements of Cash Flows | (100,000)</t>
      </text>
    </comment>
    <comment ref="F173" authorId="0">
      <text>
        <t>fix-20251231x10k.htm | Consolidated Statements of Cash Flows | (100,000)</t>
      </text>
    </comment>
    <comment ref="G173" authorId="0">
      <text>
        <t>fix-20260331x10q.htm | Consolidated Statements of Cash Flows | (100,000)</t>
      </text>
    </comment>
    <comment ref="H173" authorId="0">
      <text>
        <t>fix-20260630x10q.htm | Consolidated Statements of Cash Flows | (100,000)</t>
      </text>
    </comment>
    <comment ref="C174" authorId="0">
      <text>
        <t>fix-20250331x10q.htm | Consolidated Statements of Cash Flows | (5,993)</t>
      </text>
    </comment>
    <comment ref="D174" authorId="0">
      <text>
        <t>fix-20260630x10q.htm | Consolidated Statements of Cash Flows | (6,015)</t>
      </text>
    </comment>
    <comment ref="E174" authorId="0">
      <text>
        <t>fix-20250930x10q.htm | Consolidated Statements of Cash Flows | (43,037)</t>
      </text>
    </comment>
    <comment ref="F174" authorId="0">
      <text>
        <t>fix-20251231x10k.htm | Consolidated Statements of Cash Flows | (43,059)</t>
      </text>
    </comment>
    <comment ref="G174" authorId="0">
      <text>
        <t>fix-20260331x10q.htm | Consolidated Statements of Cash Flows | (6,147)</t>
      </text>
    </comment>
    <comment ref="H174" authorId="0">
      <text>
        <t>fix-20260630x10q.htm | Consolidated Statements of Cash Flows | (10,097)</t>
      </text>
    </comment>
    <comment ref="C175" authorId="0">
      <text>
        <t>fix-20250331x10q.htm | Consolidated Statements of Cash Flows | 0</t>
      </text>
    </comment>
    <comment ref="D175" authorId="0">
      <text>
        <t>fix-20260630x10q.htm | Consolidated Statements of Cash Flows | 0</t>
      </text>
    </comment>
    <comment ref="E175" authorId="0">
      <text>
        <t>fix-20250930x10q.htm | Consolidated Statements of Cash Flows | (3,709)</t>
      </text>
    </comment>
    <comment ref="F175" authorId="0">
      <text>
        <t>fix-20251231x10k.htm | Consolidated Statements of Cash Flows | (3,709)</t>
      </text>
    </comment>
    <comment ref="G175" authorId="0">
      <text>
        <t>fix-20260331x10q.htm | Consolidated Statements of Cash Flows | 0</t>
      </text>
    </comment>
    <comment ref="H175" authorId="0">
      <text>
        <t>fix-20260630x10q.htm | Consolidated Statements of Cash Flows | 0</t>
      </text>
    </comment>
    <comment ref="C176" authorId="0">
      <text>
        <t>fix-20250331x10q.htm | Consolidated Statements of Cash Flows | (14,162)</t>
      </text>
    </comment>
    <comment ref="D176" authorId="0">
      <text>
        <t>fix-20260630x10q.htm | Consolidated Statements of Cash Flows | (30,033)</t>
      </text>
    </comment>
    <comment ref="E176" authorId="0">
      <text>
        <t>fix-20250930x10q.htm | Consolidated Statements of Cash Flows | (47,674)</t>
      </text>
    </comment>
    <comment ref="F176" authorId="0">
      <text>
        <t>fix-20251231x10k.htm | Consolidated Statements of Cash Flows | (68,833)</t>
      </text>
    </comment>
    <comment ref="G176" authorId="0">
      <text>
        <t>fix-20260331x10q.htm | Consolidated Statements of Cash Flows | (24,623)</t>
      </text>
    </comment>
    <comment ref="H176" authorId="0">
      <text>
        <t>fix-20260630x10q.htm | Consolidated Statements of Cash Flows | (52,785)</t>
      </text>
    </comment>
    <comment ref="C177" authorId="0">
      <text>
        <t>fix-20250331x10q.htm | Consolidated Statements of Cash Flows | (91,369)</t>
      </text>
    </comment>
    <comment ref="D177" authorId="0">
      <text>
        <t>fix-20260630x10q.htm | Consolidated Statements of Cash Flows | (111,290)</t>
      </text>
    </comment>
    <comment ref="E177" authorId="0">
      <text>
        <t>fix-20250930x10q.htm | Consolidated Statements of Cash Flows | (124,426)</t>
      </text>
    </comment>
    <comment ref="F177" authorId="0">
      <text>
        <t>fix-20251231x10k.htm | Consolidated Statements of Cash Flows | (215,999)</t>
      </text>
    </comment>
    <comment ref="G177" authorId="0">
      <text>
        <t>fix-20260331x10q.htm | Consolidated Statements of Cash Flows | (2,548)</t>
      </text>
    </comment>
    <comment ref="H177" authorId="0">
      <text>
        <t>fix-20260630x10q.htm | Consolidated Statements of Cash Flows | (8,232)</t>
      </text>
    </comment>
    <comment ref="C178" authorId="0">
      <text>
        <t>fix-20250331x10q.htm | Consolidated Statements of Cash Flows | (2,622)</t>
      </text>
    </comment>
    <comment ref="D178" authorId="0">
      <text>
        <t>fix-20260630x10q.htm | Consolidated Statements of Cash Flows | (6,599)</t>
      </text>
    </comment>
    <comment ref="E178" authorId="0">
      <text>
        <t>fix-20250930x10q.htm | Consolidated Statements of Cash Flows | (6,881)</t>
      </text>
    </comment>
    <comment ref="F178" authorId="0">
      <text>
        <t>fix-20251231x10k.htm | Consolidated Statements of Cash Flows | (10,016)</t>
      </text>
    </comment>
    <comment ref="G178" authorId="0">
      <text>
        <t>fix-20260331x10q.htm | Consolidated Statements of Cash Flows | (3,125)</t>
      </text>
    </comment>
    <comment ref="H178" authorId="0">
      <text>
        <t>fix-20260630x10q.htm | Consolidated Statements of Cash Flows | (16,662)</t>
      </text>
    </comment>
    <comment ref="C179" authorId="0">
      <text>
        <t>fix-20250331x10q.htm | Consolidated Statements of Cash Flows | 0</t>
      </text>
    </comment>
    <comment ref="D179" authorId="0">
      <text>
        <t>fix-20260630x10q.htm | Consolidated Statements of Cash Flows | 453</t>
      </text>
    </comment>
    <comment ref="E179" authorId="0">
      <text>
        <t>fix-20250930x10q.htm | Consolidated Statements of Cash Flows | 793</t>
      </text>
    </comment>
    <comment ref="F179" authorId="0">
      <text>
        <t>fix-20251231x10k.htm | Consolidated Statements of Cash Flows | 793</t>
      </text>
    </comment>
    <comment ref="G179" authorId="0">
      <text>
        <t>fix-20260331x10q.htm | Consolidated Statements of Cash Flows | 383</t>
      </text>
    </comment>
    <comment ref="H179" authorId="0">
      <text>
        <t>fix-20260630x10q.htm | Consolidated Statements of Cash Flows | 383</t>
      </text>
    </comment>
    <comment ref="C180" authorId="0">
      <text>
        <t>fix-20250331x10q.htm | Consolidated Statements of Cash Flows | (46,302)</t>
      </text>
    </comment>
    <comment ref="D180" authorId="0">
      <text>
        <t>fix-20260630x10q.htm | Consolidated Statements of Cash Flows | (46,302)</t>
      </text>
    </comment>
    <comment ref="E180" authorId="0">
      <text>
        <t>fix-20250930x10q.htm | Consolidated Statements of Cash Flows | (46,302)</t>
      </text>
    </comment>
    <comment ref="F180" authorId="0">
      <text>
        <t>fix-20251231x10k.htm | Consolidated Statements of Cash Flows | (46,302)</t>
      </text>
    </comment>
    <comment ref="G180" authorId="0">
      <text>
        <t>fix-20260331x10q.htm | Consolidated Statements of Cash Flows | (501)</t>
      </text>
    </comment>
    <comment ref="H180" authorId="0">
      <text>
        <t>fix-20260630x10q.htm | Consolidated Statements of Cash Flows | (501)</t>
      </text>
    </comment>
    <comment ref="C181" authorId="0">
      <text>
        <t>fix-20250331x10q.htm | Consolidated Statements of Cash Flows | (160,448)</t>
      </text>
    </comment>
    <comment ref="D181" authorId="0">
      <text>
        <t>fix-20260630x10q.htm | Consolidated Statements of Cash Flows | (199,786)</t>
      </text>
    </comment>
    <comment ref="E181" authorId="0">
      <text>
        <t>fix-20250930x10q.htm | Consolidated Statements of Cash Flows | (171,236)</t>
      </text>
    </comment>
    <comment ref="F181" authorId="0">
      <text>
        <t>fix-20251231x10k.htm | Consolidated Statements of Cash Flows | (287,125)</t>
      </text>
    </comment>
    <comment ref="G181" authorId="0">
      <text>
        <t>fix-20260331x10q.htm | Consolidated Statements of Cash Flows | (136,561)</t>
      </text>
    </comment>
    <comment ref="H181" authorId="0">
      <text>
        <t>fix-20260630x10q.htm | Consolidated Statements of Cash Flows | (187,894)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C9" authorId="0">
      <text>
        <t>fix-20250331x10q.htm | Consolidated Balance Sheets | 41,123,365 shares issued</t>
      </text>
    </comment>
    <comment ref="D9" authorId="0">
      <text>
        <t>fix-20250630x10q.htm | Consolidated Balance Sheets | 41,123,365 shares issued</t>
      </text>
    </comment>
    <comment ref="E9" authorId="0">
      <text>
        <t>fix-20250930x10q.htm | Consolidated Balance Sheets | 41,123,365 shares issued</t>
      </text>
    </comment>
    <comment ref="F9" authorId="0">
      <text>
        <t>fix-20251231x10k.htm | Consolidated Balance Sheets | 41,123,365 shares issued</t>
      </text>
    </comment>
    <comment ref="G9" authorId="0">
      <text>
        <t>fix-20260331x10q.htm | Consolidated Balance Sheets | 41,123,365 shares issued</t>
      </text>
    </comment>
    <comment ref="H9" authorId="0">
      <text>
        <t>fix-20260630x10q.htm | Consolidated Balance Sheets | 41,123,365 shares issued</t>
      </text>
    </comment>
    <comment ref="C10" authorId="0">
      <text>
        <t>fix-20250331x10q.htm | Consolidated Balance Sheets | 5,815,389 treasury shares</t>
      </text>
    </comment>
    <comment ref="D10" authorId="0">
      <text>
        <t>fix-20250630x10q.htm | Consolidated Balance Sheets | 5,841,913 treasury shares</t>
      </text>
    </comment>
    <comment ref="E10" authorId="0">
      <text>
        <t>fix-20250930x10q.htm | Consolidated Balance Sheets | 5,851,415 treasury shares</t>
      </text>
    </comment>
    <comment ref="F10" authorId="0">
      <text>
        <t>fix-20251231x10k.htm | Consolidated Balance Sheets | 5,946,145 treasury shares</t>
      </text>
    </comment>
    <comment ref="G10" authorId="0">
      <text>
        <t>fix-20260331x10q.htm | Consolidated Balance Sheets | 5,936,242 treasury shares</t>
      </text>
    </comment>
    <comment ref="H10" authorId="0">
      <text>
        <t>fix-20260630x10q.htm | Consolidated Balance Sheets | 5,923,156 treasury shares</t>
      </text>
    </comment>
    <comment ref="C16" authorId="0">
      <text>
        <t>fix-20250930x10q.htm | Consolidated Statements of Stockholders' Equity | (264,054)</t>
      </text>
    </comment>
    <comment ref="D16" authorId="0">
      <text>
        <t>fix-20250930x10q.htm | Consolidated Statements of Stockholders' Equity | (62,378)</t>
      </text>
    </comment>
    <comment ref="E16" authorId="0">
      <text>
        <t>fix-20250930x10q.htm | Consolidated Statements of Stockholders' Equity | (18,955)</t>
      </text>
    </comment>
    <comment ref="I16" authorId="0">
      <text>
        <t>fix-20251231x10k.htm | Consolidated Statements of Stockholders' Equity | (445,172)</t>
      </text>
    </comment>
    <comment ref="G16" authorId="0">
      <text>
        <t>fix-20260630x10q.htm | Consolidated Statements of Stockholders' Equity | (2,553)</t>
      </text>
    </comment>
    <comment ref="H16" authorId="0">
      <text>
        <t>fix-20260630x10q.htm | Consolidated Statements of Stockholders' Equity | (3,171)</t>
      </text>
    </comment>
    <comment ref="C27" authorId="0">
      <text>
        <t>fix-20250331x10q.htm | Consolidated Statements of Operations | 35,524</t>
      </text>
    </comment>
    <comment ref="D27" authorId="0">
      <text>
        <t>fix-20260630x10q.htm | Consolidated Statements of Operations | 35,307</t>
      </text>
    </comment>
    <comment ref="E27" authorId="0">
      <text>
        <t>fix-20250930x10q.htm | Consolidated Statements of Operations | 35,307</t>
      </text>
    </comment>
    <comment ref="I27" authorId="0">
      <text>
        <t>fix-20251231x10k.htm | Consolidated Statements of Operations | 35,349</t>
      </text>
    </comment>
    <comment ref="G27" authorId="0">
      <text>
        <t>fix-20260331x10q.htm | Consolidated Statements of Operations | 35,207</t>
      </text>
    </comment>
    <comment ref="H27" authorId="0">
      <text>
        <t>fix-20260630x10q.htm | Consolidated Statements of Operations | 35,221</t>
      </text>
    </comment>
    <comment ref="F27" authorId="0">
      <text>
        <t>fix-20260219xex99d1.htm | Consolidated Statements of Operations (three months) | 35,260</t>
      </text>
    </comment>
    <comment ref="C37" authorId="0">
      <text>
        <t>fix-20250331x10q.htm | Consolidated Statements of Operations | 35,605</t>
      </text>
    </comment>
    <comment ref="D37" authorId="0">
      <text>
        <t>fix-20260630x10q.htm | Consolidated Statements of Operations | 35,369</t>
      </text>
    </comment>
    <comment ref="E37" authorId="0">
      <text>
        <t>fix-20250930x10q.htm | Consolidated Statements of Operations | 35,365</t>
      </text>
    </comment>
    <comment ref="I37" authorId="0">
      <text>
        <t>fix-20251231x10k.htm | Consolidated Statements of Operations | 35,413</t>
      </text>
    </comment>
    <comment ref="G37" authorId="0">
      <text>
        <t>fix-20260331x10q.htm | Consolidated Statements of Operations | 35,251</t>
      </text>
    </comment>
    <comment ref="H37" authorId="0">
      <text>
        <t>fix-20260630x10q.htm | Consolidated Statements of Operations | 35,254</t>
      </text>
    </comment>
    <comment ref="F37" authorId="0">
      <text>
        <t>fix-20260219xex99d1.htm | Consolidated Statements of Operations (three months) | 35,318</t>
      </text>
    </comment>
    <comment ref="C43" authorId="0">
      <text>
        <t>fix-20250930x10q.htm | Consolidated Statements of Stockholders' Equity | $0.40</t>
      </text>
    </comment>
    <comment ref="D43" authorId="0">
      <text>
        <t>fix-20250930x10q.htm | Consolidated Statements of Stockholders' Equity | $0.45</t>
      </text>
    </comment>
    <comment ref="E43" authorId="0">
      <text>
        <t>fix-20250930x10q.htm | Consolidated Statements of Stockholders' Equity | $0.50</t>
      </text>
    </comment>
    <comment ref="I43" authorId="0">
      <text>
        <t>fix-20260219xex99d1.htm | Dividends per share (twelve months) | $1.95</t>
      </text>
    </comment>
    <comment ref="G43" authorId="0">
      <text>
        <t>fix-20260630x10q.htm | Consolidated Statements of Stockholders' Equity | $0.70</t>
      </text>
    </comment>
    <comment ref="H43" authorId="0">
      <text>
        <t>fix-20260630x10q.htm | Consolidated Statements of Stockholders' Equity | $0.80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C9" authorId="0">
      <text>
        <t>FIX_history.csv | row 2 col period_end_date | 2025-03-31</t>
      </text>
    </comment>
    <comment ref="D9" authorId="0">
      <text>
        <t>FIX_history.csv | row 3 col period_end_date | 2025-06-30</t>
      </text>
    </comment>
    <comment ref="E9" authorId="0">
      <text>
        <t>FIX_history.csv | row 4 col period_end_date | 2025-09-30</t>
      </text>
    </comment>
    <comment ref="F9" authorId="0">
      <text>
        <t>FIX_history.csv | row 5 col period_end_date | 2025-12-31</t>
      </text>
    </comment>
    <comment ref="G9" authorId="0">
      <text>
        <t>FIX_history.csv | row 6 col period_end_date | 2026-03-31</t>
      </text>
    </comment>
    <comment ref="H9" authorId="0">
      <text>
        <t>FIX_history.csv | row 7 col period_end_date | 2026-06-30</t>
      </text>
    </comment>
    <comment ref="C10" authorId="0">
      <text>
        <t>FIX_history.csv | row 2 col report_date | 2025-04-24</t>
      </text>
    </comment>
    <comment ref="D10" authorId="0">
      <text>
        <t>FIX_history.csv | row 3 col report_date | 2025-07-24</t>
      </text>
    </comment>
    <comment ref="E10" authorId="0">
      <text>
        <t>FIX_history.csv | row 4 col report_date | 2025-10-23</t>
      </text>
    </comment>
    <comment ref="F10" authorId="0">
      <text>
        <t>FIX_history.csv | row 5 col report_date | 2026-02-19</t>
      </text>
    </comment>
    <comment ref="G10" authorId="0">
      <text>
        <t>FIX_history.csv | row 6 col report_date | 2026-04-23</t>
      </text>
    </comment>
    <comment ref="H10" authorId="0">
      <text>
        <t>FIX_history.csv | row 7 col report_date | 2026-07-23</t>
      </text>
    </comment>
    <comment ref="C11" authorId="0">
      <text>
        <t>FIX_history.csv | row 2 col eps_normalized_consensus | 3.71</t>
      </text>
    </comment>
    <comment ref="D11" authorId="0">
      <text>
        <t>FIX_history.csv | row 3 col eps_normalized_consensus | 4.84</t>
      </text>
    </comment>
    <comment ref="E11" authorId="0">
      <text>
        <t>FIX_history.csv | row 4 col eps_normalized_consensus | 6.29</t>
      </text>
    </comment>
    <comment ref="F11" authorId="0">
      <text>
        <t>FIX_history.csv | row 5 col eps_normalized_consensus | 6.75</t>
      </text>
    </comment>
    <comment ref="G11" authorId="0">
      <text>
        <t>FIX_history.csv | row 6 col eps_normalized_consensus | 6.81</t>
      </text>
    </comment>
    <comment ref="H11" authorId="0">
      <text>
        <t>FIX_history.csv | row 7 col eps_normalized_consensus | 10.46</t>
      </text>
    </comment>
    <comment ref="C12" authorId="0">
      <text>
        <t>FIX_history.csv | row 2 col eps_normalized_actual | 4.75</t>
      </text>
    </comment>
    <comment ref="D12" authorId="0">
      <text>
        <t>FIX_history.csv | row 3 col eps_normalized_actual | 6.53</t>
      </text>
    </comment>
    <comment ref="E12" authorId="0">
      <text>
        <t>FIX_history.csv | row 4 col eps_normalized_actual | 8.25</t>
      </text>
    </comment>
    <comment ref="F12" authorId="0">
      <text>
        <t>FIX_history.csv | row 5 col eps_normalized_actual | 9.37</t>
      </text>
    </comment>
    <comment ref="G12" authorId="0">
      <text>
        <t>FIX_history.csv | row 6 col eps_normalized_actual | 10.51</t>
      </text>
    </comment>
    <comment ref="H12" authorId="0">
      <text>
        <t>FIX_history.csv | row 7 col eps_normalized_actual | 12.53</t>
      </text>
    </comment>
    <comment ref="C13" authorId="0">
      <text>
        <t>FIX_history.csv | row 2 col eps_gaap_consensus | 3.71</t>
      </text>
    </comment>
    <comment ref="D13" authorId="0">
      <text>
        <t>FIX_history.csv | row 3 col eps_gaap_consensus | 4.78</t>
      </text>
    </comment>
    <comment ref="E13" authorId="0">
      <text>
        <t>FIX_history.csv | row 4 col eps_gaap_consensus | 6.23</t>
      </text>
    </comment>
    <comment ref="F13" authorId="0">
      <text>
        <t>FIX_history.csv | row 5 col eps_gaap_consensus | 6.75</t>
      </text>
    </comment>
    <comment ref="G13" authorId="0">
      <text>
        <t>FIX_history.csv | row 6 col eps_gaap_consensus | 6.81</t>
      </text>
    </comment>
    <comment ref="H13" authorId="0">
      <text>
        <t>FIX_history.csv | row 7 col eps_gaap_consensus | 10.42</t>
      </text>
    </comment>
    <comment ref="C14" authorId="0">
      <text>
        <t>FIX_history.csv | row 2 col eps_gaap_actual | 4.75</t>
      </text>
    </comment>
    <comment ref="D14" authorId="0">
      <text>
        <t>FIX_history.csv | row 3 col eps_gaap_actual | 6.53</t>
      </text>
    </comment>
    <comment ref="E14" authorId="0">
      <text>
        <t>FIX_history.csv | row 4 col eps_gaap_actual | 8.25</t>
      </text>
    </comment>
    <comment ref="F14" authorId="0">
      <text>
        <t>FIX_history.csv | row 5 col eps_gaap_actual | 9.37</t>
      </text>
    </comment>
    <comment ref="G14" authorId="0">
      <text>
        <t>FIX_history.csv | row 6 col eps_gaap_actual | 10.51</t>
      </text>
    </comment>
    <comment ref="H14" authorId="0">
      <text>
        <t>FIX_history.csv | row 7 col eps_gaap_actual | 12.53</t>
      </text>
    </comment>
    <comment ref="C15" authorId="0">
      <text>
        <t>FIX_history.csv | row 2 col revenue_m_consensus | 1766.11</t>
      </text>
    </comment>
    <comment ref="D15" authorId="0">
      <text>
        <t>FIX_history.csv | row 3 col revenue_m_consensus | 1970.25</t>
      </text>
    </comment>
    <comment ref="E15" authorId="0">
      <text>
        <t>FIX_history.csv | row 4 col revenue_m_consensus | 2157.83</t>
      </text>
    </comment>
    <comment ref="F15" authorId="0">
      <text>
        <t>FIX_history.csv | row 5 col revenue_m_consensus | 2337.0</t>
      </text>
    </comment>
    <comment ref="G15" authorId="0">
      <text>
        <t>FIX_history.csv | row 6 col revenue_m_consensus | 2392.94</t>
      </text>
    </comment>
    <comment ref="H15" authorId="0">
      <text>
        <t>FIX_history.csv | row 7 col revenue_m_consensus | 2989.21</t>
      </text>
    </comment>
    <comment ref="C16" authorId="0">
      <text>
        <t>FIX_history.csv | row 2 col revenue_m_actual | 1831.29</t>
      </text>
    </comment>
    <comment ref="D16" authorId="0">
      <text>
        <t>FIX_history.csv | row 3 col revenue_m_actual | 2173.32</t>
      </text>
    </comment>
    <comment ref="E16" authorId="0">
      <text>
        <t>FIX_history.csv | row 4 col revenue_m_actual | 2450.97</t>
      </text>
    </comment>
    <comment ref="F16" authorId="0">
      <text>
        <t>FIX_history.csv | row 5 col revenue_m_actual | 2646.07</t>
      </text>
    </comment>
    <comment ref="G16" authorId="0">
      <text>
        <t>FIX_history.csv | row 6 col revenue_m_actual | 2865.33</t>
      </text>
    </comment>
    <comment ref="H16" authorId="0">
      <text>
        <t>FIX_history.csv | row 7 col revenue_m_actual | 3265.66</t>
      </text>
    </comment>
    <comment ref="C26" authorId="0">
      <text>
        <t>fix-20260630x10q.htm | Cover page | 35,194,329</t>
      </text>
    </comment>
    <comment ref="C28" authorId="0">
      <text>
        <t>gomarketcap.com/companies/NYSE-FIX | As of 15 October 2026 | $54.17B</t>
      </text>
    </comment>
    <comment ref="C29" authorId="0">
      <text>
        <t>forecasting-playbook.md | section 7 | large includes mega above $10B</t>
      </text>
    </comment>
    <comment ref="C30" authorId="0">
      <text>
        <t>forecasting-playbook.md | section 7 | mid $2B-$10B</t>
      </text>
    </comment>
    <comment ref="C32" authorId="0">
      <text>
        <t>press.spglobal.com 2025-12-05 | CRH, Carvana and Comfort Systems USA Set to Join S&amp;P 500 | effective prior to open Dec 22, 2025</t>
      </text>
    </comment>
    <comment ref="C33" authorId="0">
      <text>
        <t>forecasting-playbook.md | section 7 | 0.78 large OR S&amp;P 500</t>
      </text>
    </comment>
    <comment ref="C34" authorId="0">
      <text>
        <t>forecasting-playbook.md | section 7 | 0.70 mid</t>
      </text>
    </comment>
    <comment ref="C35" authorId="0">
      <text>
        <t>forecasting-playbook.md | section 7 | 0.60 small</t>
      </text>
    </comment>
    <comment ref="C39" authorId="0">
      <text>
        <t>forecasting-playbook.md | section 7 | Eight pseudo-observations</t>
      </text>
    </comment>
    <comment ref="C48" authorId="0">
      <text>
        <t>FIX_consensus.json | summary_row.ticker | FIX</t>
      </text>
    </comment>
    <comment ref="C49" authorId="0">
      <text>
        <t>FIX_consensus.json | summary_row.company_name | Comfort Systems USA, Inc.</t>
      </text>
    </comment>
    <comment ref="C50" authorId="0">
      <text>
        <t>FIX_consensus.json | summary_row.exchange_ticker | NYSE:FIX</t>
      </text>
    </comment>
    <comment ref="C51" authorId="0">
      <text>
        <t>FIX_consensus.json | summary_row.capiq_company_id | 100935</t>
      </text>
    </comment>
    <comment ref="C52" authorId="0">
      <text>
        <t>FIX_consensus.json | summary_row.currency_basis | USD</t>
      </text>
    </comment>
    <comment ref="C53" authorId="0">
      <text>
        <t>FIX_consensus.json | summary_row.fiscal_year_end | Dec-31</t>
      </text>
    </comment>
    <comment ref="C54" authorId="0">
      <text>
        <t>FIX_consensus.json | summary_row.fiscal_quarter | FQ3 2026 - Sep 2026</t>
      </text>
    </comment>
    <comment ref="C55" authorId="0">
      <text>
        <t>FIX_consensus.json | summary_row.quarter_end_date | 2026-09-30</t>
      </text>
    </comment>
    <comment ref="C56" authorId="0">
      <text>
        <t>FIX_consensus.json | summary_row.expected_report_date | 2026-10-22</t>
      </text>
    </comment>
    <comment ref="C57" authorId="0">
      <text>
        <t>FIX_consensus.json | summary_row.eps_basis | normalized diluted and GAAP diluted, as labelled</t>
      </text>
    </comment>
    <comment ref="C58" authorId="0">
      <text>
        <t>FIX_consensus.json | summary_row.eps_normalized_estimates | 10</t>
      </text>
    </comment>
    <comment ref="C59" authorId="0">
      <text>
        <t>FIX_consensus.json | summary_row.eps_normalized_contributors | 10</t>
      </text>
    </comment>
    <comment ref="C61" authorId="0">
      <text>
        <t>FIX_consensus.json | summary_row.eps_normalized_mean | 12.85</t>
      </text>
    </comment>
    <comment ref="C62" authorId="0">
      <text>
        <t>FIX_consensus.json | summary_row.eps_normalized_median | 12.76</t>
      </text>
    </comment>
    <comment ref="C63" authorId="0">
      <text>
        <t>FIX_consensus.json | summary_row.eps_normalized_high | 14.13</t>
      </text>
    </comment>
    <comment ref="C64" authorId="0">
      <text>
        <t>FIX_consensus.json | summary_row.eps_normalized_low | 12.13</t>
      </text>
    </comment>
    <comment ref="C65" authorId="0">
      <text>
        <t>FIX_consensus.json | summary_row.eps_normalized_std_dev | 0.55</t>
      </text>
    </comment>
    <comment ref="C66" authorId="0">
      <text>
        <t>FIX_consensus.json | summary_row.eps_normalized_n_est | 10</t>
      </text>
    </comment>
    <comment ref="C70" authorId="0">
      <text>
        <t>FIX_consensus.json | summary_row.eps_gaap_mean | 12.71</t>
      </text>
    </comment>
    <comment ref="C71" authorId="0">
      <text>
        <t>FIX_consensus.json | summary_row.eps_gaap_median | 12.68</t>
      </text>
    </comment>
    <comment ref="C72" authorId="0">
      <text>
        <t>FIX_consensus.json | summary_row.eps_gaap_high | 13.23</t>
      </text>
    </comment>
    <comment ref="C73" authorId="0">
      <text>
        <t>FIX_consensus.json | summary_row.eps_gaap_low | 12.13</t>
      </text>
    </comment>
    <comment ref="C74" authorId="0">
      <text>
        <t>FIX_consensus.json | summary_row.eps_gaap_std_dev | 0.36</t>
      </text>
    </comment>
    <comment ref="C75" authorId="0">
      <text>
        <t>FIX_consensus.json | summary_row.eps_gaap_n_est | 9</t>
      </text>
    </comment>
    <comment ref="C79" authorId="0">
      <text>
        <t>FIX_consensus.json | summary_row.revenue_mean | 3401.08</t>
      </text>
    </comment>
    <comment ref="C80" authorId="0">
      <text>
        <t>FIX_consensus.json | summary_row.revenue_median | 3400.05</t>
      </text>
    </comment>
    <comment ref="C81" authorId="0">
      <text>
        <t>FIX_consensus.json | summary_row.revenue_high | 3590.54</t>
      </text>
    </comment>
    <comment ref="C82" authorId="0">
      <text>
        <t>FIX_consensus.json | summary_row.revenue_low | 3259.71</t>
      </text>
    </comment>
    <comment ref="C83" authorId="0">
      <text>
        <t>FIX_consensus.json | summary_row.revenue_std_dev | 83.74</t>
      </text>
    </comment>
    <comment ref="C84" authorId="0">
      <text>
        <t>FIX_consensus.json | summary_row.revenue_n_est | 10</t>
      </text>
    </comment>
    <comment ref="C88" authorId="0">
      <text>
        <t>FIX_consensus.json | summary_row.ebitda | 628.54</t>
      </text>
    </comment>
    <comment ref="C89" authorId="0">
      <text>
        <t>FIX_consensus.json | summary_row.ebit | 584.18</t>
      </text>
    </comment>
    <comment ref="C90" authorId="0">
      <text>
        <t>FIX_consensus.json | summary_row.ebt_excl_excep | 580.38</t>
      </text>
    </comment>
    <comment ref="C91" authorId="0">
      <text>
        <t>FIX_consensus.json | summary_row.ebt_gaap | 580.38</t>
      </text>
    </comment>
    <comment ref="C92" authorId="0">
      <text>
        <t>FIX_consensus.json | summary_row.net_income_excl_excep | 447.87</t>
      </text>
    </comment>
    <comment ref="C93" authorId="0">
      <text>
        <t>FIX_consensus.json | summary_row.net_income_gaap | 447.87</t>
      </text>
    </comment>
    <comment ref="C96" authorId="0">
      <text>
        <t>FIX_consensus.json | summary_row.d_and_a | 44.92</t>
      </text>
    </comment>
    <comment ref="C100" authorId="0">
      <text>
        <t>FIX_consensus.json | summary_row.interest_expense | -5.0</t>
      </text>
    </comment>
    <comment ref="C101" authorId="0">
      <text>
        <t>FIX_consensus.json | summary_row.net_debt | -2402.59</t>
      </text>
    </comment>
    <comment ref="C104" authorId="0">
      <text>
        <t>FIX_consensus.json | summary_row.target_price_mean | 2198.88</t>
      </text>
    </comment>
    <comment ref="C105" authorId="0">
      <text>
        <t>FIX_consensus.json | summary_row.target_price_median | 2165.5</t>
      </text>
    </comment>
    <comment ref="C106" authorId="0">
      <text>
        <t>FIX_consensus.json | summary_row.target_price_high | 2500.0</t>
      </text>
    </comment>
    <comment ref="C107" authorId="0">
      <text>
        <t>FIX_consensus.json | summary_row.target_price_low | 1910.0</t>
      </text>
    </comment>
    <comment ref="C108" authorId="0">
      <text>
        <t>FIX_consensus.json | summary_row.target_price_std_dev | 170.59</t>
      </text>
    </comment>
    <comment ref="C109" authorId="0">
      <text>
        <t>FIX_consensus.json | summary_row.target_price_n_est | 8</t>
      </text>
    </comment>
    <comment ref="C110" authorId="0">
      <text>
        <t>FIX_consensus.json | summary_row.recommendation | Buy</t>
      </text>
    </comment>
    <comment ref="C111" authorId="0">
      <text>
        <t>FIX_consensus.json | summary_row.recommendation_score | 1.20</t>
      </text>
    </comment>
    <comment ref="C112" authorId="0">
      <text>
        <t>FIX_consensus.json | summary_row.last_close_price | 1439.07</t>
      </text>
    </comment>
    <comment ref="C113" authorId="0">
      <text>
        <t>FIX_consensus.json | summary_row.wk52_high_low | 2073.99/770.47</t>
      </text>
    </comment>
    <comment ref="C114" authorId="0">
      <text>
        <t>FIX_consensus.json | summary_row.estimates_captured_at | 2026-10-18</t>
      </text>
    </comment>
    <comment ref="C115" authorId="0">
      <text>
        <t>FIX_consensus.json | summary_row.notes | consensus has understated every one of the last six quarters, by 20 to 54 percent; thin panel of 10 contributors</t>
      </text>
    </comment>
    <comment ref="C118" authorId="0">
      <text>
        <t>FIX_consensus.json | source | S&amp;P Capital IQ</t>
      </text>
    </comment>
    <comment ref="C119" authorId="0">
      <text>
        <t>FIX_consensus.json | ticker | FIX</t>
      </text>
    </comment>
    <comment ref="C120" authorId="0">
      <text>
        <t>FIX_consensus.json | company | Comfort Systems USA, Inc.</t>
      </text>
    </comment>
    <comment ref="C121" authorId="0">
      <text>
        <t>FIX_consensus.json | fiscal_period | FQ3 2026 - Sep 2026</t>
      </text>
    </comment>
    <comment ref="C122" authorId="0">
      <text>
        <t>FIX_consensus.json | period_end_date | 2026-09-30</t>
      </text>
    </comment>
    <comment ref="C123" authorId="0">
      <text>
        <t>FIX_consensus.json | as_of_date | 2026-10-18</t>
      </text>
    </comment>
    <comment ref="C124" authorId="0">
      <text>
        <t>FIX_consensus.json | analyst_count | 10</t>
      </text>
    </comment>
    <comment ref="C125" authorId="0">
      <text>
        <t>FIX_consensus.json | consensus_eps | 12.85</t>
      </text>
    </comment>
    <comment ref="C126" authorId="0">
      <text>
        <t>FIX_consensus.json | eps_basis | Normalized diluted EPS per ordinary/common share, USD; verify issuer adjustments and share identity</t>
      </text>
    </comment>
    <comment ref="C127" authorId="0">
      <text>
        <t>FIX_consensus.json | consensus_revenue_m | 3401.08</t>
      </text>
    </comment>
    <comment ref="C128" authorId="0">
      <text>
        <t>FIX_consensus.json | currency | USD</t>
      </text>
    </comment>
    <comment ref="C129" authorId="0">
      <text>
        <t>FIX_consensus.json | summary_sha256 | e59b846434f90c9b5de8c2ed951fd1b25c1f6d0217c680f72dea41992051a49d</t>
      </text>
    </comment>
    <comment ref="C130" authorId="0">
      <text>
        <t>FIX_consensus.json | captured_precision | date only, user confirmed</t>
      </text>
    </comment>
    <comment ref="C131" authorId="0">
      <text>
        <t>FIX_consensus.json | currency_units_status | USD</t>
      </text>
    </comment>
    <comment ref="C132" authorId="0">
      <text>
        <t>FIX_consensus.json | metric_units.eps_currency | USD</t>
      </text>
    </comment>
    <comment ref="C133" authorId="0">
      <text>
        <t>FIX_consensus.json | metric_units.eps_share_unit | diluted ordinary/common share</t>
      </text>
    </comment>
    <comment ref="C134" authorId="0">
      <text>
        <t>FIX_consensus.json | metric_units.revenue_currency | USD</t>
      </text>
    </comment>
    <comment ref="C135" authorId="0">
      <text>
        <t>FIX_consensus.json | metric_units.financial_amount_scale | millions</t>
      </text>
    </comment>
    <comment ref="C136" authorId="0">
      <text>
        <t>FIX_consensus.json | target_manifest.targets | total_revenue, net_income_to_common, normalized_diluted_eps, gaap_diluted_eps, diluted_shares, revenue_growth, material_segment_revenue, operating_income, operating_margin, gross_profit, gross_margin, is</t>
      </text>
    </comment>
    <comment ref="C137" authorId="0">
      <text>
        <t>FIX_consensus.json | target_manifest.policy | Track applicable disclosed lines; record unavailable/not applicable with a reason. Only normalized EPS is scored.</t>
      </text>
    </comment>
  </commentList>
</comments>
</file>

<file path=xl/sharedStrings.xml><?xml version="1.0" encoding="utf-8"?>
<sst xmlns="http://schemas.openxmlformats.org/spreadsheetml/2006/main" count="1390" uniqueCount="796">
  <si>
    <t>Comfort Systems USA, Inc. (NYSE: FIX)</t>
  </si>
  <si>
    <t>Cover</t>
  </si>
  <si>
    <t>$ millions, except per share</t>
  </si>
  <si>
    <t>Period</t>
  </si>
  <si>
    <t>3Q26E</t>
  </si>
  <si>
    <t>Period end</t>
  </si>
  <si>
    <t>Days in period</t>
  </si>
  <si>
    <t>Company Model — built by Shortcut</t>
  </si>
  <si>
    <t>Author: Shortcut. Forecast of FQ3 2026 reported results; headline estimate, consensus and check figures are formula-linked to the model tabs; alternative consensus readings (C38:D40) are typed from cited sources (S20-S22).</t>
  </si>
  <si>
    <t>Company</t>
  </si>
  <si>
    <t>Comfort Systems USA, Inc.</t>
  </si>
  <si>
    <t>Ticker</t>
  </si>
  <si>
    <t>FIX</t>
  </si>
  <si>
    <t>Exchange</t>
  </si>
  <si>
    <t>New York Stock Exchange (NYSE: FIX)</t>
  </si>
  <si>
    <t>Fiscal year end</t>
  </si>
  <si>
    <t>December 31 (FQ3 2026 = quarter ended Sep 30, 2026; supplied label 2026-09-30 matches)</t>
  </si>
  <si>
    <t>Currency</t>
  </si>
  <si>
    <t>USD; amounts in $ millions</t>
  </si>
  <si>
    <t>EPS basis</t>
  </si>
  <si>
    <t>Normalized diluted EPS per common share (CapIQ); equals GAAP diluted EPS (no issuer non-GAAP EPS)</t>
  </si>
  <si>
    <t>Information cutoff</t>
  </si>
  <si>
    <t>2026-10-18 21:34 UTC</t>
  </si>
  <si>
    <t>Expected report date</t>
  </si>
  <si>
    <t>2026-10-22 after market close (issuer-confirmed Oct 16, 2026, S17); call Oct 23</t>
  </si>
  <si>
    <t>Headline: 3Q26E estimate vs consensus vs guidance</t>
  </si>
  <si>
    <t>Metric</t>
  </si>
  <si>
    <t>Shortcut estimate</t>
  </si>
  <si>
    <t>Consensus at cutoff (CapIQ)</t>
  </si>
  <si>
    <t>Variance</t>
  </si>
  <si>
    <t>Variance %</t>
  </si>
  <si>
    <t>Guidance-implied midpoint*</t>
  </si>
  <si>
    <t>Estimate vs guidance %</t>
  </si>
  <si>
    <t>Revenue ($m)</t>
  </si>
  <si>
    <t>*Only G22 is derived from issuer guidance (FY26 same-store guide midpoint, Guidance!C38).</t>
  </si>
  <si>
    <t>Net income ($m)</t>
  </si>
  <si>
    <t>*Not issuer guidance: G22 x model 3Q26E net margin; H23 equals H22 by construction.</t>
  </si>
  <si>
    <t>Normalized diluted EPS ($)</t>
  </si>
  <si>
    <t>*Not issuer guidance (none given): G23 / model diluted shares; H24 equals H22 by construction, not independent corroboration.</t>
  </si>
  <si>
    <t>GAAP diluted EPS ($)</t>
  </si>
  <si>
    <t>*Same basis as L24 (model GAAP EPS = normalized EPS); not independent corroboration.</t>
  </si>
  <si>
    <t>Overall check result</t>
  </si>
  <si>
    <t>PASS when every inline check row on the model tabs evaluates to 0 / TRUE (detail: artifacts/checks.md). In the 3Q26E column, Balance Sheet J68 (A - L - E) and Revenue summary J130/J172 (typed mix shares sum to 100%) are informative; IS J71 (EPS = NI / shares), IS J21/J35, Revenue summary J37 and CF J117/J141 hold by construction.</t>
  </si>
  <si>
    <t>P(beat consensus EPS)</t>
  </si>
  <si>
    <t>Confidence</t>
  </si>
  <si>
    <t>Consensus detail at cutoff (CapIQ, 2026-10-18)</t>
  </si>
  <si>
    <t>Mean</t>
  </si>
  <si>
    <t>Median</t>
  </si>
  <si>
    <t>High</t>
  </si>
  <si>
    <t>Low</t>
  </si>
  <si>
    <t>Std dev</t>
  </si>
  <si>
    <t># est.</t>
  </si>
  <si>
    <t>Normalized EPS ($)</t>
  </si>
  <si>
    <t>GAAP EPS ($)</t>
  </si>
  <si>
    <t>Other consensus readings (recorded separately; frozen CapIQ snapshot remains the baseline)</t>
  </si>
  <si>
    <t>EPS ($)</t>
  </si>
  <si>
    <t>Source</t>
  </si>
  <si>
    <t>Zacks (2026-10-14)</t>
  </si>
  <si>
    <t>S20</t>
  </si>
  <si>
    <t>MarketBeat (2026-10-16)</t>
  </si>
  <si>
    <t>S21</t>
  </si>
  <si>
    <t>Drillr calendar (2026-09-23)</t>
  </si>
  <si>
    <t>S22</t>
  </si>
  <si>
    <t>Revenue summary</t>
  </si>
  <si>
    <t>1Q25A</t>
  </si>
  <si>
    <t>2Q25A</t>
  </si>
  <si>
    <t>3Q25A</t>
  </si>
  <si>
    <t>4Q25A</t>
  </si>
  <si>
    <t>1Q26A</t>
  </si>
  <si>
    <t>2Q26A</t>
  </si>
  <si>
    <t>FY25A</t>
  </si>
  <si>
    <t>Revenue by reported segment</t>
  </si>
  <si>
    <t>Mechanical segment revenue</t>
  </si>
  <si>
    <t xml:space="preserve">    % Y/Y</t>
  </si>
  <si>
    <t xml:space="preserve">    % Q/Q</t>
  </si>
  <si>
    <t xml:space="preserve">    % of total revenue</t>
  </si>
  <si>
    <t xml:space="preserve">        Mix change Y/Y (bp)</t>
  </si>
  <si>
    <t xml:space="preserve">        Mix change Q/Q (bp)</t>
  </si>
  <si>
    <t xml:space="preserve">    Q/Q change ($m)</t>
  </si>
  <si>
    <t xml:space="preserve">    Organic growth %</t>
  </si>
  <si>
    <t xml:space="preserve">    M&amp;A / scope contribution %</t>
  </si>
  <si>
    <t xml:space="preserve">    FX impact %</t>
  </si>
  <si>
    <t xml:space="preserve">    Total Y/Y growth %</t>
  </si>
  <si>
    <t>Electrical segment revenue</t>
  </si>
  <si>
    <t>Total revenue</t>
  </si>
  <si>
    <t>Sum of reported segments; must tie to Income Statement revenue (check below).</t>
  </si>
  <si>
    <t xml:space="preserve">    Memo: prior-year period revenue</t>
  </si>
  <si>
    <t xml:space="preserve">    Y/Y change ($m)</t>
  </si>
  <si>
    <t>Check: segments - IS revenue (=0)</t>
  </si>
  <si>
    <t>Consolidated growth decomposition</t>
  </si>
  <si>
    <t>Acquired (non-same-store) revenue</t>
  </si>
  <si>
    <t>M&amp;A / scope contribution %</t>
  </si>
  <si>
    <t>FX impact %</t>
  </si>
  <si>
    <t>US-only revenue (10-K Note 16).</t>
  </si>
  <si>
    <t>Total Y/Y growth %</t>
  </si>
  <si>
    <t>Organic growth %</t>
  </si>
  <si>
    <t>Organic = Y/Y - M&amp;A - FX (additive, issuer same-store basis; M&amp;A % = acquired revenue / prior-year revenue). Equals row 45.</t>
  </si>
  <si>
    <t>Same-store growth % (computed)</t>
  </si>
  <si>
    <t>Memo: same-store % (reported)</t>
  </si>
  <si>
    <t>Company-reported same-store % (MD&amp;A / calls); 3Q26E not reported yet.</t>
  </si>
  <si>
    <t>Geography: substantially all revenue is generated in the United States (FY2025 10-K Note 16, S6); no Geo tab.</t>
  </si>
  <si>
    <t>Revenue by type of customer</t>
  </si>
  <si>
    <t>Technology</t>
  </si>
  <si>
    <t>3Q26E mix assumption 60.6% (trend of 1Q26-2Q26).</t>
  </si>
  <si>
    <t>Manufacturing</t>
  </si>
  <si>
    <t>3Q26E mix assumption 15.5% (trend of 1Q26-2Q26).</t>
  </si>
  <si>
    <t>Industrial subtotal</t>
  </si>
  <si>
    <t>Healthcare</t>
  </si>
  <si>
    <t>3Q26E mix assumption 6.8% (trend of 1Q26-2Q26).</t>
  </si>
  <si>
    <t>Education</t>
  </si>
  <si>
    <t>3Q26E mix assumption 5.0% (trend of 1Q26-2Q26).</t>
  </si>
  <si>
    <t>Government</t>
  </si>
  <si>
    <t>3Q26E mix assumption 4.3% (trend of 1Q26-2Q26).</t>
  </si>
  <si>
    <t>Institutional subtotal</t>
  </si>
  <si>
    <t>Office buildings</t>
  </si>
  <si>
    <t>3Q26E mix assumption 2.6% (trend of 1Q26-2Q26).</t>
  </si>
  <si>
    <t>Retail/restaurants/entertainment</t>
  </si>
  <si>
    <t>Multi-family &amp; residential</t>
  </si>
  <si>
    <t>3Q26E mix assumption 1.3% (trend of 1Q26-2Q26).</t>
  </si>
  <si>
    <t>Other</t>
  </si>
  <si>
    <t>3Q26E plug = total - other lines.</t>
  </si>
  <si>
    <t>Commercial &amp; other subtotal</t>
  </si>
  <si>
    <t>Total revenue by type of customer</t>
  </si>
  <si>
    <t>Check: split - total revenue (=0)</t>
  </si>
  <si>
    <t>Revenue by activity type</t>
  </si>
  <si>
    <t>New construction</t>
  </si>
  <si>
    <t>3Q26E mix assumption 76.0% (trend of 1Q26-2Q26).</t>
  </si>
  <si>
    <t>Existing building construction</t>
  </si>
  <si>
    <t>3Q26E mix assumption 14.0% (trend of 1Q26-2Q26).</t>
  </si>
  <si>
    <t>Construction subtotal</t>
  </si>
  <si>
    <t>Service projects</t>
  </si>
  <si>
    <t>Service calls &amp; maintenance</t>
  </si>
  <si>
    <t>Service subtotal</t>
  </si>
  <si>
    <t>Total revenue by activity type</t>
  </si>
  <si>
    <t>Backlog</t>
  </si>
  <si>
    <t>Mechanical backlog (period end)</t>
  </si>
  <si>
    <t>Electrical backlog (period end)</t>
  </si>
  <si>
    <t>Total backlog (period end)</t>
  </si>
  <si>
    <t>Total implied bookings</t>
  </si>
  <si>
    <t xml:space="preserve">    Book-to-bill (x)</t>
  </si>
  <si>
    <t xml:space="preserve">        Change Y/Y (x)</t>
  </si>
  <si>
    <t xml:space="preserve">        Change Q/Q (x)</t>
  </si>
  <si>
    <t>Mechanical</t>
  </si>
  <si>
    <t>Backlog ladder (remaining performance obligations)</t>
  </si>
  <si>
    <t>Opening backlog</t>
  </si>
  <si>
    <t>Plus: acquired backlog</t>
  </si>
  <si>
    <t>Acquired backlog per MD&amp;A (Century, Right Way, Feyen Zylstra + Meisner, Hunt); 3Q26E assumes none.</t>
  </si>
  <si>
    <t>Plus: bookings (implied)</t>
  </si>
  <si>
    <t>Implied bookings = closing - opening - acquired + revenue (service revenue not in backlog, so an approximation).</t>
  </si>
  <si>
    <t>Less: revenue recognised</t>
  </si>
  <si>
    <t>Closing backlog</t>
  </si>
  <si>
    <t>Average backlog</t>
  </si>
  <si>
    <t>Net change in backlog</t>
  </si>
  <si>
    <t>Backlog rates</t>
  </si>
  <si>
    <t>Burn rate (rev / opening backlog)</t>
  </si>
  <si>
    <t>Assumption: 23.6% of opening backlog (2Q26 23.9%, 1Q26 22.8%); modular backlog booked further out lowers burn. FY25A (I30) = annual revenue / opening-of-year backlog (annual conversion ratio), not comparable with quarterly burn rates.</t>
  </si>
  <si>
    <t xml:space="preserve">    Change Y/Y (bp)</t>
  </si>
  <si>
    <t xml:space="preserve">    Change Q/Q (bp)</t>
  </si>
  <si>
    <t>Book-to-bill (bookings / revenue)</t>
  </si>
  <si>
    <t>Assumption: book-to-bill 1.10x drives closing backlog only (no EPS effect).</t>
  </si>
  <si>
    <t xml:space="preserve">    Change Y/Y (x)</t>
  </si>
  <si>
    <t xml:space="preserve">    Change Q/Q (x)</t>
  </si>
  <si>
    <t>Revenue build</t>
  </si>
  <si>
    <t>3Q26E = opening backlog x burn rate. 4Q25A = FY25 (10-K) - 9M25.</t>
  </si>
  <si>
    <t>Growth decomposition</t>
  </si>
  <si>
    <t>No mechanical acquisitions outstanding: Right Way anniversaried 1 May 2026.</t>
  </si>
  <si>
    <t>Same-store revenue</t>
  </si>
  <si>
    <t>FX = 0 by disclosure: substantially all revenue is US (10-K Note 16), not a missing-data default.</t>
  </si>
  <si>
    <t>Organic = Y/Y - M&amp;A - FX (additive, issuer same-store basis; M&amp;A % = acquired revenue / prior-year revenue). Equals row 55.</t>
  </si>
  <si>
    <t>Same-store growth % (co. basis)</t>
  </si>
  <si>
    <t>Company basis: same-store change / total prior-year revenue (additive with M&amp;A %).</t>
  </si>
  <si>
    <t>Segment profitability</t>
  </si>
  <si>
    <t>Cost of services</t>
  </si>
  <si>
    <t>Gross profit</t>
  </si>
  <si>
    <t>Gross margin %</t>
  </si>
  <si>
    <t>Assumption: 25.6% = 2Q26 level; mgmt expects margins 'in the strong ranges' of recent quarters (S11).</t>
  </si>
  <si>
    <t>Selling, general &amp; administrative</t>
  </si>
  <si>
    <t>SG&amp;A % of revenue</t>
  </si>
  <si>
    <t>Assumption: 7.0% of revenue (2Q26 7.1%, 1Q26 7.6%), continued operating leverage.</t>
  </si>
  <si>
    <t>Gain (loss) on sale of assets</t>
  </si>
  <si>
    <t>3Q26E assumption near recent run-rate.</t>
  </si>
  <si>
    <t>Segment operating income</t>
  </si>
  <si>
    <t>Segment operating margin %</t>
  </si>
  <si>
    <t>D&amp;A and capital expenditure</t>
  </si>
  <si>
    <t>Amortization of intangibles</t>
  </si>
  <si>
    <t>3Q26E held at 2Q26 run-rate.</t>
  </si>
  <si>
    <t>Depreciation expense</t>
  </si>
  <si>
    <t>3Q26E: rising with modular capex.</t>
  </si>
  <si>
    <t>Segment OI + D&amp;A (derived)</t>
  </si>
  <si>
    <t xml:space="preserve">    Margin %</t>
  </si>
  <si>
    <t xml:space="preserve">        Change Y/Y (bp)</t>
  </si>
  <si>
    <t xml:space="preserve">        Change Q/Q (bp)</t>
  </si>
  <si>
    <t>Capital expenditures</t>
  </si>
  <si>
    <t>Assumption: modular build-out; FY26 capex guided at ~5% of revenue (S11).</t>
  </si>
  <si>
    <t xml:space="preserve">    Capex % of revenue</t>
  </si>
  <si>
    <t>Electrical</t>
  </si>
  <si>
    <t>Assumption: 27.0% (2Q26 33.9%, 1Q26 27.6%); the $1.0bn 2Q26 Texas electrical booking is assumed to burn over a longer period. FY25A (I30) = annual revenue / opening-of-year backlog (annual conversion ratio), not comparable with quarterly burn rates.</t>
  </si>
  <si>
    <t>Assumption: Feyen Zylstra + Meisner (~$90m/qtr) + Hunt (~$250m annualised = ~$62.5m/qtr, S11).</t>
  </si>
  <si>
    <t>Assumption: 26.2% = average of 3Q25-2Q26 electrical margins.</t>
  </si>
  <si>
    <t>Assumption: 10.3% of revenue (2Q26 10.5% incl. Hunt amortisation).</t>
  </si>
  <si>
    <t>Assumption: in line with 2Q26 run-rate plus Hunt.</t>
  </si>
  <si>
    <t>Income Statement</t>
  </si>
  <si>
    <t>Consolidated statement of operations (GAAP)</t>
  </si>
  <si>
    <t>Revenue</t>
  </si>
  <si>
    <t>3Q26E from segment build (Revenue summary).</t>
  </si>
  <si>
    <t xml:space="preserve">    Gross margin %</t>
  </si>
  <si>
    <t>Check: segment GP - total GP (=0)</t>
  </si>
  <si>
    <t xml:space="preserve">    of which: corporate SG&amp;A</t>
  </si>
  <si>
    <t>3Q26E assumption $22.0m (2Q26 $22.8m; 1Q26 elevated by annual equity awards).</t>
  </si>
  <si>
    <t xml:space="preserve">        Y/Y change ($m)</t>
  </si>
  <si>
    <t xml:space="preserve">        Q/Q change ($m)</t>
  </si>
  <si>
    <t xml:space="preserve">    SG&amp;A % of revenue</t>
  </si>
  <si>
    <t>Gain on sale of assets</t>
  </si>
  <si>
    <t>Operating income</t>
  </si>
  <si>
    <t xml:space="preserve">    Operating margin %</t>
  </si>
  <si>
    <t>Check: segment OI tie-out (=0)</t>
  </si>
  <si>
    <t>Interest income</t>
  </si>
  <si>
    <t>3Q26E: higher average cash (~$2.0bn) at ~2.7% yield; possible extra IRS refund interest not counted.</t>
  </si>
  <si>
    <t>Interest expense</t>
  </si>
  <si>
    <t>3Q26E: debt reduced to $54m.</t>
  </si>
  <si>
    <t>Earn-out fair-value changes</t>
  </si>
  <si>
    <t>3Q26E: average of 1Q26-2Q26 (Feyen Zylstra earn-out accruing).</t>
  </si>
  <si>
    <t>Other income (expense)</t>
  </si>
  <si>
    <t>3Q26E: small, near recent run-rate.</t>
  </si>
  <si>
    <t>Total other income (expense)</t>
  </si>
  <si>
    <t>Income before income taxes</t>
  </si>
  <si>
    <t>Provision for income taxes</t>
  </si>
  <si>
    <t xml:space="preserve">    Effective tax rate %</t>
  </si>
  <si>
    <t>3Q26E 23.0%: management FY26 guide 'around 23%' (S11); 1H26 22.5% incl. discrete benefits.</t>
  </si>
  <si>
    <t>Net income to common</t>
  </si>
  <si>
    <t xml:space="preserve">    Net margin %</t>
  </si>
  <si>
    <t xml:space="preserve">    Memo: reported NI (CF YTD inputs)</t>
  </si>
  <si>
    <t>Reported net income is typed once, in the Cash Flow YTD block; linked here.</t>
  </si>
  <si>
    <t>Check: NI vs reported (=0)</t>
  </si>
  <si>
    <t>Per share</t>
  </si>
  <si>
    <t>Wtd. avg. basic shares (m)</t>
  </si>
  <si>
    <t>Wtd. avg. diluted shares (m)</t>
  </si>
  <si>
    <t>Basic EPS</t>
  </si>
  <si>
    <t>GAAP diluted EPS</t>
  </si>
  <si>
    <t xml:space="preserve">    Memo: diluted EPS as reported</t>
  </si>
  <si>
    <t>Quarters link to the CapIQ GAAP actual (Inputs); FY25 typed from the 10-K.</t>
  </si>
  <si>
    <t>Check: EPS vs reported (TRUE)</t>
  </si>
  <si>
    <t>Check: EPS = NI / dil. shares</t>
  </si>
  <si>
    <t>GAAP to normalized (consensus basis) bridge</t>
  </si>
  <si>
    <t>GAAP net income</t>
  </si>
  <si>
    <t xml:space="preserve">    Adj: earn-out FV changes</t>
  </si>
  <si>
    <t>0: CapIQ normalized actual = GAAP actual in all six history quarters (Inputs); issuer reports no non-GAAP EPS.</t>
  </si>
  <si>
    <t xml:space="preserve">    Adj: gain on sale of assets</t>
  </si>
  <si>
    <t xml:space="preserve">    Adj: discrete tax items</t>
  </si>
  <si>
    <t xml:space="preserve">    Adj: project close-out gains</t>
  </si>
  <si>
    <t xml:space="preserve">    Tax effect of adjustments</t>
  </si>
  <si>
    <t>Normalized net income</t>
  </si>
  <si>
    <t>Normalized diluted EPS</t>
  </si>
  <si>
    <t xml:space="preserve">    CapIQ normalized EPS actual</t>
  </si>
  <si>
    <t xml:space="preserve">    CapIQ norm. EPS consensus</t>
  </si>
  <si>
    <t>Check: norm. EPS vs CapIQ (TRUE)</t>
  </si>
  <si>
    <t xml:space="preserve">    Surprise vs consensus ($)</t>
  </si>
  <si>
    <t xml:space="preserve">    Surprise vs consensus (%)</t>
  </si>
  <si>
    <t>Adjusted EBITDA (issuer definition)</t>
  </si>
  <si>
    <t>Net income</t>
  </si>
  <si>
    <t xml:space="preserve">    Plus: provision for income taxes</t>
  </si>
  <si>
    <t xml:space="preserve">    Less: other income, net</t>
  </si>
  <si>
    <t xml:space="preserve">    Plus: earn-out FV changes</t>
  </si>
  <si>
    <t xml:space="preserve">    Less: interest income, net</t>
  </si>
  <si>
    <t xml:space="preserve">    Less: gain on sale of assets</t>
  </si>
  <si>
    <t xml:space="preserve">    Plus: amortization</t>
  </si>
  <si>
    <t xml:space="preserve">    corporate depreciation</t>
  </si>
  <si>
    <t>3Q26E held near run-rate.</t>
  </si>
  <si>
    <t xml:space="preserve">    Plus: depreciation</t>
  </si>
  <si>
    <t>Adjusted EBITDA</t>
  </si>
  <si>
    <t xml:space="preserve">    Adjusted EBITDA margin %</t>
  </si>
  <si>
    <t xml:space="preserve">    Adj. EBITDA as reported</t>
  </si>
  <si>
    <t>Check: Adj. EBITDA vs reported</t>
  </si>
  <si>
    <t>Balance Sheet</t>
  </si>
  <si>
    <t>Assets</t>
  </si>
  <si>
    <t>Cash and cash equivalents</t>
  </si>
  <si>
    <t>3Q26E from Cash Flow Statement.</t>
  </si>
  <si>
    <t>Billed accounts receivable, net</t>
  </si>
  <si>
    <t>3Q26E: working capital held flat (assumption).</t>
  </si>
  <si>
    <t>Unbilled accounts receivable, net</t>
  </si>
  <si>
    <t>Other receivables, net</t>
  </si>
  <si>
    <t>Inventories</t>
  </si>
  <si>
    <t>Prepaid expenses and other</t>
  </si>
  <si>
    <t>Costs in excess of billings</t>
  </si>
  <si>
    <t>Total current assets</t>
  </si>
  <si>
    <t>Property and equipment, net</t>
  </si>
  <si>
    <t>3Q26E: + capex - depreciation - net book value of disposals.</t>
  </si>
  <si>
    <t>Lease right-of-use assets</t>
  </si>
  <si>
    <t>Goodwill</t>
  </si>
  <si>
    <t>Intangible assets, net</t>
  </si>
  <si>
    <t>3Q26E: less amortization.</t>
  </si>
  <si>
    <t>Deferred tax assets</t>
  </si>
  <si>
    <t>Other noncurrent assets</t>
  </si>
  <si>
    <t>Total assets</t>
  </si>
  <si>
    <t>Liabilities</t>
  </si>
  <si>
    <t>Current portion of LT debt</t>
  </si>
  <si>
    <t>Accounts payable</t>
  </si>
  <si>
    <t>Accrued compensation and benefits</t>
  </si>
  <si>
    <t>Billings in excess &amp; deferred rev.</t>
  </si>
  <si>
    <t>Accrued self-insurance</t>
  </si>
  <si>
    <t>Other current liabilities</t>
  </si>
  <si>
    <t>Total current liabilities</t>
  </si>
  <si>
    <t>Long-term debt</t>
  </si>
  <si>
    <t>Lease liabilities</t>
  </si>
  <si>
    <t>Deferred tax liabilities</t>
  </si>
  <si>
    <t>Other long-term liabilities</t>
  </si>
  <si>
    <t>3Q26E: + non-cash earn-out accrual.</t>
  </si>
  <si>
    <t>Total liabilities</t>
  </si>
  <si>
    <t>Stockholders' equity</t>
  </si>
  <si>
    <t>Common stock</t>
  </si>
  <si>
    <t>Treasury stock, at cost</t>
  </si>
  <si>
    <t>3Q26E: less repurchases.</t>
  </si>
  <si>
    <t>Additional paid-in capital</t>
  </si>
  <si>
    <t>3Q26E: plus stock-based compensation.</t>
  </si>
  <si>
    <t>Retained earnings</t>
  </si>
  <si>
    <t>3Q26E: + net income - dividends.</t>
  </si>
  <si>
    <t>Total stockholders' equity</t>
  </si>
  <si>
    <t>Total liabilities and equity</t>
  </si>
  <si>
    <t>Check: A - L - E (=0)</t>
  </si>
  <si>
    <t xml:space="preserve">    Total assets as reported</t>
  </si>
  <si>
    <t>Check: assets vs reported (=0)</t>
  </si>
  <si>
    <t>Memo</t>
  </si>
  <si>
    <t>Cash: Q/Q change ($m)</t>
  </si>
  <si>
    <t>Net cash (cash - total debt)</t>
  </si>
  <si>
    <t>NWC excl. cash and debt</t>
  </si>
  <si>
    <t>Cash Flow Statement</t>
  </si>
  <si>
    <t>Operating activities</t>
  </si>
  <si>
    <t>Amortization</t>
  </si>
  <si>
    <t>Depreciation</t>
  </si>
  <si>
    <t>Change in ROU assets</t>
  </si>
  <si>
    <t>3Q26E: non-cash lease items assumed to net to zero.</t>
  </si>
  <si>
    <t>Bad debt expense</t>
  </si>
  <si>
    <t>Deferred taxes</t>
  </si>
  <si>
    <t>Amort. of debt financing costs</t>
  </si>
  <si>
    <t>Earn-out FV changes</t>
  </si>
  <si>
    <t>Stock-based compensation</t>
  </si>
  <si>
    <t>3Q26E: ~2Q26 run-rate ($9.2m in CF).</t>
  </si>
  <si>
    <t>Receivables</t>
  </si>
  <si>
    <t>3Q26E working-capital lines held at 0 (neutral): advance-payment build may reverse; no basis to forecast direction.</t>
  </si>
  <si>
    <t>Prepaid &amp; other current assets</t>
  </si>
  <si>
    <t>CIEB &amp; unbilled receivables</t>
  </si>
  <si>
    <t>AP &amp; other current liabilities</t>
  </si>
  <si>
    <t>Billings in excess &amp; def. revenue</t>
  </si>
  <si>
    <t>Cash from operations (CFO)</t>
  </si>
  <si>
    <t>Investing activities</t>
  </si>
  <si>
    <t>Capex (purchases of PP&amp;E)</t>
  </si>
  <si>
    <t>Proceeds from PP&amp;E sales</t>
  </si>
  <si>
    <t>3Q26E: small asset sales, near run-rate.</t>
  </si>
  <si>
    <t>Acquisitions, net of cash</t>
  </si>
  <si>
    <t>3Q26E: no acquisition announced during the quarter.</t>
  </si>
  <si>
    <t>Payments for investments</t>
  </si>
  <si>
    <t>Proceeds from investments</t>
  </si>
  <si>
    <t>Cash from investing</t>
  </si>
  <si>
    <t>Financing activities</t>
  </si>
  <si>
    <t>Revolver borrowings</t>
  </si>
  <si>
    <t>Revolver repayments</t>
  </si>
  <si>
    <t>Other debt repayments</t>
  </si>
  <si>
    <t>Debt financing costs</t>
  </si>
  <si>
    <t>Dividends paid</t>
  </si>
  <si>
    <t>Share repurchases</t>
  </si>
  <si>
    <t>Tax withholding on vested shares</t>
  </si>
  <si>
    <t>Option exercise proceeds</t>
  </si>
  <si>
    <t>Contingent consideration paid</t>
  </si>
  <si>
    <t>Cash from financing</t>
  </si>
  <si>
    <t>Net change in cash</t>
  </si>
  <si>
    <t>Cash, beginning of period</t>
  </si>
  <si>
    <t>Cash, end of period</t>
  </si>
  <si>
    <t xml:space="preserve">    Memo: Balance Sheet cash</t>
  </si>
  <si>
    <t>Check: cash ties to BS (=0)</t>
  </si>
  <si>
    <t>Free cash flow (issuer definition: CFO - capex + PP&amp;E sale proceeds)</t>
  </si>
  <si>
    <t>Cash from operating activities</t>
  </si>
  <si>
    <t xml:space="preserve">    Capex</t>
  </si>
  <si>
    <t xml:space="preserve">    Proceeds from sales of PP&amp;E</t>
  </si>
  <si>
    <t>Free cash flow</t>
  </si>
  <si>
    <t xml:space="preserve">    FCF margin %</t>
  </si>
  <si>
    <t xml:space="preserve">    FCF / net income (x)</t>
  </si>
  <si>
    <t xml:space="preserve">    FCF as reported</t>
  </si>
  <si>
    <t>Check: FCF vs reported (=0)</t>
  </si>
  <si>
    <t>Capital expenditure by segment</t>
  </si>
  <si>
    <t>Corporate</t>
  </si>
  <si>
    <t>3Q26E near run-rate.</t>
  </si>
  <si>
    <t>Total capital expenditures</t>
  </si>
  <si>
    <t>Check: capex tie-out (=0)</t>
  </si>
  <si>
    <t>Reported year-to-date cash flows (inputs; columns = 3M25, 6M25, 9M25, FY25, 3M26, 6M26)</t>
  </si>
  <si>
    <t>Year-to-date period</t>
  </si>
  <si>
    <t>3M25</t>
  </si>
  <si>
    <t>6M25</t>
  </si>
  <si>
    <t>9M25</t>
  </si>
  <si>
    <t>FY25</t>
  </si>
  <si>
    <t>3M26</t>
  </si>
  <si>
    <t>6M26</t>
  </si>
  <si>
    <t xml:space="preserve">    Net income</t>
  </si>
  <si>
    <t xml:space="preserve">    Amortization</t>
  </si>
  <si>
    <t xml:space="preserve">    Depreciation</t>
  </si>
  <si>
    <t xml:space="preserve">    Change in ROU assets</t>
  </si>
  <si>
    <t xml:space="preserve">    Bad debt expense</t>
  </si>
  <si>
    <t xml:space="preserve">    Deferred taxes</t>
  </si>
  <si>
    <t xml:space="preserve">    Amort. of debt financing costs</t>
  </si>
  <si>
    <t xml:space="preserve">    Gain on sale of assets</t>
  </si>
  <si>
    <t xml:space="preserve">    Earn-out FV changes</t>
  </si>
  <si>
    <t xml:space="preserve">    Stock-based compensation</t>
  </si>
  <si>
    <t xml:space="preserve">    Receivables</t>
  </si>
  <si>
    <t xml:space="preserve">    Inventories</t>
  </si>
  <si>
    <t xml:space="preserve">    Prepaid &amp; other current assets</t>
  </si>
  <si>
    <t xml:space="preserve">    CIEB &amp; unbilled receivables</t>
  </si>
  <si>
    <t xml:space="preserve">    Other noncurrent assets</t>
  </si>
  <si>
    <t xml:space="preserve">    AP &amp; other current liabilities</t>
  </si>
  <si>
    <t xml:space="preserve">    Billings in excess &amp; def. revenue</t>
  </si>
  <si>
    <t xml:space="preserve">    Other long-term liabilities</t>
  </si>
  <si>
    <t>Cash from operations (reported)</t>
  </si>
  <si>
    <t>Check: YTD sum vs reported (=0)</t>
  </si>
  <si>
    <t xml:space="preserve">    Capex (purchases of PP&amp;E)</t>
  </si>
  <si>
    <t xml:space="preserve">    Proceeds from PP&amp;E sales</t>
  </si>
  <si>
    <t xml:space="preserve">    Acquisitions, net of cash</t>
  </si>
  <si>
    <t xml:space="preserve">    Payments for investments</t>
  </si>
  <si>
    <t xml:space="preserve">    Proceeds from investments</t>
  </si>
  <si>
    <t>Cash from investing (reported)</t>
  </si>
  <si>
    <t xml:space="preserve">    Revolver borrowings</t>
  </si>
  <si>
    <t xml:space="preserve">    Revolver repayments</t>
  </si>
  <si>
    <t xml:space="preserve">    Other debt repayments</t>
  </si>
  <si>
    <t xml:space="preserve">    Debt financing costs</t>
  </si>
  <si>
    <t xml:space="preserve">    Dividends paid</t>
  </si>
  <si>
    <t xml:space="preserve">    Share repurchases</t>
  </si>
  <si>
    <t xml:space="preserve">    Tax withholding on vested shares</t>
  </si>
  <si>
    <t xml:space="preserve">    Option exercise proceeds</t>
  </si>
  <si>
    <t xml:space="preserve">    Contingent consideration paid</t>
  </si>
  <si>
    <t>Cash from financing (reported)</t>
  </si>
  <si>
    <t>Share Count</t>
  </si>
  <si>
    <t>Period-end share count (m)</t>
  </si>
  <si>
    <t>Shares issued</t>
  </si>
  <si>
    <t>Treasury shares</t>
  </si>
  <si>
    <t>3Q26E: plus assumed repurchases (vesting issuance ignored).</t>
  </si>
  <si>
    <t>Shares outstanding</t>
  </si>
  <si>
    <t xml:space="preserve">    Q/Q change (m)</t>
  </si>
  <si>
    <t xml:space="preserve">    Y/Y change (m)</t>
  </si>
  <si>
    <t>Buybacks</t>
  </si>
  <si>
    <t>Shares repurchased (m)</t>
  </si>
  <si>
    <t>Share repurchases ($m, cash)</t>
  </si>
  <si>
    <t>3Q26E assumption $5m: 1H26 buybacks only $8.2m.</t>
  </si>
  <si>
    <t>Avg. repurchase price ($/sh)</t>
  </si>
  <si>
    <t>Cash paid / shares (cash timing may differ from trade date). 3Q26E at CapIQ last close.</t>
  </si>
  <si>
    <t xml:space="preserve">    Y/Y change ($/share)</t>
  </si>
  <si>
    <t xml:space="preserve">    Q/Q change ($/share)</t>
  </si>
  <si>
    <t>Weighted average shares (m)</t>
  </si>
  <si>
    <t>Weighted average basic shares</t>
  </si>
  <si>
    <t xml:space="preserve">    Change in basic shares (m)</t>
  </si>
  <si>
    <t>3Q26E: -0.016m (35.205m): Jun-30 outstanding 35.200m, Jul-17 35.194m, minimal buybacks.</t>
  </si>
  <si>
    <t>Dilutive securities (m)</t>
  </si>
  <si>
    <t>3Q26E: 0.035m (2Q26 0.033m, 1Q26 0.044m).</t>
  </si>
  <si>
    <t xml:space="preserve">    Dilution % of basic</t>
  </si>
  <si>
    <t>Weighted average diluted shares</t>
  </si>
  <si>
    <t>Diluted shares for 3Q26E EPS (m)</t>
  </si>
  <si>
    <t>Dividends</t>
  </si>
  <si>
    <t>Dividends per share ($)</t>
  </si>
  <si>
    <t>3Q26E: $0.90 quarterly dividend declared Jul 23, 2026 (S11).</t>
  </si>
  <si>
    <t xml:space="preserve">    Y/Y change ($)</t>
  </si>
  <si>
    <t xml:space="preserve">    Q/Q change ($)</t>
  </si>
  <si>
    <t>Dividends paid ($m)</t>
  </si>
  <si>
    <t>Guidance</t>
  </si>
  <si>
    <t>Metric (period)</t>
  </si>
  <si>
    <t>Date given</t>
  </si>
  <si>
    <t>Midpoint</t>
  </si>
  <si>
    <t>Actual</t>
  </si>
  <si>
    <t>Beat / miss</t>
  </si>
  <si>
    <t>Notes</t>
  </si>
  <si>
    <t>FY25 same-store revenue growth</t>
  </si>
  <si>
    <t>S16</t>
  </si>
  <si>
    <t>High single-digit' read as 7-9%.</t>
  </si>
  <si>
    <t>S15</t>
  </si>
  <si>
    <t>Mid-teens' read as 14-16%.</t>
  </si>
  <si>
    <t>4Q25 same-store revenue growth</t>
  </si>
  <si>
    <t>S14</t>
  </si>
  <si>
    <t>High-teens' read as 17-19%.</t>
  </si>
  <si>
    <t>FY26 same-store revenue growth</t>
  </si>
  <si>
    <t>Low to mid-teens'; superseded.</t>
  </si>
  <si>
    <t>S13</t>
  </si>
  <si>
    <t>Mid- to high-teens'; superseded.</t>
  </si>
  <si>
    <t>S12</t>
  </si>
  <si>
    <t>Mid- to high-20%'; superseded.</t>
  </si>
  <si>
    <t>FY26 same-store growth (current)</t>
  </si>
  <si>
    <t>S11</t>
  </si>
  <si>
    <t>Mid- to high-30%' (raised 3 times); pending.</t>
  </si>
  <si>
    <t>FY26 effective tax rate</t>
  </si>
  <si>
    <t>Around 23%'; 1H26 actual 22.5%.</t>
  </si>
  <si>
    <t>FY26 capex % of revenue</t>
  </si>
  <si>
    <t>Approximately 5%'; 1H26 actual 4.7%.</t>
  </si>
  <si>
    <t>Quarterly revenue/EPS guidance</t>
  </si>
  <si>
    <t>S2</t>
  </si>
  <si>
    <t>Not provided by the issuer; CapIQ eps/revenue guidance fields are blank.</t>
  </si>
  <si>
    <t>Resolved guidance: beats (#)</t>
  </si>
  <si>
    <t>Resolved guidance: items (#)</t>
  </si>
  <si>
    <t>Year-to-date progress vs FY26 guidance (informational)</t>
  </si>
  <si>
    <t>1H26 effective tax rate (vs ~23%)</t>
  </si>
  <si>
    <t>1H26 capex % of revenue (vs ~5%)</t>
  </si>
  <si>
    <t>Guidance-implied 3Q26 (derived from FY26 same-store midpoint; issuer gives no quarterly $ guidance)</t>
  </si>
  <si>
    <t>FY25 revenue</t>
  </si>
  <si>
    <t>FY26 same-store growth midpoint</t>
  </si>
  <si>
    <t>FY26 same-store revenue implied</t>
  </si>
  <si>
    <t>Acquired revenue 1H26 (actual)</t>
  </si>
  <si>
    <t>Acquired revenue 3Q26E (model)</t>
  </si>
  <si>
    <t>Acquired revenue 4Q26E (assumed)</t>
  </si>
  <si>
    <t>Assumption: Hunt plus Feyen Zylstra/Meisner (the latter become same-store from Oct 2026, so this is an upper bound).</t>
  </si>
  <si>
    <t>FY26 revenue implied</t>
  </si>
  <si>
    <t>Less: 1H26 revenue (actual)</t>
  </si>
  <si>
    <t>2H26 revenue implied</t>
  </si>
  <si>
    <t>3Q share of 2H (2025 actual)</t>
  </si>
  <si>
    <t>Guidance-implied 3Q26 revenue</t>
  </si>
  <si>
    <t>Model 3Q26E net margin</t>
  </si>
  <si>
    <t>Revenue-guide-implied 3Q26 net income (at model net margin; not issuer guidance)</t>
  </si>
  <si>
    <t>Revenue-guide-implied 3Q26 diluted EPS (model margin and shares; issuer gives no EPS guidance)</t>
  </si>
  <si>
    <t>Implied 3Q26 revenue at 39% top</t>
  </si>
  <si>
    <t>Sources</t>
  </si>
  <si>
    <t>Source / title</t>
  </si>
  <si>
    <t>ID</t>
  </si>
  <si>
    <t>Published</t>
  </si>
  <si>
    <t>Publisher</t>
  </si>
  <si>
    <t>Retrieved (UTC)</t>
  </si>
  <si>
    <t>URL or file</t>
  </si>
  <si>
    <t>Feeds</t>
  </si>
  <si>
    <t>CapIQ history export</t>
  </si>
  <si>
    <t>S1</t>
  </si>
  <si>
    <t>S&amp;P Capital IQ (attached)</t>
  </si>
  <si>
    <t>FIX_history.csv</t>
  </si>
  <si>
    <t>Six-quarter EPS/revenue consensus vs actual history (Inputs; IS bridge memo; P(beat) calibration)</t>
  </si>
  <si>
    <t>CapIQ consensus export</t>
  </si>
  <si>
    <t>FIX_consensus.json</t>
  </si>
  <si>
    <t>Frozen consensus at cutoff (Cover headline, Inputs summary row)</t>
  </si>
  <si>
    <t>Form 10-Q 1Q25</t>
  </si>
  <si>
    <t>S3</t>
  </si>
  <si>
    <t>SEC EDGAR / Comfort Systems USA</t>
  </si>
  <si>
    <t>https://www.sec.gov/Archives/edgar/data/1035983/000155837025005411/fix-20250331x10q.htm</t>
  </si>
  <si>
    <t>1Q25 statements, segments, disaggregation, backlog, Mar-25 balance sheet</t>
  </si>
  <si>
    <t>Form 10-Q 2Q25</t>
  </si>
  <si>
    <t>S4</t>
  </si>
  <si>
    <t>https://www.sec.gov/Archives/edgar/data/1035983/000155837025009536/fix-20250630x10q.htm</t>
  </si>
  <si>
    <t>2Q25 segments, disaggregation, backlog, Jun-25 balance sheet, 2024 comparatives</t>
  </si>
  <si>
    <t>Form 10-Q 3Q25</t>
  </si>
  <si>
    <t>S5</t>
  </si>
  <si>
    <t>https://www.sec.gov/Archives/edgar/data/1035983/000110465925101821/fix-20250930x10q.htm</t>
  </si>
  <si>
    <t>3Q25 statements, segments, 9M25 cash flow, Sep-25 balance sheet, equity roll</t>
  </si>
  <si>
    <t>Form 10-K FY2025</t>
  </si>
  <si>
    <t>S6</t>
  </si>
  <si>
    <t>https://www.sec.gov/Archives/edgar/data/1035983/000110465926017530/fix-20251231x10k.htm (+ R5, R7, R23, R48)</t>
  </si>
  <si>
    <t>FY25 statements, segment note (US-only revenue), disaggregation, cash flow, equity</t>
  </si>
  <si>
    <t>4Q25 earnings release</t>
  </si>
  <si>
    <t>S7</t>
  </si>
  <si>
    <t>SEC EDGAR (8-K Ex. 99.1)</t>
  </si>
  <si>
    <t>https://www.sec.gov/Archives/edgar/data/1035983/000110465926017529/fix-20260219xex99d1.htm</t>
  </si>
  <si>
    <t>4Q25 reported EPS/shares, Adjusted EBITDA, FCF</t>
  </si>
  <si>
    <t>Form 10-Q 1Q26</t>
  </si>
  <si>
    <t>S8</t>
  </si>
  <si>
    <t>https://www.sec.gov/Archives/edgar/data/1035983/000110465926047689/fix-20260331x10q.htm</t>
  </si>
  <si>
    <t>1Q26 statements, segments, disaggregation, backlog, $43.1m close-out gains</t>
  </si>
  <si>
    <t>Form 10-Q 2Q26</t>
  </si>
  <si>
    <t>S9</t>
  </si>
  <si>
    <t>https://www.sec.gov/Archives/edgar/data/1035983/000110465926086258/fix-20260630x10q.htm</t>
  </si>
  <si>
    <t>2Q26 statements, segments, backlog, Hunt acquisition, IRS refund, share count cover</t>
  </si>
  <si>
    <t>2Q26 earnings release</t>
  </si>
  <si>
    <t>S10</t>
  </si>
  <si>
    <t>https://www.sec.gov/Archives/edgar/data/1035983/000110465926086255/fix-20260723xex99d1.htm</t>
  </si>
  <si>
    <t>2Q26/2Q25 Adjusted EBITDA and FCF</t>
  </si>
  <si>
    <t>Q2 2026 earnings call</t>
  </si>
  <si>
    <t>StockAnalysis / Quartr (Q2 2026 call transcript)</t>
  </si>
  <si>
    <t>https://stockanalysis.com/stocks/fix/transcripts/654461-q2-2026/</t>
  </si>
  <si>
    <t>FY26 same-store guide mid-high 30%, ETR ~23%, capex ~5%, Hunt $250m, dividend $0.90</t>
  </si>
  <si>
    <t>Q1 2026 earnings call</t>
  </si>
  <si>
    <t>Yahoo Finance (Q1 2026 call transcript)</t>
  </si>
  <si>
    <t>https://finance.yahoo.com/quote/9CF.DU/earnings/9CF.DU-Q1-2026-earnings_call-562186.html</t>
  </si>
  <si>
    <t>FY26 same-store guide mid-high 20%</t>
  </si>
  <si>
    <t>Q4 2025 earnings call</t>
  </si>
  <si>
    <t>StockAnalysis (Q4 2025 call transcript)</t>
  </si>
  <si>
    <t>https://stockanalysis.com/stocks/fix/transcripts/402870-q4-2025/</t>
  </si>
  <si>
    <t>FY26 guide mid-high teens; 4Q25 same-store 35%</t>
  </si>
  <si>
    <t>Q3 2025 earnings call</t>
  </si>
  <si>
    <t>Investing.com (Q3 2025 call transcript)</t>
  </si>
  <si>
    <t>https://www.investing.com/news/transcripts/earnings-call-transcript-comfort-systems-usa-q3-2025-earnings-beat-expectations-93CH-4308302</t>
  </si>
  <si>
    <t>4Q25 guide high-teens; FY26 guide low-mid teens</t>
  </si>
  <si>
    <t>Q2 2025 earnings call</t>
  </si>
  <si>
    <t>Investing.com (Q2 2025 call transcript)</t>
  </si>
  <si>
    <t>https://ng.investing.com/news/transcripts/earnings-call-transcript-comfort-systems-q2-2025-earnings-beat-projections-93CH-2027168</t>
  </si>
  <si>
    <t>FY25 guide mid-teens</t>
  </si>
  <si>
    <t>Q1 2025 earnings call</t>
  </si>
  <si>
    <t>Investing.com (Q1 2025 call transcript)</t>
  </si>
  <si>
    <t>https://www.investing.com/news/transcripts/earnings-call-transcript-comfort-systems-q1-2025-beats-eps-estimates-significantly-93CH-4005045</t>
  </si>
  <si>
    <t>FY25 guide high single digits</t>
  </si>
  <si>
    <t>3Q26 call announcement</t>
  </si>
  <si>
    <t>S17</t>
  </si>
  <si>
    <t>Business Wire / Comfort Systems USA</t>
  </si>
  <si>
    <t>https://www.businesswire.com/news/home/20261016948682/en/Comfort-Systems-USA-Announces-Third-Quarter-2026-Conference-Call-and-Webcast</t>
  </si>
  <si>
    <t>Report date Oct 22, 2026 after close; call Oct 23 (issuer calendar check)</t>
  </si>
  <si>
    <t>S&amp;P 500 addition</t>
  </si>
  <si>
    <t>S18</t>
  </si>
  <si>
    <t>S&amp;P Dow Jones Indices</t>
  </si>
  <si>
    <t>https://press.spglobal.com/2025-12-05-CRH,-Carvana-and-Comfort-Systems-USA-Set-to-Join-S-P-500-Others-to-Join-S-P-MidCap-400-and-S-P-SmallCap-600</t>
  </si>
  <si>
    <t>S&amp;P 500 membership (cohort prior)</t>
  </si>
  <si>
    <t>Market cap (Oct 15, 2026)</t>
  </si>
  <si>
    <t>S19</t>
  </si>
  <si>
    <t>GoMarketCap</t>
  </si>
  <si>
    <t>https://gomarketcap.com/companies/NYSE-FIX/comfort-systems-usa-inc</t>
  </si>
  <si>
    <t>Market cap cross-check $54.17bn</t>
  </si>
  <si>
    <t>Zacks consensus (Oct 14)</t>
  </si>
  <si>
    <t>Zacks via Yahoo Finance</t>
  </si>
  <si>
    <t>https://finance.yahoo.com/markets/stocks/articles/comfort-systems-fix-falls-more-205004411.html</t>
  </si>
  <si>
    <t>Alternative consensus EPS $12.42 / revenue $3.35bn (recorded separately)</t>
  </si>
  <si>
    <t>MarketBeat consensus (Oct 16)</t>
  </si>
  <si>
    <t>ad-hoc-news (citing MarketBeat)</t>
  </si>
  <si>
    <t>https://www.ad-hoc-news.de/boerse/news/vorboerse/comfort-systems-usa-stock-pre-market-at-eur-1321-00/70335408</t>
  </si>
  <si>
    <t>Alternative consensus EPS $12.85 / revenue $3.39bn</t>
  </si>
  <si>
    <t>Drillr 3Q26 preview</t>
  </si>
  <si>
    <t>Drillr</t>
  </si>
  <si>
    <t>https://drillr.ai/article/fix-comfort-systems-q3-2026-earnings-preview-data-center-backlog</t>
  </si>
  <si>
    <t>Alternative consensus EPS $12.90 / revenue $3.403bn (Sep 23 calendar)</t>
  </si>
  <si>
    <t>UBS reiteration</t>
  </si>
  <si>
    <t>S23</t>
  </si>
  <si>
    <t>Investing.com (UBS note)</t>
  </si>
  <si>
    <t>https://www.investing.com/news/analyst-ratings/ubs-reiterates-comfort-systems-usa-stock-rating-on-datacenter-strength-93CH-4901989</t>
  </si>
  <si>
    <t>2Q26 orders $4.9bn vs ~$3.7bn expected (bookings cross-check)</t>
  </si>
  <si>
    <t>Stock move Oct 15</t>
  </si>
  <si>
    <t>S24</t>
  </si>
  <si>
    <t>Kalkine Media</t>
  </si>
  <si>
    <t>https://kalkine.com/news/industrials/comfort-systems-usa-nysefix-stock-slips-as-the-data-center-theme-comes-under-pressure</t>
  </si>
  <si>
    <t>Oct-15 selloff tied to AI/rates theme, no company-specific news (downside test)</t>
  </si>
  <si>
    <t>Stock move Oct 13</t>
  </si>
  <si>
    <t>S25</t>
  </si>
  <si>
    <t>Quiver Quantitative</t>
  </si>
  <si>
    <t>https://www.quiverquant.com/news/Comfort+Systems+USA</t>
  </si>
  <si>
    <t>Downgrade on valuation, no operational development (downside test)</t>
  </si>
  <si>
    <t>EMCOR 3Q26 date</t>
  </si>
  <si>
    <t>S26</t>
  </si>
  <si>
    <t>EMCOR Group</t>
  </si>
  <si>
    <t>https://emcorgroup.com/investor-relations/press-releases/2026-news/emcor-group-inc-sets-third-quarter-2026-earnings-release-date-and-webcast</t>
  </si>
  <si>
    <t>Closest peer reports Oct 29 (after cutoff): no peer 3Q26 read-across available</t>
  </si>
  <si>
    <t>Q1 2026 call summary</t>
  </si>
  <si>
    <t>S27</t>
  </si>
  <si>
    <t>Yahoo Finance / Moby (Q1 2026 call summary)</t>
  </si>
  <si>
    <t>https://finance.yahoo.com/markets/stocks/articles/comfort-systems-usa-inc-q1-123000740.html</t>
  </si>
  <si>
    <t>Hunt acquisition (~$250m annual revenue) expected early May 2026</t>
  </si>
  <si>
    <t>Market cap (Oct 18, 2026 data)</t>
  </si>
  <si>
    <t>S28</t>
  </si>
  <si>
    <t>Undated (data Oct 18, 2026)</t>
  </si>
  <si>
    <t>companiesmarketcap.com</t>
  </si>
  <si>
    <t>https://companiesmarketcap.com/comfort-systems/marketcap/</t>
  </si>
  <si>
    <t>Market cap cross-check $50.64bn (Inputs!L27); page states 'On Oct 18th, 2026 the market cap ... was reported to be' $50.64bn</t>
  </si>
  <si>
    <t>Tabs omitted / by design</t>
  </si>
  <si>
    <t>Geo: omitted. FY2025 10-K Note 16 (S6) states substantially all revenue is generated in the United States; noted on Revenue summary.</t>
  </si>
  <si>
    <t>Dates, Consensus and Checks tabs: none by design. Period headers sit on each tab; consensus is on Cover; check summary is in artifacts/checks.md.</t>
  </si>
  <si>
    <t>Inputs: holds the complete raw CapIQ summary row and six history rows (S1, S2), formula-linked into the model.</t>
  </si>
  <si>
    <t>Evidence after the 2026-10-18 21:34 UTC cutoff (e.g. Oct 19 market data/previews) was excluded; no 3Q26 actual results were seen.</t>
  </si>
  <si>
    <t>Retrieval caveat: retrieval dates (column F) are 2026-10-19, after the 2026-10-18 21:34 UTC cutoff. All dated publications (column D) precede the cutoff; S28 is an undated page whose data is stated as of Oct 18, 2026. Web sources were retrieved live (page fetches or search-result text), not from frozen snapshots, so pages may have changed after the cutoff; only the retrieval date is recorded.</t>
  </si>
  <si>
    <t>Inputs (S&amp;P Capital IQ raw export)</t>
  </si>
  <si>
    <t>FIX_history.csv - six history rows (one quarter per column, C:H = 1Q25A-2Q26A)</t>
  </si>
  <si>
    <t>period_end_date</t>
  </si>
  <si>
    <t>report_date</t>
  </si>
  <si>
    <t>eps_normalized_consensus</t>
  </si>
  <si>
    <t>3Q26E = CapIQ summary consensus; target-quarter actual intentionally absent.</t>
  </si>
  <si>
    <t>eps_normalized_actual</t>
  </si>
  <si>
    <t>eps_gaap_consensus</t>
  </si>
  <si>
    <t>eps_gaap_actual</t>
  </si>
  <si>
    <t>revenue_m_consensus</t>
  </si>
  <si>
    <t>revenue_m_actual</t>
  </si>
  <si>
    <t>Norm. EPS surprise ($)</t>
  </si>
  <si>
    <t>Normalized EPS surprise %</t>
  </si>
  <si>
    <t>Strict beat (1/0)</t>
  </si>
  <si>
    <t>Valid pair (1/0)</t>
  </si>
  <si>
    <t>GAAP actual = normalized actual</t>
  </si>
  <si>
    <t>Revenue surprise %</t>
  </si>
  <si>
    <t>Beat-probability calibration (playbook section 7)</t>
  </si>
  <si>
    <t>Last close price (USD, CapIQ)</t>
  </si>
  <si>
    <t>Shares outstanding (m, 7/17/26)</t>
  </si>
  <si>
    <t>Market cap ($bn) = price x shares</t>
  </si>
  <si>
    <t>Cross-check: GoMarketCap $54.17bn (Oct 15, 2026; S19); companiesmarketcap $50.64bn (Oct 18, 2026 data; S28).</t>
  </si>
  <si>
    <t>Market cap cross-check ($bn)</t>
  </si>
  <si>
    <t>Large-cap threshold ($bn)</t>
  </si>
  <si>
    <t>Mid-cap threshold ($bn)</t>
  </si>
  <si>
    <t>Size bucket</t>
  </si>
  <si>
    <t>S&amp;P 500 member</t>
  </si>
  <si>
    <t>Yes</t>
  </si>
  <si>
    <t>Prior: large or S&amp;P 500</t>
  </si>
  <si>
    <t>Prior: mid cap</t>
  </si>
  <si>
    <t>Prior: small cap</t>
  </si>
  <si>
    <t>Cohort prior</t>
  </si>
  <si>
    <t>Strict beats b</t>
  </si>
  <si>
    <t>Valid pairs n</t>
  </si>
  <si>
    <t>Pseudo-count</t>
  </si>
  <si>
    <t>Starting probability</t>
  </si>
  <si>
    <t>Starting p = (pseudo-count x prior + b) / (pseudo-count + n).</t>
  </si>
  <si>
    <t>Final P(beat consensus EPS)</t>
  </si>
  <si>
    <t>Judgement: model EPS +1.9% vs consensus; guidance-implied 3Q26 below consensus; Q2 7.7% favourable estimate revisions may not recur; selloff is valuation-driven.</t>
  </si>
  <si>
    <t>Quarter-specific adjustment</t>
  </si>
  <si>
    <t>medium</t>
  </si>
  <si>
    <t>Mean hist. surprise ($/sh)</t>
  </si>
  <si>
    <t>Model EPS - consensus ($/sh)</t>
  </si>
  <si>
    <t>FIX_consensus.json - complete raw summary_row (blank source values left blank)</t>
  </si>
  <si>
    <t>ticker</t>
  </si>
  <si>
    <t>company_name</t>
  </si>
  <si>
    <t>exchange_ticker</t>
  </si>
  <si>
    <t>NYSE:FIX</t>
  </si>
  <si>
    <t>capiq_company_id</t>
  </si>
  <si>
    <t>currency_basis</t>
  </si>
  <si>
    <t>USD</t>
  </si>
  <si>
    <t>fiscal_year_end</t>
  </si>
  <si>
    <t>Dec-31</t>
  </si>
  <si>
    <t>fiscal_quarter</t>
  </si>
  <si>
    <t>FQ3 2026 - Sep 2026</t>
  </si>
  <si>
    <t>quarter_end_date</t>
  </si>
  <si>
    <t>expected_report_date</t>
  </si>
  <si>
    <t>eps_basis</t>
  </si>
  <si>
    <t>normalized diluted and GAAP diluted, as labelled</t>
  </si>
  <si>
    <t>eps_normalized_estimates</t>
  </si>
  <si>
    <t>eps_normalized_contributors</t>
  </si>
  <si>
    <t>detail_tab_total_contributors</t>
  </si>
  <si>
    <t>blank in source export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</si>
  <si>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</si>
  <si>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</si>
  <si>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</si>
  <si>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</si>
  <si>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</si>
  <si>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</si>
  <si>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</si>
  <si>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</si>
  <si>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</si>
  <si>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</si>
  <si>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</si>
  <si>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</si>
  <si>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</si>
  <si>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</si>
  <si>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</si>
  <si>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</si>
  <si>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</si>
  <si>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</si>
  <si>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</si>
  <si>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</si>
  <si>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</si>
  <si>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</si>
  <si>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</si>
  <si>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</si>
  <si>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</si>
  <si>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</si>
  <si>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</si>
  <si>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</si>
  <si>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</si>
  <si>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</si>
  <si>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</si>
  <si>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</si>
  <si>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</si>
  <si>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</si>
  <si>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</si>
  <si>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</si>
  <si>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</si>
  <si>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</si>
  <si>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</si>
  <si>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</si>
  <si>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</si>
  <si>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</si>
  <si>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</si>
  <si>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</si>
  <si>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</si>
  <si>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</si>
  <si>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</si>
  <si>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</si>
  <si>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</si>
  <si>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</si>
  <si>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</si>
  <si>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</si>
  <si>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</si>
  <si>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</si>
  <si>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2073.99/770.47</t>
  </si>
  <si>
    <t>estimates_captured_at</t>
  </si>
  <si>
    <t>notes</t>
  </si>
  <si>
    <t>consensus has understated every one of the last six quarters, by 20 to 54 percent; thin panel of 10 contributors</t>
  </si>
  <si>
    <t>FIX_consensus.json - top-level fields</t>
  </si>
  <si>
    <t>source</t>
  </si>
  <si>
    <t>S&amp;P Capital IQ</t>
  </si>
  <si>
    <t>company</t>
  </si>
  <si>
    <t>fiscal_period</t>
  </si>
  <si>
    <t>as_of_date</t>
  </si>
  <si>
    <t>analyst_count</t>
  </si>
  <si>
    <t>consensus_eps</t>
  </si>
  <si>
    <t>Normalized diluted EPS per ordinary/common share, USD; verify issuer adjustments and share identity</t>
  </si>
  <si>
    <t>consensus_revenue_m</t>
  </si>
  <si>
    <t>currency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</si>
  <si>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</si>
  <si>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</si>
  <si>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</si>
  <si>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</si>
  <si>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</si>
  <si>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</si>
  <si>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</si>
  <si>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</si>
  <si>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</si>
  <si>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</si>
  <si>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</si>
  <si>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</si>
  <si>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</si>
  <si>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target_manifest.policy</t>
  </si>
  <si>
    <t>Track applicable disclosed lines; record unavailable/not applicable with a reason. Only normalized EPS is scored.</t>
  </si>
</sst>
</file>

<file path=xl/styles.xml><?xml version="1.0" encoding="utf-8"?>
<styleSheet xmlns="http://schemas.openxmlformats.org/spreadsheetml/2006/main">
  <numFmts count="11">
    <numFmt numFmtId="164" formatCode="$0.00_);($0.00)"/>
    <numFmt numFmtId="165" formatCode="#,##0.0_);(#,##0.0);–_)"/>
    <numFmt numFmtId="166" formatCode="0"/>
    <numFmt numFmtId="167" formatCode="yyyy-mm-dd"/>
    <numFmt numFmtId="168" formatCode="General"/>
    <numFmt numFmtId="169" formatCode="0.0%_);(0.0%);–_)"/>
    <numFmt numFmtId="170" formatCode="$#,##0.00"/>
    <numFmt numFmtId="171" formatCode="#,##0.00_);(#,##0.00)"/>
    <numFmt numFmtId="172" formatCode="#,##0_);(#,##0);–_)"/>
    <numFmt numFmtId="173" formatCode="0.0x"/>
    <numFmt numFmtId="174" formatCode="0.00"/>
  </numFmts>
  <fonts count="19">
    <font>
      <sz val="11"/>
      <name val="Calibri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/>
      <i/>
      <strike val="0"/>
      <sz val="10"/>
      <color rgb="FF006100"/>
      <name val="Arial"/>
    </font>
    <font>
      <b val="0"/>
      <i/>
      <strike val="0"/>
      <sz val="10"/>
      <color rgb="FF595959"/>
      <name val="Arial"/>
    </font>
    <font>
      <b/>
      <i val="0"/>
      <strike val="0"/>
      <sz val="12"/>
      <color rgb="FF000000"/>
      <name val="Arial"/>
    </font>
    <font>
      <b/>
      <i val="0"/>
      <strike val="0"/>
      <sz val="14"/>
      <color rgb="FF000000"/>
      <name val="Arial"/>
    </font>
    <font>
      <b/>
      <i val="0"/>
      <strike val="0"/>
      <sz val="10"/>
      <color rgb="FF0000FF"/>
      <name val="Arial"/>
    </font>
    <font>
      <b/>
      <i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DEBF7"/>
      </patternFill>
    </fill>
  </fills>
  <borders count="4">
    <border>
      <left/>
      <right/>
      <top/>
      <bottom/>
      <diagonal/>
    </border>
    <border>
      <top style="thin">
        <color rgb="FF7F7F7F"/>
      </top>
      <bottom style="thin">
        <color rgb="FF7F7F7F"/>
      </bottom>
    </border>
    <border>
      <top style="thin">
        <color rgb="FF7F7F7F"/>
      </top>
    </border>
    <border>
      <bottom style="thin">
        <color rgb="FF7F7F7F"/>
      </bottom>
    </border>
  </borders>
  <cellStyleXfs count="1">
    <xf numFmtId="0" fontId="0" fillId="0" borderId="0"/>
  </cellStyleXfs>
  <cellXfs count="101">
    <xf numFmtId="0" fontId="0" fillId="0" borderId="0" xfId="0"/>
    <xf numFmtId="0" fontId="1" fillId="2" borderId="1" xfId="0" applyFont="1" applyFill="1" applyBorder="1" applyAlignment="1" applyProtection="1">
      <alignment horizontal="right" vertical="bottom" wrapText="1"/>
      <protection locked="1" hidden="0"/>
    </xf>
    <xf numFmtId="0" fontId="2" fillId="2" borderId="0" xfId="0" applyFont="1" applyFill="1" applyBorder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left" vertical="bottom"/>
      <protection locked="1" hidden="0"/>
    </xf>
    <xf numFmtId="166" fontId="3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left" vertical="top" wrapText="1"/>
      <protection locked="1" hidden="0"/>
    </xf>
    <xf numFmtId="167" fontId="2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right" vertical="bottom"/>
      <protection locked="1" hidden="0"/>
    </xf>
    <xf numFmtId="0" fontId="1" fillId="2" borderId="2" xfId="0" applyFont="1" applyFill="1" applyBorder="1" applyAlignment="1" applyProtection="1">
      <alignment horizontal="right" vertical="bottom"/>
      <protection locked="1" hidden="0"/>
    </xf>
    <xf numFmtId="168" fontId="5" fillId="0" borderId="0" xfId="0" applyNumberFormat="1" applyFont="1" applyFill="1" applyAlignment="1" applyProtection="1">
      <alignment horizontal="right" vertical="bottom"/>
      <protection locked="1" hidden="0"/>
    </xf>
    <xf numFmtId="166" fontId="2" fillId="2" borderId="3" xfId="0" applyNumberFormat="1" applyFont="1" applyFill="1" applyBorder="1" applyAlignment="1" applyProtection="1">
      <alignment horizontal="right" vertical="bottom"/>
      <protection locked="1" hidden="0"/>
    </xf>
    <xf numFmtId="0" fontId="1" fillId="2" borderId="1" xfId="0" applyFont="1" applyFill="1" applyBorder="1" applyAlignment="1" applyProtection="1">
      <alignment horizontal="left" vertical="bottom" wrapText="1"/>
      <protection locked="1" hidden="0"/>
    </xf>
    <xf numFmtId="169" fontId="6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2" xfId="0" applyNumberFormat="1" applyFont="1" applyFill="1" applyBorder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0" fontId="2" fillId="2" borderId="0" xfId="0" applyFont="1" applyFill="1" applyBorder="1" applyAlignment="1" applyProtection="1">
      <alignment horizontal="left" vertical="bottom"/>
      <protection locked="1" hidden="0"/>
    </xf>
    <xf numFmtId="167" fontId="2" fillId="2" borderId="0" xfId="0" applyNumberFormat="1" applyFont="1" applyFill="1" applyBorder="1" applyAlignment="1" applyProtection="1">
      <alignment horizontal="right" vertical="bottom"/>
      <protection locked="1" hidden="0"/>
    </xf>
    <xf numFmtId="169" fontId="7" fillId="0" borderId="0" xfId="0" applyNumberFormat="1" applyFont="1" applyFill="1" applyAlignment="1" applyProtection="1">
      <alignment horizontal="right" vertical="bottom"/>
      <protection locked="1" hidden="0"/>
    </xf>
    <xf numFmtId="0" fontId="2" fillId="2" borderId="2" xfId="0" applyFont="1" applyFill="1" applyBorder="1" applyAlignment="1" applyProtection="1">
      <alignment horizontal="general" vertical="bottom"/>
      <protection locked="1" hidden="0"/>
    </xf>
    <xf numFmtId="169" fontId="8" fillId="0" borderId="0" xfId="0" applyNumberFormat="1" applyFont="1" applyFill="1" applyAlignment="1" applyProtection="1">
      <alignment horizontal="right" vertical="bottom"/>
      <protection locked="1" hidden="0"/>
    </xf>
    <xf numFmtId="0" fontId="2" fillId="2" borderId="3" xfId="0" applyFont="1" applyFill="1" applyBorder="1" applyAlignment="1" applyProtection="1">
      <alignment horizontal="general" vertical="bottom"/>
      <protection locked="1" hidden="0"/>
    </xf>
    <xf numFmtId="169" fontId="9" fillId="0" borderId="0" xfId="0" applyNumberFormat="1" applyFont="1" applyFill="1" applyAlignment="1" applyProtection="1">
      <alignment horizontal="right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0" fontId="6" fillId="0" borderId="0" xfId="0" applyFont="1" applyFill="1" applyAlignment="1" applyProtection="1">
      <alignment horizontal="left" vertical="bottom"/>
      <protection locked="1" hidden="0"/>
    </xf>
    <xf numFmtId="0" fontId="2" fillId="2" borderId="3" xfId="0" applyFont="1" applyFill="1" applyBorder="1" applyAlignment="1" applyProtection="1">
      <alignment horizontal="left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0" fontId="10" fillId="0" borderId="0" xfId="0" applyFont="1" applyFill="1" applyAlignment="1" applyProtection="1">
      <alignment horizontal="left" vertical="bottom"/>
      <protection locked="1" hidden="0"/>
    </xf>
    <xf numFmtId="0" fontId="2" fillId="2" borderId="2" xfId="0" applyFont="1" applyFill="1" applyBorder="1" applyAlignment="1" applyProtection="1">
      <alignment horizontal="left" vertical="bottom"/>
      <protection locked="1" hidden="0"/>
    </xf>
    <xf numFmtId="0" fontId="11" fillId="0" borderId="0" xfId="0" applyFont="1" applyFill="1" applyAlignment="1" applyProtection="1">
      <alignment horizontal="general" vertical="bottom"/>
      <protection locked="1" hidden="0"/>
    </xf>
    <xf numFmtId="0" fontId="12" fillId="0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166" fontId="2" fillId="0" borderId="0" xfId="0" applyNumberFormat="1" applyFont="1" applyFill="1" applyAlignment="1" applyProtection="1">
      <alignment horizontal="right" vertical="bottom"/>
      <protection locked="1" hidden="0"/>
    </xf>
    <xf numFmtId="170" fontId="2" fillId="0" borderId="0" xfId="0" applyNumberFormat="1" applyFont="1" applyFill="1" applyAlignment="1" applyProtection="1">
      <alignment horizontal="right" vertical="bottom"/>
      <protection locked="1" hidden="0"/>
    </xf>
    <xf numFmtId="171" fontId="4" fillId="0" borderId="0" xfId="0" applyNumberFormat="1" applyFont="1" applyFill="1" applyAlignment="1" applyProtection="1">
      <alignment horizontal="right" vertical="bottom"/>
      <protection locked="1" hidden="0"/>
    </xf>
    <xf numFmtId="171" fontId="2" fillId="0" borderId="0" xfId="0" applyNumberFormat="1" applyFont="1" applyFill="1" applyAlignment="1" applyProtection="1">
      <alignment horizontal="right" vertical="bottom"/>
      <protection locked="1" hidden="0"/>
    </xf>
    <xf numFmtId="165" fontId="2" fillId="3" borderId="0" xfId="0" applyNumberFormat="1" applyFont="1" applyFill="1" applyAlignment="1" applyProtection="1">
      <alignment horizontal="right" vertical="bottom"/>
      <protection locked="1" hidden="0"/>
    </xf>
    <xf numFmtId="164" fontId="5" fillId="0" borderId="2" xfId="0" applyNumberFormat="1" applyFont="1" applyFill="1" applyBorder="1" applyAlignment="1" applyProtection="1">
      <alignment horizontal="right" vertical="bottom"/>
      <protection locked="1" hidden="0"/>
    </xf>
    <xf numFmtId="172" fontId="2" fillId="0" borderId="0" xfId="0" applyNumberFormat="1" applyFont="1" applyFill="1" applyAlignment="1" applyProtection="1">
      <alignment horizontal="right" vertical="bottom"/>
      <protection locked="1" hidden="0"/>
    </xf>
    <xf numFmtId="164" fontId="4" fillId="3" borderId="0" xfId="0" applyNumberFormat="1" applyFont="1" applyFill="1" applyAlignment="1" applyProtection="1">
      <alignment horizontal="right" vertical="bottom"/>
      <protection locked="1" hidden="0"/>
    </xf>
    <xf numFmtId="170" fontId="2" fillId="3" borderId="0" xfId="0" applyNumberFormat="1" applyFont="1" applyFill="1" applyAlignment="1" applyProtection="1">
      <alignment horizontal="right" vertical="bottom"/>
      <protection locked="1" hidden="0"/>
    </xf>
    <xf numFmtId="171" fontId="2" fillId="3" borderId="0" xfId="0" applyNumberFormat="1" applyFont="1" applyFill="1" applyAlignment="1" applyProtection="1">
      <alignment horizontal="right" vertical="bottom"/>
      <protection locked="1" hidden="0"/>
    </xf>
    <xf numFmtId="171" fontId="1" fillId="0" borderId="2" xfId="0" applyNumberFormat="1" applyFont="1" applyFill="1" applyBorder="1" applyAlignment="1" applyProtection="1">
      <alignment horizontal="right" vertical="bottom"/>
      <protection locked="1" hidden="0"/>
    </xf>
    <xf numFmtId="171" fontId="1" fillId="3" borderId="2" xfId="0" applyNumberFormat="1" applyFont="1" applyFill="1" applyBorder="1" applyAlignment="1" applyProtection="1">
      <alignment horizontal="right" vertical="bottom"/>
      <protection locked="1" hidden="0"/>
    </xf>
    <xf numFmtId="165" fontId="4" fillId="3" borderId="0" xfId="0" applyNumberFormat="1" applyFont="1" applyFill="1" applyAlignment="1" applyProtection="1">
      <alignment horizontal="right" vertical="bottom"/>
      <protection locked="1" hidden="0"/>
    </xf>
    <xf numFmtId="171" fontId="4" fillId="3" borderId="0" xfId="0" applyNumberFormat="1" applyFont="1" applyFill="1" applyAlignment="1" applyProtection="1">
      <alignment horizontal="right" vertical="bottom"/>
      <protection locked="1" hidden="0"/>
    </xf>
    <xf numFmtId="171" fontId="13" fillId="0" borderId="2" xfId="0" applyNumberFormat="1" applyFont="1" applyFill="1" applyBorder="1" applyAlignment="1" applyProtection="1">
      <alignment horizontal="right" vertical="bottom"/>
      <protection locked="1" hidden="0"/>
    </xf>
    <xf numFmtId="0" fontId="2" fillId="3" borderId="0" xfId="0" applyFont="1" applyFill="1" applyAlignment="1" applyProtection="1">
      <alignment horizontal="general" vertical="bottom"/>
      <protection locked="1" hidden="0"/>
    </xf>
    <xf numFmtId="164" fontId="2" fillId="3" borderId="0" xfId="0" applyNumberFormat="1" applyFont="1" applyFill="1" applyAlignment="1" applyProtection="1">
      <alignment horizontal="right" vertical="bottom"/>
      <protection locked="1" hidden="0"/>
    </xf>
    <xf numFmtId="171" fontId="1" fillId="3" borderId="0" xfId="0" applyNumberFormat="1" applyFont="1" applyFill="1" applyAlignment="1" applyProtection="1">
      <alignment horizontal="right" vertical="bottom"/>
      <protection locked="1" hidden="0"/>
    </xf>
    <xf numFmtId="172" fontId="2" fillId="3" borderId="0" xfId="0" applyNumberFormat="1" applyFont="1" applyFill="1" applyAlignment="1" applyProtection="1">
      <alignment horizontal="right" vertical="bottom"/>
      <protection locked="1" hidden="0"/>
    </xf>
    <xf numFmtId="170" fontId="3" fillId="3" borderId="0" xfId="0" applyNumberFormat="1" applyFont="1" applyFill="1" applyAlignment="1" applyProtection="1">
      <alignment horizontal="right" vertical="bottom"/>
      <protection locked="1" hidden="0"/>
    </xf>
    <xf numFmtId="166" fontId="4" fillId="0" borderId="0" xfId="0" applyNumberFormat="1" applyFont="1" applyFill="1" applyAlignment="1" applyProtection="1">
      <alignment horizontal="right" vertical="bottom"/>
      <protection locked="1" hidden="0"/>
    </xf>
    <xf numFmtId="168" fontId="4" fillId="0" borderId="0" xfId="0" applyNumberFormat="1" applyFont="1" applyFill="1" applyAlignment="1" applyProtection="1">
      <alignment horizontal="left" vertical="bottom"/>
      <protection locked="1" hidden="0"/>
    </xf>
    <xf numFmtId="168" fontId="2" fillId="0" borderId="0" xfId="0" applyNumberFormat="1" applyFont="1" applyFill="1" applyAlignment="1" applyProtection="1">
      <alignment horizontal="right" vertical="bottom"/>
      <protection locked="1" hidden="0"/>
    </xf>
    <xf numFmtId="169" fontId="6" fillId="3" borderId="0" xfId="0" applyNumberFormat="1" applyFont="1" applyFill="1" applyAlignment="1" applyProtection="1">
      <alignment horizontal="right" vertical="bottom"/>
      <protection locked="1" hidden="0"/>
    </xf>
    <xf numFmtId="170" fontId="4" fillId="0" borderId="0" xfId="0" applyNumberFormat="1" applyFont="1" applyFill="1" applyAlignment="1" applyProtection="1">
      <alignment horizontal="right" vertical="bottom"/>
      <protection locked="1" hidden="0"/>
    </xf>
    <xf numFmtId="167" fontId="4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5" fontId="1" fillId="3" borderId="2" xfId="0" applyNumberFormat="1" applyFont="1" applyFill="1" applyBorder="1" applyAlignment="1" applyProtection="1">
      <alignment horizontal="right" vertical="bottom"/>
      <protection locked="1" hidden="0"/>
    </xf>
    <xf numFmtId="165" fontId="3" fillId="3" borderId="0" xfId="0" applyNumberFormat="1" applyFont="1" applyFill="1" applyAlignment="1" applyProtection="1">
      <alignment horizontal="right" vertical="bottom"/>
      <protection locked="1" hidden="0"/>
    </xf>
    <xf numFmtId="169" fontId="8" fillId="3" borderId="0" xfId="0" applyNumberFormat="1" applyFont="1" applyFill="1" applyAlignment="1" applyProtection="1">
      <alignment horizontal="right" vertical="bottom"/>
      <protection locked="1" hidden="0"/>
    </xf>
    <xf numFmtId="173" fontId="2" fillId="0" borderId="0" xfId="0" applyNumberFormat="1" applyFont="1" applyFill="1" applyAlignment="1" applyProtection="1">
      <alignment horizontal="right" vertical="bottom"/>
      <protection locked="1" hidden="0"/>
    </xf>
    <xf numFmtId="165" fontId="13" fillId="0" borderId="2" xfId="0" applyNumberFormat="1" applyFont="1" applyFill="1" applyBorder="1" applyAlignment="1" applyProtection="1">
      <alignment horizontal="right" vertical="bottom"/>
      <protection locked="1" hidden="0"/>
    </xf>
    <xf numFmtId="169" fontId="14" fillId="0" borderId="0" xfId="0" applyNumberFormat="1" applyFont="1" applyFill="1" applyAlignment="1" applyProtection="1">
      <alignment horizontal="right" vertical="bottom"/>
      <protection locked="1" hidden="0"/>
    </xf>
    <xf numFmtId="173" fontId="4" fillId="3" borderId="0" xfId="0" applyNumberFormat="1" applyFont="1" applyFill="1" applyAlignment="1" applyProtection="1">
      <alignment horizontal="right" vertical="bottom"/>
      <protection locked="1" hidden="0"/>
    </xf>
    <xf numFmtId="171" fontId="3" fillId="0" borderId="0" xfId="0" applyNumberFormat="1" applyFont="1" applyFill="1" applyAlignment="1" applyProtection="1">
      <alignment horizontal="right" vertical="bottom"/>
      <protection locked="1" hidden="0"/>
    </xf>
    <xf numFmtId="164" fontId="3" fillId="3" borderId="0" xfId="0" applyNumberFormat="1" applyFont="1" applyFill="1" applyAlignment="1" applyProtection="1">
      <alignment horizontal="right" vertical="bottom"/>
      <protection locked="1" hidden="0"/>
    </xf>
    <xf numFmtId="165" fontId="13" fillId="0" borderId="0" xfId="0" applyNumberFormat="1" applyFont="1" applyFill="1" applyAlignment="1" applyProtection="1">
      <alignment horizontal="right" vertical="bottom"/>
      <protection locked="1" hidden="0"/>
    </xf>
    <xf numFmtId="164" fontId="1" fillId="3" borderId="2" xfId="0" applyNumberFormat="1" applyFont="1" applyFill="1" applyBorder="1" applyAlignment="1" applyProtection="1">
      <alignment horizontal="right" vertical="bottom"/>
      <protection locked="1" hidden="0"/>
    </xf>
    <xf numFmtId="169" fontId="14" fillId="3" borderId="0" xfId="0" applyNumberFormat="1" applyFont="1" applyFill="1" applyAlignment="1" applyProtection="1">
      <alignment horizontal="right" vertical="bottom"/>
      <protection locked="1" hidden="0"/>
    </xf>
    <xf numFmtId="164" fontId="1" fillId="0" borderId="2" xfId="0" applyNumberFormat="1" applyFont="1" applyFill="1" applyBorder="1" applyAlignment="1" applyProtection="1">
      <alignment horizontal="right" vertical="bottom"/>
      <protection locked="1" hidden="0"/>
    </xf>
    <xf numFmtId="0" fontId="14" fillId="0" borderId="0" xfId="0" applyFont="1" applyFill="1" applyAlignment="1" applyProtection="1">
      <alignment horizontal="left" vertical="bottom"/>
      <protection locked="1" hidden="0"/>
    </xf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174" fontId="4" fillId="0" borderId="0" xfId="0" applyNumberFormat="1" applyFont="1" applyFill="1" applyAlignment="1" applyProtection="1">
      <alignment horizontal="right" vertical="bottom"/>
      <protection locked="1" hidden="0"/>
    </xf>
    <xf numFmtId="173" fontId="2" fillId="3" borderId="0" xfId="0" applyNumberFormat="1" applyFont="1" applyFill="1" applyAlignment="1" applyProtection="1">
      <alignment horizontal="right" vertical="bottom"/>
      <protection locked="1" hidden="0"/>
    </xf>
    <xf numFmtId="171" fontId="3" fillId="3" borderId="0" xfId="0" applyNumberFormat="1" applyFont="1" applyFill="1" applyAlignment="1" applyProtection="1">
      <alignment horizontal="right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165" fontId="5" fillId="3" borderId="0" xfId="0" applyNumberFormat="1" applyFont="1" applyFill="1" applyAlignment="1" applyProtection="1">
      <alignment horizontal="right" vertical="bottom"/>
      <protection locked="1" hidden="0"/>
    </xf>
    <xf numFmtId="168" fontId="2" fillId="3" borderId="0" xfId="0" applyNumberFormat="1" applyFont="1" applyFill="1" applyAlignment="1" applyProtection="1">
      <alignment horizontal="right" vertical="bottom"/>
      <protection locked="1" hidden="0"/>
    </xf>
    <xf numFmtId="165" fontId="5" fillId="0" borderId="2" xfId="0" applyNumberFormat="1" applyFont="1" applyFill="1" applyBorder="1" applyAlignment="1" applyProtection="1">
      <alignment horizontal="right" vertical="bottom"/>
      <protection locked="1" hidden="0"/>
    </xf>
    <xf numFmtId="165" fontId="5" fillId="0" borderId="0" xfId="0" applyNumberFormat="1" applyFont="1" applyFill="1" applyAlignment="1" applyProtection="1">
      <alignment horizontal="right" vertical="bottom"/>
      <protection locked="1" hidden="0"/>
    </xf>
    <xf numFmtId="169" fontId="7" fillId="3" borderId="0" xfId="0" applyNumberFormat="1" applyFont="1" applyFill="1" applyAlignment="1" applyProtection="1">
      <alignment horizontal="right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165" fontId="5" fillId="3" borderId="2" xfId="0" applyNumberFormat="1" applyFont="1" applyFill="1" applyBorder="1" applyAlignment="1" applyProtection="1">
      <alignment horizontal="right" vertical="bottom"/>
      <protection locked="1" hidden="0"/>
    </xf>
    <xf numFmtId="0" fontId="2" fillId="3" borderId="2" xfId="0" applyFont="1" applyFill="1" applyBorder="1" applyAlignment="1" applyProtection="1">
      <alignment horizontal="general" vertical="bottom"/>
      <protection locked="1" hidden="0"/>
    </xf>
    <xf numFmtId="0" fontId="2" fillId="0" borderId="2" xfId="0" applyFont="1" applyFill="1" applyBorder="1" applyAlignment="1" applyProtection="1">
      <alignment horizontal="general" vertical="bottom"/>
      <protection locked="1" hidden="0"/>
    </xf>
    <xf numFmtId="0" fontId="15" fillId="0" borderId="0" xfId="0" applyFont="1" applyFill="1" applyAlignment="1" applyProtection="1">
      <alignment horizontal="left" vertical="bottom"/>
      <protection locked="1" hidden="0"/>
    </xf>
    <xf numFmtId="168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17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8" fontId="17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68" fontId="17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67" fontId="17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0" fontId="17" fillId="0" borderId="0" xfId="0" applyFont="1" applyFill="1" applyAlignment="1" applyProtection="1">
      <alignment horizontal="left" vertical="bottom"/>
      <protection locked="1" hidden="0"/>
    </xf>
    <xf numFmtId="168" fontId="18" fillId="2" borderId="1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67" fontId="17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8" fontId="17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theme" Target="theme/theme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40"/>
  <sheetViews>
    <sheetView showGridLines="0" tabSelected="1" workbookViewId="0"/>
  </sheetViews>
  <sheetFormatPr defaultColWidth="8.42578125" defaultRowHeight="15"/>
  <cols>
    <col min="1" max="1" width="11" customWidth="1"/>
    <col min="2" max="2" width="32" customWidth="1"/>
    <col min="3" max="10" width="12" customWidth="1"/>
    <col min="11" max="11" width="2" customWidth="1"/>
    <col min="12" max="12" width="60" customWidth="1"/>
  </cols>
  <sheetData>
    <row r="1" ht="16.5">
      <c r="B1" s="33" t="s">
        <v>0</v>
      </c>
    </row>
    <row r="2" ht="16.5">
      <c r="B2" s="35" t="s">
        <v>1</v>
      </c>
    </row>
    <row r="3" ht="16.5">
      <c r="B3" s="27" t="s">
        <v>2</v>
      </c>
    </row>
    <row r="4">
      <c r="B4" s="32" t="s">
        <v>3</v>
      </c>
      <c r="C4" s="12" t="s">
        <v>4</v>
      </c>
      <c r="D4" s="22"/>
      <c r="E4" s="22"/>
      <c r="F4" s="22"/>
      <c r="G4" s="22"/>
      <c r="H4" s="22"/>
      <c r="I4" s="22"/>
      <c r="J4" s="22"/>
    </row>
    <row r="5">
      <c r="B5" s="19" t="s">
        <v>5</v>
      </c>
      <c r="C5" s="20">
        <f>DATE(2026,9,30)</f>
        <v>46295</v>
      </c>
      <c r="D5" s="2"/>
      <c r="E5" s="2"/>
      <c r="F5" s="2"/>
      <c r="G5" s="2"/>
      <c r="H5" s="2"/>
      <c r="I5" s="2"/>
      <c r="J5" s="2"/>
    </row>
    <row r="6">
      <c r="B6" s="29" t="s">
        <v>6</v>
      </c>
      <c r="C6" s="14">
        <f>C5-EOMONTH(C5,-3)</f>
        <v>92</v>
      </c>
      <c r="D6" s="24"/>
      <c r="E6" s="24"/>
      <c r="F6" s="24"/>
      <c r="G6" s="24"/>
      <c r="H6" s="24"/>
      <c r="I6" s="24"/>
      <c r="J6" s="24"/>
    </row>
    <row r="8">
      <c r="B8" s="34" t="s">
        <v>7</v>
      </c>
    </row>
    <row r="9">
      <c r="B9" s="28" t="s">
        <v>8</v>
      </c>
    </row>
    <row r="11">
      <c r="B11" s="7" t="s">
        <v>9</v>
      </c>
      <c r="C11" s="7" t="s">
        <v>10</v>
      </c>
    </row>
    <row r="12">
      <c r="B12" s="7" t="s">
        <v>11</v>
      </c>
      <c r="C12" s="7" t="s">
        <v>12</v>
      </c>
    </row>
    <row r="13">
      <c r="B13" s="7" t="s">
        <v>13</v>
      </c>
      <c r="C13" s="7" t="s">
        <v>14</v>
      </c>
    </row>
    <row r="14">
      <c r="B14" s="7" t="s">
        <v>15</v>
      </c>
      <c r="C14" s="7" t="s">
        <v>16</v>
      </c>
    </row>
    <row r="15">
      <c r="B15" s="7" t="s">
        <v>17</v>
      </c>
      <c r="C15" s="7" t="s">
        <v>18</v>
      </c>
    </row>
    <row r="16">
      <c r="B16" s="7" t="s">
        <v>19</v>
      </c>
      <c r="C16" s="7" t="s">
        <v>20</v>
      </c>
    </row>
    <row r="17">
      <c r="B17" s="7" t="s">
        <v>21</v>
      </c>
      <c r="C17" s="7" t="s">
        <v>22</v>
      </c>
    </row>
    <row r="18">
      <c r="B18" s="7" t="s">
        <v>23</v>
      </c>
      <c r="C18" s="7" t="s">
        <v>24</v>
      </c>
    </row>
    <row r="20">
      <c r="B20" s="5" t="s">
        <v>25</v>
      </c>
    </row>
    <row r="21" ht="48">
      <c r="B21" s="15" t="s">
        <v>26</v>
      </c>
      <c r="C21" s="1" t="s">
        <v>27</v>
      </c>
      <c r="D21" s="1" t="s">
        <v>28</v>
      </c>
      <c r="E21" s="1" t="s">
        <v>29</v>
      </c>
      <c r="F21" s="1" t="s">
        <v>30</v>
      </c>
      <c r="G21" s="1" t="s">
        <v>31</v>
      </c>
      <c r="H21" s="1" t="s">
        <v>32</v>
      </c>
    </row>
    <row r="22">
      <c r="B22" s="7" t="s">
        <v>33</v>
      </c>
      <c r="C22" s="4">
        <f>'Income Statement'!J9</f>
        <v>3454.6129220000003</v>
      </c>
      <c r="D22" s="4">
        <f>Inputs!C79</f>
        <v>3401.08</v>
      </c>
      <c r="E22" s="30">
        <f>C22-D22</f>
        <v>53.532922000000326</v>
      </c>
      <c r="F22" s="16">
        <f>C22/D22-1</f>
        <v>0.015739977301327812</v>
      </c>
      <c r="G22" s="4">
        <f>Guidance!C38</f>
        <v>3281.665129519212</v>
      </c>
      <c r="H22" s="16">
        <f>C22/G22-1</f>
        <v>0.052701231129614445</v>
      </c>
      <c r="L22" s="91" t="s">
        <v>34</v>
      </c>
    </row>
    <row r="23">
      <c r="B23" s="7" t="s">
        <v>35</v>
      </c>
      <c r="C23" s="4">
        <f>'Income Statement'!J55</f>
        <v>461.21248162374</v>
      </c>
      <c r="D23" s="4">
        <f>Inputs!C92</f>
        <v>447.87</v>
      </c>
      <c r="E23" s="30">
        <f>C23-D23</f>
        <v>13.342481623740014</v>
      </c>
      <c r="F23" s="16">
        <f>C23/D23-1</f>
        <v>0.029790969754035723</v>
      </c>
      <c r="G23" s="4">
        <f>Guidance!C40</f>
        <v>438.12286713945423</v>
      </c>
      <c r="H23" s="16">
        <f>C23/G23-1</f>
        <v>0.05270123112961467</v>
      </c>
      <c r="L23" s="91" t="s">
        <v>36</v>
      </c>
    </row>
    <row r="24">
      <c r="B24" s="7" t="s">
        <v>37</v>
      </c>
      <c r="C24" s="3">
        <f>'Income Statement'!J81</f>
        <v>13.087754870140184</v>
      </c>
      <c r="D24" s="3">
        <f>Inputs!C61</f>
        <v>12.85</v>
      </c>
      <c r="E24" s="26">
        <f>C24-D24</f>
        <v>0.2377548701401846</v>
      </c>
      <c r="F24" s="16">
        <f>C24/D24-1</f>
        <v>0.018502324524527936</v>
      </c>
      <c r="G24" s="3">
        <f>Guidance!C41</f>
        <v>12.432544470472596</v>
      </c>
      <c r="H24" s="16">
        <f>C24/G24-1</f>
        <v>0.05270123112961467</v>
      </c>
      <c r="L24" s="91" t="s">
        <v>38</v>
      </c>
    </row>
    <row r="25">
      <c r="B25" s="7" t="s">
        <v>39</v>
      </c>
      <c r="C25" s="3">
        <f>'Income Statement'!J67</f>
        <v>13.087754870140184</v>
      </c>
      <c r="D25" s="3">
        <f>Inputs!C70</f>
        <v>12.71</v>
      </c>
      <c r="E25" s="26">
        <f>C25-D25</f>
        <v>0.3777548701401834</v>
      </c>
      <c r="F25" s="16">
        <f>C25/D25-1</f>
        <v>0.029721075542107345</v>
      </c>
      <c r="G25" s="3">
        <f>Guidance!C41</f>
        <v>12.432544470472596</v>
      </c>
      <c r="H25" s="16">
        <f>C25/G25-1</f>
        <v>0.05270123112961467</v>
      </c>
      <c r="L25" s="91" t="s">
        <v>40</v>
      </c>
    </row>
    <row r="26">
      <c r="B26" s="5" t="s">
        <v>41</v>
      </c>
      <c r="C26" s="13" t="str">
        <f>IF(AND(SUMPRODUCT(ABS('Revenue summary'!C37:J37))&lt;0.001,SUMPRODUCT(ABS('Revenue summary'!C130:J130))&lt;0.001,SUMPRODUCT(ABS('Revenue summary'!C172:J172))&lt;0.001,SUMPRODUCT(ABS('Income Statement'!C21:J21))&lt;0.001,SUMPRODUCT(ABS('Income Statement'!C35:J35))&lt;0.001,SUMPRODUCT(ABS('Income Statement'!C61:I61))&lt;0.001,COUNTIF('Income Statement'!C70:I70,FALSE)=0,COUNTIF('Income Statement'!C71:J71,FALSE)=0,COUNTIF('Income Statement'!C85:H85,FALSE)=0,SUMPRODUCT(ABS('Income Statement'!D107:I107))&lt;0.001,SUMPRODUCT(ABS('Balance Sheet'!C68:J68))&lt;0.001,SUMPRODUCT(ABS('Balance Sheet'!C70:H70))&lt;0.001,SUMPRODUCT(ABS('Cash Flow Statement'!C117:J117))&lt;0.001,SUMPRODUCT(ABS('Cash Flow Statement'!D129:I129))&lt;0.001,SUMPRODUCT(ABS('Cash Flow Statement'!C141:J141))&lt;0.001,SUMPRODUCT(ABS('Cash Flow Statement'!C164:H164))&lt;0.001,SUMPRODUCT(ABS('Cash Flow Statement'!C171:H171))&lt;0.001,SUMPRODUCT(ABS('Cash Flow Statement'!C182:H182))&lt;0.001,ABS(C22-'Income Statement'!J9)&lt;0.000001,ABS(C24-'Income Statement'!J81)&lt;0.000001),"PASS","FAIL")</f>
        <v>PASS</v>
      </c>
      <c r="L26" s="31" t="s">
        <v>42</v>
      </c>
    </row>
    <row r="27">
      <c r="B27" s="5" t="s">
        <v>43</v>
      </c>
      <c r="C27" s="25">
        <f>Inputs!C41</f>
        <v>0.8</v>
      </c>
    </row>
    <row r="28">
      <c r="B28" s="5" t="s">
        <v>44</v>
      </c>
      <c r="C28" s="13" t="str">
        <f>Inputs!C43</f>
        <v>medium</v>
      </c>
    </row>
    <row r="30">
      <c r="B30" s="5" t="s">
        <v>45</v>
      </c>
    </row>
    <row r="31">
      <c r="C31" s="1" t="s">
        <v>46</v>
      </c>
      <c r="D31" s="1" t="s">
        <v>47</v>
      </c>
      <c r="E31" s="1" t="s">
        <v>48</v>
      </c>
      <c r="F31" s="1" t="s">
        <v>49</v>
      </c>
      <c r="G31" s="1" t="s">
        <v>50</v>
      </c>
      <c r="H31" s="1" t="s">
        <v>51</v>
      </c>
    </row>
    <row r="32">
      <c r="B32" s="7" t="s">
        <v>52</v>
      </c>
      <c r="C32" s="3">
        <f>Inputs!C61</f>
        <v>12.85</v>
      </c>
      <c r="D32" s="3">
        <f>Inputs!C62</f>
        <v>12.76</v>
      </c>
      <c r="E32" s="3">
        <f>Inputs!C63</f>
        <v>14.13</v>
      </c>
      <c r="F32" s="3">
        <f>Inputs!C64</f>
        <v>12.13</v>
      </c>
      <c r="G32" s="3">
        <f>Inputs!C65</f>
        <v>0.55</v>
      </c>
      <c r="H32" s="8">
        <f>Inputs!C66</f>
        <v>10</v>
      </c>
    </row>
    <row r="33">
      <c r="B33" s="7" t="s">
        <v>53</v>
      </c>
      <c r="C33" s="3">
        <f>Inputs!C70</f>
        <v>12.71</v>
      </c>
      <c r="D33" s="3">
        <f>Inputs!C71</f>
        <v>12.68</v>
      </c>
      <c r="E33" s="3">
        <f>Inputs!C72</f>
        <v>13.23</v>
      </c>
      <c r="F33" s="3">
        <f>Inputs!C73</f>
        <v>12.13</v>
      </c>
      <c r="G33" s="3">
        <f>Inputs!C74</f>
        <v>0.36</v>
      </c>
      <c r="H33" s="8">
        <f>Inputs!C75</f>
        <v>9</v>
      </c>
    </row>
    <row r="34">
      <c r="B34" s="7" t="s">
        <v>33</v>
      </c>
      <c r="C34" s="4">
        <f>Inputs!C79</f>
        <v>3401.08</v>
      </c>
      <c r="D34" s="4">
        <f>Inputs!C80</f>
        <v>3400.05</v>
      </c>
      <c r="E34" s="4">
        <f>Inputs!C81</f>
        <v>3590.54</v>
      </c>
      <c r="F34" s="4">
        <f>Inputs!C82</f>
        <v>3259.71</v>
      </c>
      <c r="G34" s="4">
        <f>Inputs!C83</f>
        <v>83.74</v>
      </c>
      <c r="H34" s="8">
        <f>Inputs!C84</f>
        <v>10</v>
      </c>
    </row>
    <row r="36">
      <c r="B36" s="5" t="s">
        <v>54</v>
      </c>
    </row>
    <row r="37">
      <c r="C37" s="1" t="s">
        <v>55</v>
      </c>
      <c r="D37" s="1" t="s">
        <v>33</v>
      </c>
      <c r="E37" s="1" t="s">
        <v>56</v>
      </c>
    </row>
    <row r="38">
      <c r="B38" s="7" t="s">
        <v>57</v>
      </c>
      <c r="C38" s="6">
        <v>12.42</v>
      </c>
      <c r="D38" s="18">
        <v>3350</v>
      </c>
      <c r="E38" s="11" t="s">
        <v>58</v>
      </c>
    </row>
    <row r="39">
      <c r="B39" s="7" t="s">
        <v>59</v>
      </c>
      <c r="C39" s="6">
        <v>12.85</v>
      </c>
      <c r="D39" s="18">
        <v>3390</v>
      </c>
      <c r="E39" s="11" t="s">
        <v>60</v>
      </c>
    </row>
    <row r="40">
      <c r="B40" s="7" t="s">
        <v>61</v>
      </c>
      <c r="C40" s="6">
        <v>12.9</v>
      </c>
      <c r="D40" s="18">
        <v>3403</v>
      </c>
      <c r="E40" s="11" t="s">
        <v>62</v>
      </c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1:L18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2" customWidth="1"/>
    <col min="12" max="12" width="60" customWidth="1"/>
  </cols>
  <sheetData>
    <row r="1">
      <c r="B1" s="33" t="s">
        <v>0</v>
      </c>
    </row>
    <row r="2">
      <c r="B2" s="35" t="s">
        <v>63</v>
      </c>
    </row>
    <row r="3">
      <c r="B3" s="27" t="s">
        <v>2</v>
      </c>
    </row>
    <row r="4">
      <c r="B4" s="32" t="s">
        <v>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12" t="s">
        <v>70</v>
      </c>
      <c r="J4" s="12" t="s">
        <v>4</v>
      </c>
    </row>
    <row r="5">
      <c r="B5" s="19" t="s">
        <v>5</v>
      </c>
      <c r="C5" s="20">
        <f>DATE(2025,3,31)</f>
        <v>45747</v>
      </c>
      <c r="D5" s="20">
        <f>DATE(2025,6,30)</f>
        <v>45838</v>
      </c>
      <c r="E5" s="20">
        <f>DATE(2025,9,30)</f>
        <v>45930</v>
      </c>
      <c r="F5" s="20">
        <f>DATE(2025,12,31)</f>
        <v>46022</v>
      </c>
      <c r="G5" s="20">
        <f>DATE(2026,3,31)</f>
        <v>46112</v>
      </c>
      <c r="H5" s="20">
        <f>DATE(2026,6,30)</f>
        <v>46203</v>
      </c>
      <c r="I5" s="20">
        <f>DATE(2025,12,31)</f>
        <v>46022</v>
      </c>
      <c r="J5" s="20">
        <f>DATE(2026,9,30)</f>
        <v>46295</v>
      </c>
    </row>
    <row r="6">
      <c r="B6" s="29" t="s">
        <v>6</v>
      </c>
      <c r="C6" s="14">
        <f>C5-EOMONTH(C5,-3)</f>
        <v>90</v>
      </c>
      <c r="D6" s="14">
        <f>D5-EOMONTH(D5,-3)</f>
        <v>91</v>
      </c>
      <c r="E6" s="14">
        <f>E5-EOMONTH(E5,-3)</f>
        <v>92</v>
      </c>
      <c r="F6" s="14">
        <f>F5-EOMONTH(F5,-3)</f>
        <v>92</v>
      </c>
      <c r="G6" s="14">
        <f>G5-EOMONTH(G5,-3)</f>
        <v>90</v>
      </c>
      <c r="H6" s="14">
        <f>H5-EOMONTH(H5,-3)</f>
        <v>91</v>
      </c>
      <c r="I6" s="14">
        <f>I5-EOMONTH(I5,-12)</f>
        <v>365</v>
      </c>
      <c r="J6" s="14">
        <f>J5-EOMONTH(J5,-3)</f>
        <v>92</v>
      </c>
    </row>
    <row r="8">
      <c r="B8" s="5" t="s">
        <v>71</v>
      </c>
      <c r="J8" s="51"/>
    </row>
    <row r="9">
      <c r="B9" s="5" t="s">
        <v>72</v>
      </c>
      <c r="C9" s="85">
        <f>'Segment - Mechanical'!C38</f>
        <v>1402.215</v>
      </c>
      <c r="D9" s="85">
        <f>'Segment - Mechanical'!D38</f>
        <v>1638.672</v>
      </c>
      <c r="E9" s="85">
        <f>'Segment - Mechanical'!E38</f>
        <v>1810.462</v>
      </c>
      <c r="F9" s="85">
        <f>'Segment - Mechanical'!F38</f>
        <v>1822.3959999999997</v>
      </c>
      <c r="G9" s="85">
        <f>'Segment - Mechanical'!G38</f>
        <v>2060.622</v>
      </c>
      <c r="H9" s="85">
        <f>'Segment - Mechanical'!H38</f>
        <v>2296.667</v>
      </c>
      <c r="I9" s="85">
        <f>'Segment - Mechanical'!I38</f>
        <v>6673.745</v>
      </c>
      <c r="J9" s="82">
        <f>'Segment - Mechanical'!J38</f>
        <v>2373.844232</v>
      </c>
    </row>
    <row r="10">
      <c r="B10" s="28" t="s">
        <v>73</v>
      </c>
      <c r="C10" s="21">
        <f>C9/'Segment - Mechanical'!C43-1</f>
        <v>0.18329481041916118</v>
      </c>
      <c r="D10" s="21">
        <f>D9/'Segment - Mechanical'!D43-1</f>
        <v>0.12881153478144958</v>
      </c>
      <c r="E10" s="21">
        <f>E9/'Segment - Mechanical'!E43-1</f>
        <v>0.258473937121555</v>
      </c>
      <c r="F10" s="21">
        <f>F9/'Segment - Mechanical'!F43-1</f>
        <v>0.25483526463903083</v>
      </c>
      <c r="G10" s="21">
        <f>G9/'Segment - Mechanical'!G43-1</f>
        <v>0.4695478225521763</v>
      </c>
      <c r="H10" s="21">
        <f>H9/'Segment - Mechanical'!H43-1</f>
        <v>0.4015416141851449</v>
      </c>
      <c r="I10" s="21">
        <f>I9/'Segment - Mechanical'!I43-1</f>
        <v>0.20734860890903173</v>
      </c>
      <c r="J10" s="86">
        <f>J9/'Segment - Mechanical'!J43-1</f>
        <v>0.31118147301627985</v>
      </c>
    </row>
    <row r="11">
      <c r="B11" s="28" t="s">
        <v>74</v>
      </c>
      <c r="D11" s="16">
        <f>D9/C9-1</f>
        <v>0.16863105871781436</v>
      </c>
      <c r="E11" s="16">
        <f>E9/D9-1</f>
        <v>0.10483489069197494</v>
      </c>
      <c r="F11" s="16">
        <f>F9/E9-1</f>
        <v>0.006591687646578359</v>
      </c>
      <c r="G11" s="16">
        <f>G9/F9-1</f>
        <v>0.13072131413809074</v>
      </c>
      <c r="H11" s="16">
        <f>H9/G9-1</f>
        <v>0.11455036391924378</v>
      </c>
      <c r="J11" s="59">
        <f>J9/H9-1</f>
        <v>0.03360401486153641</v>
      </c>
    </row>
    <row r="12">
      <c r="B12" s="28" t="s">
        <v>75</v>
      </c>
      <c r="C12" s="16">
        <f>C9/C31</f>
        <v>0.7656996231063853</v>
      </c>
      <c r="D12" s="16">
        <f>D9/D31</f>
        <v>0.7539951567165244</v>
      </c>
      <c r="E12" s="16">
        <f>E9/E31</f>
        <v>0.7386719293471276</v>
      </c>
      <c r="F12" s="16">
        <f>F9/F31</f>
        <v>0.688718766380443</v>
      </c>
      <c r="G12" s="16">
        <f>G9/G31</f>
        <v>0.7191564537721981</v>
      </c>
      <c r="H12" s="16">
        <f>H9/H31</f>
        <v>0.7032789124145348</v>
      </c>
      <c r="I12" s="16">
        <f>I9/I31</f>
        <v>0.7332463453568429</v>
      </c>
      <c r="J12" s="59">
        <f>J9/J31</f>
        <v>0.6871520154639194</v>
      </c>
    </row>
    <row r="13">
      <c r="B13" s="7" t="s">
        <v>76</v>
      </c>
      <c r="G13" s="42">
        <f>(G12-C12)*10000</f>
        <v>-465.4316933418723</v>
      </c>
      <c r="H13" s="42">
        <f>(H12-D12)*10000</f>
        <v>-507.1624430198962</v>
      </c>
      <c r="J13" s="54">
        <f>(J12-E12)*10000</f>
        <v>-515.199138832082</v>
      </c>
    </row>
    <row r="14">
      <c r="B14" s="7" t="s">
        <v>77</v>
      </c>
      <c r="D14" s="42">
        <f>(D12-C12)*10000</f>
        <v>-117.0446638986089</v>
      </c>
      <c r="E14" s="42">
        <f>(E12-D12)*10000</f>
        <v>-153.2322736939684</v>
      </c>
      <c r="F14" s="42">
        <f>(F12-E12)*10000</f>
        <v>-499.53162966684505</v>
      </c>
      <c r="G14" s="42">
        <f>(G12-F12)*10000</f>
        <v>304.3768739175501</v>
      </c>
      <c r="H14" s="42">
        <f>(H12-G12)*10000</f>
        <v>-158.77541357663284</v>
      </c>
      <c r="J14" s="54">
        <f>(J12-H12)*10000</f>
        <v>-161.2689695061542</v>
      </c>
    </row>
    <row r="15">
      <c r="B15" s="7" t="s">
        <v>78</v>
      </c>
      <c r="D15" s="30">
        <f>D9-C9</f>
        <v>236.4570000000001</v>
      </c>
      <c r="E15" s="30">
        <f>E9-D9</f>
        <v>171.78999999999996</v>
      </c>
      <c r="F15" s="30">
        <f>F9-E9</f>
        <v>11.933999999999742</v>
      </c>
      <c r="G15" s="30">
        <f>G9-F9</f>
        <v>238.2260000000001</v>
      </c>
      <c r="H15" s="30">
        <f>H9-G9</f>
        <v>236.04500000000007</v>
      </c>
      <c r="J15" s="40">
        <f>J9-H9</f>
        <v>77.177232</v>
      </c>
    </row>
    <row r="16">
      <c r="B16" s="28" t="s">
        <v>79</v>
      </c>
      <c r="C16" s="21">
        <f>'Segment - Mechanical'!C54</f>
        <v>0.13544707255387914</v>
      </c>
      <c r="D16" s="21">
        <f>'Segment - Mechanical'!D54</f>
        <v>0.1100746101583063</v>
      </c>
      <c r="E16" s="21">
        <f>'Segment - Mechanical'!E54</f>
        <v>0.234005993256023</v>
      </c>
      <c r="F16" s="21">
        <f>'Segment - Mechanical'!F54</f>
        <v>0.2202693797902497</v>
      </c>
      <c r="G16" s="21">
        <f>'Segment - Mechanical'!G54</f>
        <v>0.4547141486861857</v>
      </c>
      <c r="H16" s="21">
        <f>'Segment - Mechanical'!H54</f>
        <v>0.3964155120731908</v>
      </c>
      <c r="I16" s="21">
        <f>'Segment - Mechanical'!I54</f>
        <v>0.1767205103694113</v>
      </c>
      <c r="J16" s="86">
        <f>'Segment - Mechanical'!J54</f>
        <v>0.31118147301627985</v>
      </c>
    </row>
    <row r="17">
      <c r="B17" s="28" t="s">
        <v>80</v>
      </c>
      <c r="C17" s="21">
        <f>'Segment - Mechanical'!C52</f>
        <v>0.047847737865282035</v>
      </c>
      <c r="D17" s="21">
        <f>'Segment - Mechanical'!D52</f>
        <v>0.018736924623143268</v>
      </c>
      <c r="E17" s="21">
        <f>'Segment - Mechanical'!E52</f>
        <v>0.024467943865531968</v>
      </c>
      <c r="F17" s="21">
        <f>'Segment - Mechanical'!F52</f>
        <v>0.03456588484878114</v>
      </c>
      <c r="G17" s="21">
        <f>'Segment - Mechanical'!G52</f>
        <v>0.014833673865990596</v>
      </c>
      <c r="H17" s="21">
        <f>'Segment - Mechanical'!H52</f>
        <v>0.005126102111954071</v>
      </c>
      <c r="I17" s="21">
        <f>'Segment - Mechanical'!I52</f>
        <v>0.03062809853962042</v>
      </c>
      <c r="J17" s="86">
        <f>'Segment - Mechanical'!J52</f>
        <v>0</v>
      </c>
    </row>
    <row r="18">
      <c r="B18" s="28" t="s">
        <v>81</v>
      </c>
      <c r="C18" s="21">
        <f>'Segment - Mechanical'!C53</f>
        <v>0</v>
      </c>
      <c r="D18" s="21">
        <f>'Segment - Mechanical'!D53</f>
        <v>0</v>
      </c>
      <c r="E18" s="21">
        <f>'Segment - Mechanical'!E53</f>
        <v>0</v>
      </c>
      <c r="F18" s="21">
        <f>'Segment - Mechanical'!F53</f>
        <v>0</v>
      </c>
      <c r="G18" s="21">
        <f>'Segment - Mechanical'!G53</f>
        <v>0</v>
      </c>
      <c r="H18" s="21">
        <f>'Segment - Mechanical'!H53</f>
        <v>0</v>
      </c>
      <c r="I18" s="21">
        <f>'Segment - Mechanical'!I53</f>
        <v>0</v>
      </c>
      <c r="J18" s="86">
        <f>'Segment - Mechanical'!J53</f>
        <v>0</v>
      </c>
    </row>
    <row r="19">
      <c r="B19" s="28" t="s">
        <v>82</v>
      </c>
      <c r="C19" s="21">
        <f>'Segment - Mechanical'!C56</f>
        <v>0.18329481041916118</v>
      </c>
      <c r="D19" s="21">
        <f>'Segment - Mechanical'!D56</f>
        <v>0.12881153478144958</v>
      </c>
      <c r="E19" s="21">
        <f>'Segment - Mechanical'!E56</f>
        <v>0.258473937121555</v>
      </c>
      <c r="F19" s="21">
        <f>'Segment - Mechanical'!F56</f>
        <v>0.25483526463903083</v>
      </c>
      <c r="G19" s="21">
        <f>'Segment - Mechanical'!G56</f>
        <v>0.4695478225521763</v>
      </c>
      <c r="H19" s="21">
        <f>'Segment - Mechanical'!H56</f>
        <v>0.4015416141851449</v>
      </c>
      <c r="I19" s="21">
        <f>'Segment - Mechanical'!I56</f>
        <v>0.20734860890903173</v>
      </c>
      <c r="J19" s="86">
        <f>'Segment - Mechanical'!J56</f>
        <v>0.31118147301627985</v>
      </c>
    </row>
    <row r="20">
      <c r="B20" s="5" t="s">
        <v>83</v>
      </c>
      <c r="C20" s="85">
        <f>'Segment - Electrical'!C38</f>
        <v>429.071</v>
      </c>
      <c r="D20" s="85">
        <f>'Segment - Electrical'!D38</f>
        <v>534.647</v>
      </c>
      <c r="E20" s="85">
        <f>'Segment - Electrical'!E38</f>
        <v>640.507</v>
      </c>
      <c r="F20" s="85">
        <f>'Segment - Electrical'!F38</f>
        <v>823.6710000000003</v>
      </c>
      <c r="G20" s="85">
        <f>'Segment - Electrical'!G38</f>
        <v>804.71</v>
      </c>
      <c r="H20" s="85">
        <f>'Segment - Electrical'!H38</f>
        <v>968.989</v>
      </c>
      <c r="I20" s="85">
        <f>'Segment - Electrical'!I38</f>
        <v>2427.896</v>
      </c>
      <c r="J20" s="82">
        <f>'Segment - Electrical'!J38</f>
        <v>1080.76869</v>
      </c>
    </row>
    <row r="21">
      <c r="B21" s="28" t="s">
        <v>73</v>
      </c>
      <c r="C21" s="21">
        <f>C20/'Segment - Electrical'!C43-1</f>
        <v>0.21892746451064893</v>
      </c>
      <c r="D21" s="21">
        <f>D20/'Segment - Electrical'!D43-1</f>
        <v>0.4908828786623949</v>
      </c>
      <c r="E21" s="21">
        <f>E20/'Segment - Electrical'!E43-1</f>
        <v>0.71373568892492</v>
      </c>
      <c r="F21" s="21">
        <f>F20/'Segment - Electrical'!F43-1</f>
        <v>0.9823371559909029</v>
      </c>
      <c r="G21" s="21">
        <f>G20/'Segment - Electrical'!G43-1</f>
        <v>0.8754704932283934</v>
      </c>
      <c r="H21" s="21">
        <f>H20/'Segment - Electrical'!H43-1</f>
        <v>0.8123902313115008</v>
      </c>
      <c r="I21" s="21">
        <f>I20/'Segment - Electrical'!I43-1</f>
        <v>0.618735465426383</v>
      </c>
      <c r="J21" s="86">
        <f>J20/'Segment - Electrical'!J43-1</f>
        <v>0.6873643691638034</v>
      </c>
    </row>
    <row r="22">
      <c r="B22" s="28" t="s">
        <v>74</v>
      </c>
      <c r="D22" s="16">
        <f>D20/C20-1</f>
        <v>0.24605717934794002</v>
      </c>
      <c r="E22" s="16">
        <f>E20/D20-1</f>
        <v>0.19799980173834308</v>
      </c>
      <c r="F22" s="16">
        <f>F20/E20-1</f>
        <v>0.28596721035055106</v>
      </c>
      <c r="G22" s="16">
        <f>G20/F20-1</f>
        <v>-0.02302011361332401</v>
      </c>
      <c r="H22" s="16">
        <f>H20/G20-1</f>
        <v>0.20414683550595858</v>
      </c>
      <c r="J22" s="59">
        <f>J20/H20-1</f>
        <v>0.11535702675675386</v>
      </c>
    </row>
    <row r="23">
      <c r="B23" s="28" t="s">
        <v>75</v>
      </c>
      <c r="C23" s="16">
        <f>C20/C31</f>
        <v>0.23430037689361466</v>
      </c>
      <c r="D23" s="16">
        <f>D20/D31</f>
        <v>0.24600484328347566</v>
      </c>
      <c r="E23" s="16">
        <f>E20/E31</f>
        <v>0.2613280706528724</v>
      </c>
      <c r="F23" s="16">
        <f>F20/F31</f>
        <v>0.31128123361955695</v>
      </c>
      <c r="G23" s="16">
        <f>G20/G31</f>
        <v>0.2808435462278019</v>
      </c>
      <c r="H23" s="16">
        <f>H20/H31</f>
        <v>0.2967210875854652</v>
      </c>
      <c r="I23" s="16">
        <f>I20/I31</f>
        <v>0.26675365464315726</v>
      </c>
      <c r="J23" s="59">
        <f>J20/J31</f>
        <v>0.31284798453608054</v>
      </c>
    </row>
    <row r="24">
      <c r="B24" s="7" t="s">
        <v>76</v>
      </c>
      <c r="G24" s="42">
        <f>(G23-C23)*10000</f>
        <v>465.4316933418723</v>
      </c>
      <c r="H24" s="42">
        <f>(H23-D23)*10000</f>
        <v>507.16244301989565</v>
      </c>
      <c r="J24" s="54">
        <f>(J23-E23)*10000</f>
        <v>515.1991388320814</v>
      </c>
    </row>
    <row r="25">
      <c r="B25" s="7" t="s">
        <v>77</v>
      </c>
      <c r="D25" s="42">
        <f>(D23-C23)*10000</f>
        <v>117.04466389861001</v>
      </c>
      <c r="E25" s="42">
        <f>(E23-D23)*10000</f>
        <v>153.2322736939673</v>
      </c>
      <c r="F25" s="42">
        <f>(F23-E23)*10000</f>
        <v>499.5316296668456</v>
      </c>
      <c r="G25" s="42">
        <f>(G23-F23)*10000</f>
        <v>-304.37687391755065</v>
      </c>
      <c r="H25" s="42">
        <f>(H23-G23)*10000</f>
        <v>158.77541357663338</v>
      </c>
      <c r="J25" s="54">
        <f>(J23-H23)*10000</f>
        <v>161.2689695061531</v>
      </c>
    </row>
    <row r="26">
      <c r="B26" s="7" t="s">
        <v>78</v>
      </c>
      <c r="D26" s="30">
        <f>D20-C20</f>
        <v>105.57600000000002</v>
      </c>
      <c r="E26" s="30">
        <f>E20-D20</f>
        <v>105.8599999999999</v>
      </c>
      <c r="F26" s="30">
        <f>F20-E20</f>
        <v>183.16400000000033</v>
      </c>
      <c r="G26" s="30">
        <f>G20-F20</f>
        <v>-18.96100000000024</v>
      </c>
      <c r="H26" s="30">
        <f>H20-G20</f>
        <v>164.279</v>
      </c>
      <c r="J26" s="40">
        <f>J20-H20</f>
        <v>111.77969000000007</v>
      </c>
    </row>
    <row r="27">
      <c r="B27" s="28" t="s">
        <v>79</v>
      </c>
      <c r="C27" s="21">
        <f>'Segment - Electrical'!C54</f>
        <v>0.21892746451064893</v>
      </c>
      <c r="D27" s="21">
        <f>'Segment - Electrical'!D54</f>
        <v>0.4908828786623949</v>
      </c>
      <c r="E27" s="21">
        <f>'Segment - Electrical'!E54</f>
        <v>0.71373568892492</v>
      </c>
      <c r="F27" s="21">
        <f>'Segment - Electrical'!F54</f>
        <v>0.8215689341885178</v>
      </c>
      <c r="G27" s="21">
        <f>'Segment - Electrical'!G54</f>
        <v>0.712327330441815</v>
      </c>
      <c r="H27" s="21">
        <f>'Segment - Electrical'!H54</f>
        <v>0.5643761210667972</v>
      </c>
      <c r="I27" s="21">
        <f>'Segment - Electrical'!I54</f>
        <v>0.5741983315909625</v>
      </c>
      <c r="J27" s="86">
        <f>'Segment - Electrical'!J54</f>
        <v>0.45317489114092463</v>
      </c>
    </row>
    <row r="28">
      <c r="B28" s="28" t="s">
        <v>80</v>
      </c>
      <c r="C28" s="21">
        <f>'Segment - Electrical'!C52</f>
        <v>0</v>
      </c>
      <c r="D28" s="21">
        <f>'Segment - Electrical'!D52</f>
        <v>0</v>
      </c>
      <c r="E28" s="21">
        <f>'Segment - Electrical'!E52</f>
        <v>0</v>
      </c>
      <c r="F28" s="21">
        <f>'Segment - Electrical'!F52</f>
        <v>0.160768221802385</v>
      </c>
      <c r="G28" s="21">
        <f>'Segment - Electrical'!G52</f>
        <v>0.16314316278657842</v>
      </c>
      <c r="H28" s="21">
        <f>'Segment - Electrical'!H52</f>
        <v>0.2480141102447035</v>
      </c>
      <c r="I28" s="21">
        <f>'Segment - Electrical'!I52</f>
        <v>0.04453713383542062</v>
      </c>
      <c r="J28" s="86">
        <f>'Segment - Electrical'!J52</f>
        <v>0.23418947802287876</v>
      </c>
    </row>
    <row r="29">
      <c r="B29" s="28" t="s">
        <v>81</v>
      </c>
      <c r="C29" s="21">
        <f>'Segment - Electrical'!C53</f>
        <v>0</v>
      </c>
      <c r="D29" s="21">
        <f>'Segment - Electrical'!D53</f>
        <v>0</v>
      </c>
      <c r="E29" s="21">
        <f>'Segment - Electrical'!E53</f>
        <v>0</v>
      </c>
      <c r="F29" s="21">
        <f>'Segment - Electrical'!F53</f>
        <v>0</v>
      </c>
      <c r="G29" s="21">
        <f>'Segment - Electrical'!G53</f>
        <v>0</v>
      </c>
      <c r="H29" s="21">
        <f>'Segment - Electrical'!H53</f>
        <v>0</v>
      </c>
      <c r="I29" s="21">
        <f>'Segment - Electrical'!I53</f>
        <v>0</v>
      </c>
      <c r="J29" s="86">
        <f>'Segment - Electrical'!J53</f>
        <v>0</v>
      </c>
    </row>
    <row r="30">
      <c r="B30" s="28" t="s">
        <v>82</v>
      </c>
      <c r="C30" s="21">
        <f>'Segment - Electrical'!C56</f>
        <v>0.21892746451064893</v>
      </c>
      <c r="D30" s="21">
        <f>'Segment - Electrical'!D56</f>
        <v>0.4908828786623949</v>
      </c>
      <c r="E30" s="21">
        <f>'Segment - Electrical'!E56</f>
        <v>0.71373568892492</v>
      </c>
      <c r="F30" s="21">
        <f>'Segment - Electrical'!F56</f>
        <v>0.9823371559909029</v>
      </c>
      <c r="G30" s="21">
        <f>'Segment - Electrical'!G56</f>
        <v>0.8754704932283934</v>
      </c>
      <c r="H30" s="21">
        <f>'Segment - Electrical'!H56</f>
        <v>0.8123902313115008</v>
      </c>
      <c r="I30" s="21">
        <f>'Segment - Electrical'!I56</f>
        <v>0.618735465426383</v>
      </c>
      <c r="J30" s="86">
        <f>'Segment - Electrical'!J56</f>
        <v>0.6873643691638034</v>
      </c>
    </row>
    <row r="31">
      <c r="B31" s="5" t="s">
        <v>84</v>
      </c>
      <c r="C31" s="17">
        <f>C9+C20</f>
        <v>1831.286</v>
      </c>
      <c r="D31" s="17">
        <f>D9+D20</f>
        <v>2173.319</v>
      </c>
      <c r="E31" s="17">
        <f>E9+E20</f>
        <v>2450.969</v>
      </c>
      <c r="F31" s="17">
        <f>F9+F20</f>
        <v>2646.067</v>
      </c>
      <c r="G31" s="17">
        <f>G9+G20</f>
        <v>2865.332</v>
      </c>
      <c r="H31" s="17">
        <f>H9+H20</f>
        <v>3265.656</v>
      </c>
      <c r="I31" s="17">
        <f>I9+I20</f>
        <v>9101.641</v>
      </c>
      <c r="J31" s="63">
        <f>J9+J20</f>
        <v>3454.6129220000003</v>
      </c>
      <c r="L31" s="31" t="s">
        <v>85</v>
      </c>
    </row>
    <row r="32">
      <c r="B32" s="7" t="s">
        <v>86</v>
      </c>
      <c r="C32" s="4">
        <f>'Segment - Mechanical'!C43+'Segment - Electrical'!C43</f>
        <v>1537.016</v>
      </c>
      <c r="D32" s="4">
        <f>'Segment - Mechanical'!D43+'Segment - Electrical'!D43</f>
        <v>1810.29</v>
      </c>
      <c r="E32" s="4">
        <f>'Segment - Mechanical'!E43+'Segment - Electrical'!E43</f>
        <v>1812.366</v>
      </c>
      <c r="F32" s="4">
        <f>'Segment - Mechanical'!F43+'Segment - Electrical'!F43</f>
        <v>1867.804</v>
      </c>
      <c r="G32" s="4">
        <f>'Segment - Mechanical'!G43+'Segment - Electrical'!G43</f>
        <v>1831.286</v>
      </c>
      <c r="H32" s="4">
        <f>'Segment - Mechanical'!H43+'Segment - Electrical'!H43</f>
        <v>2173.319</v>
      </c>
      <c r="I32" s="4">
        <f>'Segment - Mechanical'!I43+'Segment - Electrical'!I43</f>
        <v>7027.476000000001</v>
      </c>
      <c r="J32" s="64">
        <f>'Segment - Mechanical'!J43+'Segment - Electrical'!J43</f>
        <v>2450.969</v>
      </c>
    </row>
    <row r="33">
      <c r="B33" s="28" t="s">
        <v>73</v>
      </c>
      <c r="C33" s="16">
        <f>C31/C32-1</f>
        <v>0.19145539148584012</v>
      </c>
      <c r="D33" s="16">
        <f>D31/D32-1</f>
        <v>0.2005363781493572</v>
      </c>
      <c r="E33" s="16">
        <f>E31/E32-1</f>
        <v>0.3523587399013224</v>
      </c>
      <c r="F33" s="16">
        <f>F31/F32-1</f>
        <v>0.4166727343982559</v>
      </c>
      <c r="G33" s="16">
        <f>G31/G32-1</f>
        <v>0.5646556572812766</v>
      </c>
      <c r="H33" s="16">
        <f>H31/H32-1</f>
        <v>0.502612363854547</v>
      </c>
      <c r="I33" s="16">
        <f>I31/I32-1</f>
        <v>0.29515077675114054</v>
      </c>
      <c r="J33" s="59">
        <f>J31/J32-1</f>
        <v>0.40948862347912196</v>
      </c>
    </row>
    <row r="34">
      <c r="B34" s="28" t="s">
        <v>74</v>
      </c>
      <c r="D34" s="16">
        <f>D31/C31-1</f>
        <v>0.1867720279628633</v>
      </c>
      <c r="E34" s="16">
        <f>E31/D31-1</f>
        <v>0.1277539100334557</v>
      </c>
      <c r="F34" s="16">
        <f>F31/E31-1</f>
        <v>0.07960035398244525</v>
      </c>
      <c r="G34" s="16">
        <f>G31/F31-1</f>
        <v>0.08286449284919839</v>
      </c>
      <c r="H34" s="16">
        <f>H31/G31-1</f>
        <v>0.13971295472915535</v>
      </c>
      <c r="J34" s="59">
        <f>J31/H31-1</f>
        <v>0.0578618574644727</v>
      </c>
    </row>
    <row r="35">
      <c r="B35" s="7" t="s">
        <v>87</v>
      </c>
      <c r="C35" s="30">
        <f>C31-C32</f>
        <v>294.27</v>
      </c>
      <c r="D35" s="30">
        <f>D31-D32</f>
        <v>363.029</v>
      </c>
      <c r="E35" s="30">
        <f>E31-E32</f>
        <v>638.6030000000001</v>
      </c>
      <c r="F35" s="30">
        <f>F31-F32</f>
        <v>778.2629999999999</v>
      </c>
      <c r="G35" s="30">
        <f>G31-G32</f>
        <v>1034.0459999999998</v>
      </c>
      <c r="H35" s="30">
        <f>H31-H32</f>
        <v>1092.337</v>
      </c>
      <c r="I35" s="30">
        <f>I31-I32</f>
        <v>2074.164999999999</v>
      </c>
      <c r="J35" s="40">
        <f>J31-J32</f>
        <v>1003.6439220000002</v>
      </c>
    </row>
    <row r="36">
      <c r="B36" s="7" t="s">
        <v>78</v>
      </c>
      <c r="D36" s="30">
        <f>D31-C31</f>
        <v>342.0329999999999</v>
      </c>
      <c r="E36" s="30">
        <f>E31-D31</f>
        <v>277.6500000000001</v>
      </c>
      <c r="F36" s="30">
        <f>F31-E31</f>
        <v>195.09799999999996</v>
      </c>
      <c r="G36" s="30">
        <f>G31-F31</f>
        <v>219.26499999999987</v>
      </c>
      <c r="H36" s="30">
        <f>H31-G31</f>
        <v>400.32400000000007</v>
      </c>
      <c r="J36" s="40">
        <f>J31-H31</f>
        <v>188.9569220000003</v>
      </c>
    </row>
    <row r="37">
      <c r="B37" s="7" t="s">
        <v>88</v>
      </c>
      <c r="C37" s="4">
        <f>C31-'Income Statement'!C9</f>
        <v>0</v>
      </c>
      <c r="D37" s="4">
        <f>D31-'Income Statement'!D9</f>
        <v>0</v>
      </c>
      <c r="E37" s="4">
        <f>E31-'Income Statement'!E9</f>
        <v>0</v>
      </c>
      <c r="F37" s="4">
        <f>F31-'Income Statement'!F9</f>
        <v>0</v>
      </c>
      <c r="G37" s="4">
        <f>G31-'Income Statement'!G9</f>
        <v>0</v>
      </c>
      <c r="H37" s="4">
        <f>H31-'Income Statement'!H9</f>
        <v>0</v>
      </c>
      <c r="I37" s="4">
        <f>I31-'Income Statement'!I9</f>
        <v>0</v>
      </c>
      <c r="J37" s="64">
        <f>J31-'Income Statement'!J9</f>
        <v>0</v>
      </c>
    </row>
    <row r="38">
      <c r="J38" s="51"/>
    </row>
    <row r="39">
      <c r="B39" s="5" t="s">
        <v>89</v>
      </c>
      <c r="J39" s="51"/>
    </row>
    <row r="40">
      <c r="B40" s="7" t="s">
        <v>90</v>
      </c>
      <c r="C40" s="4">
        <f>'Segment - Mechanical'!C46+'Segment - Electrical'!C46</f>
        <v>56.7</v>
      </c>
      <c r="D40" s="4">
        <f>'Segment - Mechanical'!D46+'Segment - Electrical'!D46</f>
        <v>27.2</v>
      </c>
      <c r="E40" s="4">
        <f>'Segment - Mechanical'!E46+'Segment - Electrical'!E46</f>
        <v>35.2</v>
      </c>
      <c r="F40" s="4">
        <f>'Segment - Mechanical'!F46+'Segment - Electrical'!F46</f>
        <v>117</v>
      </c>
      <c r="G40" s="4">
        <f>'Segment - Mechanical'!G46+'Segment - Electrical'!G46</f>
        <v>90.8</v>
      </c>
      <c r="H40" s="4">
        <f>'Segment - Mechanical'!H46+'Segment - Electrical'!H46</f>
        <v>141</v>
      </c>
      <c r="I40" s="4">
        <f>'Segment - Mechanical'!I46+'Segment - Electrical'!I46</f>
        <v>236.10000000000002</v>
      </c>
      <c r="J40" s="64">
        <f>'Segment - Mechanical'!J46+'Segment - Electrical'!J46</f>
        <v>150</v>
      </c>
    </row>
    <row r="41">
      <c r="B41" s="28" t="s">
        <v>91</v>
      </c>
      <c r="C41" s="16">
        <f>C40/C32</f>
        <v>0.0368896615259698</v>
      </c>
      <c r="D41" s="16">
        <f>D40/D32</f>
        <v>0.01502521695418966</v>
      </c>
      <c r="E41" s="16">
        <f>E40/E32</f>
        <v>0.019422125553006403</v>
      </c>
      <c r="F41" s="16">
        <f>F40/F32</f>
        <v>0.06264040552434838</v>
      </c>
      <c r="G41" s="16">
        <f>G40/G32</f>
        <v>0.04958264301698369</v>
      </c>
      <c r="H41" s="16">
        <f>H40/H32</f>
        <v>0.06487772848808665</v>
      </c>
      <c r="I41" s="16">
        <f>I40/I32</f>
        <v>0.03359669958317894</v>
      </c>
      <c r="J41" s="59">
        <f>J40/J32</f>
        <v>0.061200284458922165</v>
      </c>
    </row>
    <row r="42">
      <c r="B42" s="28" t="s">
        <v>92</v>
      </c>
      <c r="C42" s="21">
        <f>'Segment - Mechanical'!C53</f>
        <v>0</v>
      </c>
      <c r="D42" s="21">
        <f>'Segment - Mechanical'!D53</f>
        <v>0</v>
      </c>
      <c r="E42" s="21">
        <f>'Segment - Mechanical'!E53</f>
        <v>0</v>
      </c>
      <c r="F42" s="21">
        <f>'Segment - Mechanical'!F53</f>
        <v>0</v>
      </c>
      <c r="G42" s="21">
        <f>'Segment - Mechanical'!G53</f>
        <v>0</v>
      </c>
      <c r="H42" s="21">
        <f>'Segment - Mechanical'!H53</f>
        <v>0</v>
      </c>
      <c r="I42" s="21">
        <f>'Segment - Mechanical'!I53</f>
        <v>0</v>
      </c>
      <c r="J42" s="86">
        <f>'Segment - Mechanical'!J53</f>
        <v>0</v>
      </c>
      <c r="L42" s="31" t="s">
        <v>93</v>
      </c>
    </row>
    <row r="43">
      <c r="B43" s="28" t="s">
        <v>94</v>
      </c>
      <c r="C43" s="16">
        <f>C31/C32-1</f>
        <v>0.19145539148584012</v>
      </c>
      <c r="D43" s="16">
        <f>D31/D32-1</f>
        <v>0.2005363781493572</v>
      </c>
      <c r="E43" s="16">
        <f>E31/E32-1</f>
        <v>0.3523587399013224</v>
      </c>
      <c r="F43" s="16">
        <f>F31/F32-1</f>
        <v>0.4166727343982559</v>
      </c>
      <c r="G43" s="16">
        <f>G31/G32-1</f>
        <v>0.5646556572812766</v>
      </c>
      <c r="H43" s="16">
        <f>H31/H32-1</f>
        <v>0.502612363854547</v>
      </c>
      <c r="I43" s="16">
        <f>I31/I32-1</f>
        <v>0.29515077675114054</v>
      </c>
      <c r="J43" s="59">
        <f>J31/J32-1</f>
        <v>0.40948862347912196</v>
      </c>
    </row>
    <row r="44">
      <c r="B44" s="76" t="s">
        <v>95</v>
      </c>
      <c r="C44" s="68">
        <f>C43-C41-C42</f>
        <v>0.15456572995987033</v>
      </c>
      <c r="D44" s="68">
        <f>D43-D41-D42</f>
        <v>0.18551116119516756</v>
      </c>
      <c r="E44" s="68">
        <f>E43-E41-E42</f>
        <v>0.332936614348316</v>
      </c>
      <c r="F44" s="68">
        <f>F43-F41-F42</f>
        <v>0.35403232887390756</v>
      </c>
      <c r="G44" s="68">
        <f>G43-G41-G42</f>
        <v>0.515073014264293</v>
      </c>
      <c r="H44" s="68">
        <f>H43-H41-H42</f>
        <v>0.43773463536646035</v>
      </c>
      <c r="I44" s="68">
        <f>I43-I41-I42</f>
        <v>0.2615540771679616</v>
      </c>
      <c r="J44" s="74">
        <f>J43-J41-J42</f>
        <v>0.3482883390201998</v>
      </c>
      <c r="L44" s="31" t="s">
        <v>96</v>
      </c>
    </row>
    <row r="45">
      <c r="B45" s="28" t="s">
        <v>97</v>
      </c>
      <c r="C45" s="16">
        <f>(C31-C40-C32)/C32</f>
        <v>0.15456572995987025</v>
      </c>
      <c r="D45" s="16">
        <f>(D31-D40-D32)/D32</f>
        <v>0.18551116119516772</v>
      </c>
      <c r="E45" s="16">
        <f>(E31-E40-E32)/E32</f>
        <v>0.3329366143483161</v>
      </c>
      <c r="F45" s="16">
        <f>(F31-F40-F32)/F32</f>
        <v>0.35403232887390745</v>
      </c>
      <c r="G45" s="16">
        <f>(G31-G40-G32)/G32</f>
        <v>0.5150730142642928</v>
      </c>
      <c r="H45" s="16">
        <f>(H31-H40-H32)/H32</f>
        <v>0.43773463536646023</v>
      </c>
      <c r="I45" s="16">
        <f>(I31-I40-I32)/I32</f>
        <v>0.26155407716796164</v>
      </c>
      <c r="J45" s="59">
        <f>(J31-J40-J32)/J32</f>
        <v>0.34828833902019984</v>
      </c>
    </row>
    <row r="46">
      <c r="B46" s="28" t="s">
        <v>98</v>
      </c>
      <c r="C46" s="23">
        <v>0.154</v>
      </c>
      <c r="D46" s="23">
        <v>0.186</v>
      </c>
      <c r="E46" s="23">
        <v>0.333</v>
      </c>
      <c r="F46" s="23">
        <v>0.35</v>
      </c>
      <c r="G46" s="23">
        <v>0.515</v>
      </c>
      <c r="H46" s="23">
        <v>0.438</v>
      </c>
      <c r="I46" s="23">
        <v>0.261</v>
      </c>
      <c r="J46" s="51"/>
      <c r="L46" s="31" t="s">
        <v>99</v>
      </c>
    </row>
    <row r="47">
      <c r="J47" s="51"/>
    </row>
    <row r="48">
      <c r="B48" s="28" t="s">
        <v>100</v>
      </c>
      <c r="J48" s="51"/>
    </row>
    <row r="49">
      <c r="J49" s="51"/>
    </row>
    <row r="50">
      <c r="B50" s="5" t="s">
        <v>101</v>
      </c>
      <c r="J50" s="51"/>
    </row>
    <row r="51">
      <c r="B51" s="7" t="s">
        <v>102</v>
      </c>
      <c r="C51" s="18">
        <v>677.553</v>
      </c>
      <c r="D51" s="18">
        <v>934.199</v>
      </c>
      <c r="E51" s="18">
        <v>1122.528</v>
      </c>
      <c r="F51" s="30">
        <f>I51-SUM(C51:E51)</f>
        <v>1364.5740000000005</v>
      </c>
      <c r="G51" s="18">
        <v>1616.515</v>
      </c>
      <c r="H51" s="18">
        <v>1917.354</v>
      </c>
      <c r="I51" s="18">
        <v>4098.854</v>
      </c>
      <c r="J51" s="40">
        <f>J31*J52</f>
        <v>2093.495430732</v>
      </c>
    </row>
    <row r="52">
      <c r="B52" s="28" t="s">
        <v>75</v>
      </c>
      <c r="C52" s="16">
        <f>C51/C31</f>
        <v>0.3699875388115237</v>
      </c>
      <c r="D52" s="16">
        <f>D51/D31</f>
        <v>0.429849000537887</v>
      </c>
      <c r="E52" s="16">
        <f>E51/E31</f>
        <v>0.4579935527540332</v>
      </c>
      <c r="F52" s="16">
        <f>F51/F31</f>
        <v>0.5156989600036584</v>
      </c>
      <c r="G52" s="16">
        <f>G51/G31</f>
        <v>0.5641632453063031</v>
      </c>
      <c r="H52" s="16">
        <f>H51/H31</f>
        <v>0.5871267518685374</v>
      </c>
      <c r="I52" s="16">
        <f>I51/I31</f>
        <v>0.45034230640386724</v>
      </c>
      <c r="J52" s="65">
        <v>0.606</v>
      </c>
      <c r="L52" s="31" t="s">
        <v>103</v>
      </c>
    </row>
    <row r="53">
      <c r="B53" s="7" t="s">
        <v>76</v>
      </c>
      <c r="G53" s="42">
        <f>(G52-C52)*10000</f>
        <v>1941.7570649477943</v>
      </c>
      <c r="H53" s="42">
        <f>(H52-D52)*10000</f>
        <v>1572.7775133065036</v>
      </c>
      <c r="J53" s="54">
        <f>(J52-E52)*10000</f>
        <v>1480.064472459668</v>
      </c>
    </row>
    <row r="54">
      <c r="B54" s="7" t="s">
        <v>77</v>
      </c>
      <c r="D54" s="42">
        <f>(D52-C52)*10000</f>
        <v>598.614617263633</v>
      </c>
      <c r="E54" s="42">
        <f>(E52-D52)*10000</f>
        <v>281.445522161462</v>
      </c>
      <c r="F54" s="42">
        <f>(F52-E52)*10000</f>
        <v>577.0540724962525</v>
      </c>
      <c r="G54" s="42">
        <f>(G52-F52)*10000</f>
        <v>484.6428530264468</v>
      </c>
      <c r="H54" s="42">
        <f>(H52-G52)*10000</f>
        <v>229.63506562234227</v>
      </c>
      <c r="J54" s="54">
        <f>(J52-H52)*10000</f>
        <v>188.73248131462628</v>
      </c>
    </row>
    <row r="55">
      <c r="B55" s="28" t="s">
        <v>73</v>
      </c>
      <c r="G55" s="16">
        <f>G51/C51-1</f>
        <v>1.3858133607260243</v>
      </c>
      <c r="H55" s="16">
        <f>H51/D51-1</f>
        <v>1.0524042521989427</v>
      </c>
      <c r="J55" s="59">
        <f>J51/E51-1</f>
        <v>0.8649828162255195</v>
      </c>
    </row>
    <row r="56">
      <c r="B56" s="7" t="s">
        <v>87</v>
      </c>
      <c r="G56" s="30">
        <f>G51-C51</f>
        <v>938.9620000000001</v>
      </c>
      <c r="H56" s="30">
        <f>H51-D51</f>
        <v>983.1550000000001</v>
      </c>
      <c r="J56" s="40">
        <f>J51-E51</f>
        <v>970.9674307319999</v>
      </c>
    </row>
    <row r="57">
      <c r="B57" s="7" t="s">
        <v>78</v>
      </c>
      <c r="D57" s="30">
        <f>D51-C51</f>
        <v>256.64599999999996</v>
      </c>
      <c r="E57" s="30">
        <f>E51-D51</f>
        <v>188.32900000000006</v>
      </c>
      <c r="F57" s="30">
        <f>F51-E51</f>
        <v>242.0460000000005</v>
      </c>
      <c r="G57" s="30">
        <f>G51-F51</f>
        <v>251.94099999999958</v>
      </c>
      <c r="H57" s="30">
        <f>H51-G51</f>
        <v>300.83899999999994</v>
      </c>
      <c r="J57" s="40">
        <f>J51-H51</f>
        <v>176.1414307319999</v>
      </c>
    </row>
    <row r="58">
      <c r="B58" s="7" t="s">
        <v>104</v>
      </c>
      <c r="C58" s="18">
        <v>452.786</v>
      </c>
      <c r="D58" s="18">
        <v>473.04</v>
      </c>
      <c r="E58" s="18">
        <v>543.11</v>
      </c>
      <c r="F58" s="30">
        <f>I58-SUM(C58:E58)</f>
        <v>542.6709999999998</v>
      </c>
      <c r="G58" s="18">
        <v>536.442</v>
      </c>
      <c r="H58" s="18">
        <v>535.357</v>
      </c>
      <c r="I58" s="18">
        <v>2011.607</v>
      </c>
      <c r="J58" s="40">
        <f>J31*J59</f>
        <v>535.4650029100001</v>
      </c>
    </row>
    <row r="59">
      <c r="B59" s="28" t="s">
        <v>75</v>
      </c>
      <c r="C59" s="16">
        <f>C58/C31</f>
        <v>0.247250292963524</v>
      </c>
      <c r="D59" s="16">
        <f>D58/D31</f>
        <v>0.21765787719152138</v>
      </c>
      <c r="E59" s="16">
        <f>E58/E31</f>
        <v>0.22158990994990144</v>
      </c>
      <c r="F59" s="16">
        <f>F58/F31</f>
        <v>0.2050858878478889</v>
      </c>
      <c r="G59" s="16">
        <f>G58/G31</f>
        <v>0.18721809549469312</v>
      </c>
      <c r="H59" s="16">
        <f>H58/H31</f>
        <v>0.1639355155595078</v>
      </c>
      <c r="I59" s="16">
        <f>I58/I31</f>
        <v>0.22101585856880096</v>
      </c>
      <c r="J59" s="65">
        <v>0.155</v>
      </c>
      <c r="L59" s="31" t="s">
        <v>105</v>
      </c>
    </row>
    <row r="60">
      <c r="B60" s="7" t="s">
        <v>76</v>
      </c>
      <c r="G60" s="42">
        <f>(G59-C59)*10000</f>
        <v>-600.3219746883087</v>
      </c>
      <c r="H60" s="42">
        <f>(H59-D59)*10000</f>
        <v>-537.2236163201358</v>
      </c>
      <c r="J60" s="54">
        <f>(J59-E59)*10000</f>
        <v>-665.8990994990144</v>
      </c>
    </row>
    <row r="61">
      <c r="B61" s="7" t="s">
        <v>77</v>
      </c>
      <c r="D61" s="42">
        <f>(D59-C59)*10000</f>
        <v>-295.92415772002613</v>
      </c>
      <c r="E61" s="42">
        <f>(E59-D59)*10000</f>
        <v>39.32032758380055</v>
      </c>
      <c r="F61" s="42">
        <f>(F59-E59)*10000</f>
        <v>-165.04022102012544</v>
      </c>
      <c r="G61" s="42">
        <f>(G59-F59)*10000</f>
        <v>-178.6779235319577</v>
      </c>
      <c r="H61" s="42">
        <f>(H59-G59)*10000</f>
        <v>-232.82579935185316</v>
      </c>
      <c r="J61" s="54">
        <f>(J59-H59)*10000</f>
        <v>-89.35515559507806</v>
      </c>
    </row>
    <row r="62">
      <c r="B62" s="28" t="s">
        <v>73</v>
      </c>
      <c r="G62" s="16">
        <f>G58/C58-1</f>
        <v>0.18475836267022383</v>
      </c>
      <c r="H62" s="16">
        <f>H58/D58-1</f>
        <v>0.13173727380348366</v>
      </c>
      <c r="J62" s="59">
        <f>J58/E58-1</f>
        <v>-0.014076332768683919</v>
      </c>
    </row>
    <row r="63">
      <c r="B63" s="7" t="s">
        <v>87</v>
      </c>
      <c r="G63" s="30">
        <f>G58-C58</f>
        <v>83.656</v>
      </c>
      <c r="H63" s="30">
        <f>H58-D58</f>
        <v>62.31699999999995</v>
      </c>
      <c r="J63" s="40">
        <f>J58-E58</f>
        <v>-7.644997089999947</v>
      </c>
    </row>
    <row r="64">
      <c r="B64" s="7" t="s">
        <v>78</v>
      </c>
      <c r="D64" s="30">
        <f>D58-C58</f>
        <v>20.25400000000002</v>
      </c>
      <c r="E64" s="30">
        <f>E58-D58</f>
        <v>70.07</v>
      </c>
      <c r="F64" s="30">
        <f>F58-E58</f>
        <v>-0.4390000000001919</v>
      </c>
      <c r="G64" s="30">
        <f>G58-F58</f>
        <v>-6.2289999999998145</v>
      </c>
      <c r="H64" s="30">
        <f>H58-G58</f>
        <v>-1.0850000000000364</v>
      </c>
      <c r="J64" s="40">
        <f>J58-H58</f>
        <v>0.10800291000009565</v>
      </c>
    </row>
    <row r="65">
      <c r="B65" s="5" t="s">
        <v>106</v>
      </c>
      <c r="C65" s="17">
        <f>C51+C58</f>
        <v>1130.339</v>
      </c>
      <c r="D65" s="17">
        <f>D51+D58</f>
        <v>1407.239</v>
      </c>
      <c r="E65" s="17">
        <f>E51+E58</f>
        <v>1665.638</v>
      </c>
      <c r="F65" s="17">
        <f>F51+F58</f>
        <v>1907.2450000000003</v>
      </c>
      <c r="G65" s="17">
        <f>G51+G58</f>
        <v>2152.9570000000003</v>
      </c>
      <c r="H65" s="17">
        <f>H51+H58</f>
        <v>2452.7110000000002</v>
      </c>
      <c r="I65" s="17">
        <f>I51+I58</f>
        <v>6110.461</v>
      </c>
      <c r="J65" s="63">
        <f>J51+J58</f>
        <v>2628.9604336419998</v>
      </c>
    </row>
    <row r="66">
      <c r="B66" s="28" t="s">
        <v>75</v>
      </c>
      <c r="C66" s="16">
        <f>C65/C31</f>
        <v>0.6172378317750477</v>
      </c>
      <c r="D66" s="16">
        <f>D65/D31</f>
        <v>0.6475068777294084</v>
      </c>
      <c r="E66" s="16">
        <f>E65/E31</f>
        <v>0.6795834627039345</v>
      </c>
      <c r="F66" s="16">
        <f>F65/F31</f>
        <v>0.7207848478515474</v>
      </c>
      <c r="G66" s="16">
        <f>G65/G31</f>
        <v>0.7513813408009963</v>
      </c>
      <c r="H66" s="16">
        <f>H65/H31</f>
        <v>0.7510622674280452</v>
      </c>
      <c r="I66" s="16">
        <f>I65/I31</f>
        <v>0.6713581649726682</v>
      </c>
      <c r="J66" s="59">
        <f>J65/J31</f>
        <v>0.7609999999999999</v>
      </c>
    </row>
    <row r="67">
      <c r="B67" s="7" t="s">
        <v>76</v>
      </c>
      <c r="G67" s="42">
        <f>(G66-C66)*10000</f>
        <v>1341.4350902594863</v>
      </c>
      <c r="H67" s="42">
        <f>(H66-D66)*10000</f>
        <v>1035.5538969863676</v>
      </c>
      <c r="J67" s="54">
        <f>(J66-E66)*10000</f>
        <v>814.1653729606535</v>
      </c>
    </row>
    <row r="68">
      <c r="B68" s="7" t="s">
        <v>77</v>
      </c>
      <c r="D68" s="42">
        <f>(D66-C66)*10000</f>
        <v>302.6904595436075</v>
      </c>
      <c r="E68" s="42">
        <f>(E66-D66)*10000</f>
        <v>320.76584974526145</v>
      </c>
      <c r="F68" s="42">
        <f>(F66-E66)*10000</f>
        <v>412.0138514761285</v>
      </c>
      <c r="G68" s="42">
        <f>(G66-F66)*10000</f>
        <v>305.96492949448884</v>
      </c>
      <c r="H68" s="42">
        <f>(H66-G66)*10000</f>
        <v>-3.190733729511175</v>
      </c>
      <c r="J68" s="54">
        <f>(J66-H66)*10000</f>
        <v>99.37732571954739</v>
      </c>
    </row>
    <row r="69">
      <c r="B69" s="28" t="s">
        <v>73</v>
      </c>
      <c r="G69" s="16">
        <f>G65/C65-1</f>
        <v>0.9047002713345293</v>
      </c>
      <c r="H69" s="16">
        <f>H65/D65-1</f>
        <v>0.7429242651745724</v>
      </c>
      <c r="J69" s="59">
        <f>J65/E65-1</f>
        <v>0.5783504180632286</v>
      </c>
    </row>
    <row r="70">
      <c r="B70" s="7" t="s">
        <v>107</v>
      </c>
      <c r="C70" s="18">
        <v>182.542</v>
      </c>
      <c r="D70" s="18">
        <v>200.341</v>
      </c>
      <c r="E70" s="18">
        <v>206.965</v>
      </c>
      <c r="F70" s="30">
        <f>I70-SUM(C70:E70)</f>
        <v>220.798</v>
      </c>
      <c r="G70" s="18">
        <v>220.534</v>
      </c>
      <c r="H70" s="18">
        <v>230.783</v>
      </c>
      <c r="I70" s="18">
        <v>810.646</v>
      </c>
      <c r="J70" s="40">
        <f>J31*J71</f>
        <v>234.91367869600003</v>
      </c>
    </row>
    <row r="71">
      <c r="B71" s="28" t="s">
        <v>75</v>
      </c>
      <c r="C71" s="16">
        <f>C70/C31</f>
        <v>0.09967967865205107</v>
      </c>
      <c r="D71" s="16">
        <f>D70/D31</f>
        <v>0.09218204966689197</v>
      </c>
      <c r="E71" s="16">
        <f>E70/E31</f>
        <v>0.08444211248693884</v>
      </c>
      <c r="F71" s="16">
        <f>F70/F31</f>
        <v>0.083443843258693</v>
      </c>
      <c r="G71" s="16">
        <f>G70/G31</f>
        <v>0.0769662991932523</v>
      </c>
      <c r="H71" s="16">
        <f>H70/H31</f>
        <v>0.07066972148934242</v>
      </c>
      <c r="I71" s="16">
        <f>I70/I31</f>
        <v>0.08906591679456485</v>
      </c>
      <c r="J71" s="65">
        <v>0.068</v>
      </c>
      <c r="L71" s="31" t="s">
        <v>108</v>
      </c>
    </row>
    <row r="72">
      <c r="B72" s="7" t="s">
        <v>76</v>
      </c>
      <c r="G72" s="42">
        <f>(G71-C71)*10000</f>
        <v>-227.1337945879877</v>
      </c>
      <c r="H72" s="42">
        <f>(H71-D71)*10000</f>
        <v>-215.12328177549557</v>
      </c>
      <c r="J72" s="54">
        <f>(J71-E71)*10000</f>
        <v>-164.4211248693883</v>
      </c>
    </row>
    <row r="73">
      <c r="B73" s="7" t="s">
        <v>77</v>
      </c>
      <c r="D73" s="42">
        <f>(D71-C71)*10000</f>
        <v>-74.97628985159099</v>
      </c>
      <c r="E73" s="42">
        <f>(E71-D71)*10000</f>
        <v>-77.39937179953138</v>
      </c>
      <c r="F73" s="42">
        <f>(F71-E71)*10000</f>
        <v>-9.98269228245835</v>
      </c>
      <c r="G73" s="42">
        <f>(G71-F71)*10000</f>
        <v>-64.77544065440696</v>
      </c>
      <c r="H73" s="42">
        <f>(H71-G71)*10000</f>
        <v>-62.96577703909886</v>
      </c>
      <c r="J73" s="54">
        <f>(J71-H71)*10000</f>
        <v>-26.69721489342414</v>
      </c>
    </row>
    <row r="74">
      <c r="B74" s="28" t="s">
        <v>73</v>
      </c>
      <c r="G74" s="16">
        <f>G70/C70-1</f>
        <v>0.2081274446428767</v>
      </c>
      <c r="H74" s="16">
        <f>H70/D70-1</f>
        <v>0.15195092367513374</v>
      </c>
      <c r="J74" s="59">
        <f>J70/E70-1</f>
        <v>0.1350406044307011</v>
      </c>
    </row>
    <row r="75">
      <c r="B75" s="7" t="s">
        <v>87</v>
      </c>
      <c r="G75" s="30">
        <f>G70-C70</f>
        <v>37.99199999999999</v>
      </c>
      <c r="H75" s="30">
        <f>H70-D70</f>
        <v>30.44199999999998</v>
      </c>
      <c r="J75" s="40">
        <f>J70-E70</f>
        <v>27.94867869600003</v>
      </c>
    </row>
    <row r="76">
      <c r="B76" s="7" t="s">
        <v>78</v>
      </c>
      <c r="D76" s="30">
        <f>D70-C70</f>
        <v>17.799000000000007</v>
      </c>
      <c r="E76" s="30">
        <f>E70-D70</f>
        <v>6.623999999999995</v>
      </c>
      <c r="F76" s="30">
        <f>F70-E70</f>
        <v>13.832999999999998</v>
      </c>
      <c r="G76" s="30">
        <f>G70-F70</f>
        <v>-0.26400000000001</v>
      </c>
      <c r="H76" s="30">
        <f>H70-G70</f>
        <v>10.248999999999995</v>
      </c>
      <c r="J76" s="40">
        <f>J70-H70</f>
        <v>4.130678696000047</v>
      </c>
    </row>
    <row r="77">
      <c r="B77" s="7" t="s">
        <v>109</v>
      </c>
      <c r="C77" s="18">
        <v>161.242</v>
      </c>
      <c r="D77" s="18">
        <v>194.845</v>
      </c>
      <c r="E77" s="18">
        <v>171.707</v>
      </c>
      <c r="F77" s="30">
        <f>I77-SUM(C77:E77)</f>
        <v>137.47199999999998</v>
      </c>
      <c r="G77" s="18">
        <v>130.313</v>
      </c>
      <c r="H77" s="18">
        <v>168.252</v>
      </c>
      <c r="I77" s="18">
        <v>665.266</v>
      </c>
      <c r="J77" s="40">
        <f>J31*J78</f>
        <v>172.73064610000003</v>
      </c>
    </row>
    <row r="78">
      <c r="B78" s="28" t="s">
        <v>75</v>
      </c>
      <c r="C78" s="16">
        <f>C77/C31</f>
        <v>0.08804850798837538</v>
      </c>
      <c r="D78" s="16">
        <f>D77/D31</f>
        <v>0.08965319863305847</v>
      </c>
      <c r="E78" s="16">
        <f>E77/E31</f>
        <v>0.07005678162392098</v>
      </c>
      <c r="F78" s="16">
        <f>F77/F31</f>
        <v>0.05195333300328373</v>
      </c>
      <c r="G78" s="16">
        <f>G77/G31</f>
        <v>0.04547919752405655</v>
      </c>
      <c r="H78" s="16">
        <f>H77/H31</f>
        <v>0.05152165445472518</v>
      </c>
      <c r="I78" s="16">
        <f>I77/I31</f>
        <v>0.07309297301442674</v>
      </c>
      <c r="J78" s="65">
        <v>0.05</v>
      </c>
      <c r="L78" s="31" t="s">
        <v>110</v>
      </c>
    </row>
    <row r="79">
      <c r="B79" s="7" t="s">
        <v>76</v>
      </c>
      <c r="G79" s="42">
        <f>(G78-C78)*10000</f>
        <v>-425.69310464318835</v>
      </c>
      <c r="H79" s="42">
        <f>(H78-D78)*10000</f>
        <v>-381.3154417833329</v>
      </c>
      <c r="J79" s="54">
        <f>(J78-E78)*10000</f>
        <v>-200.5678162392098</v>
      </c>
    </row>
    <row r="80">
      <c r="B80" s="7" t="s">
        <v>77</v>
      </c>
      <c r="D80" s="42">
        <f>(D78-C78)*10000</f>
        <v>16.046906446830906</v>
      </c>
      <c r="E80" s="42">
        <f>(E78-D78)*10000</f>
        <v>-195.96417009137488</v>
      </c>
      <c r="F80" s="42">
        <f>(F78-E78)*10000</f>
        <v>-181.03448620637252</v>
      </c>
      <c r="G80" s="42">
        <f>(G78-F78)*10000</f>
        <v>-64.74135479227185</v>
      </c>
      <c r="H80" s="42">
        <f>(H78-G78)*10000</f>
        <v>60.424569306686344</v>
      </c>
      <c r="J80" s="54">
        <f>(J78-H78)*10000</f>
        <v>-15.216544547251784</v>
      </c>
    </row>
    <row r="81">
      <c r="B81" s="28" t="s">
        <v>73</v>
      </c>
      <c r="G81" s="16">
        <f>G77/C77-1</f>
        <v>-0.1918172684536288</v>
      </c>
      <c r="H81" s="16">
        <f>H77/D77-1</f>
        <v>-0.13648284533860244</v>
      </c>
      <c r="J81" s="59">
        <f>J77/E77-1</f>
        <v>0.0059615863069066855</v>
      </c>
    </row>
    <row r="82">
      <c r="B82" s="7" t="s">
        <v>87</v>
      </c>
      <c r="G82" s="30">
        <f>G77-C77</f>
        <v>-30.929000000000002</v>
      </c>
      <c r="H82" s="30">
        <f>H77-D77</f>
        <v>-26.59299999999999</v>
      </c>
      <c r="J82" s="40">
        <f>J77-E77</f>
        <v>1.023646100000036</v>
      </c>
    </row>
    <row r="83">
      <c r="B83" s="7" t="s">
        <v>78</v>
      </c>
      <c r="D83" s="30">
        <f>D77-C77</f>
        <v>33.60300000000001</v>
      </c>
      <c r="E83" s="30">
        <f>E77-D77</f>
        <v>-23.138000000000005</v>
      </c>
      <c r="F83" s="30">
        <f>F77-E77</f>
        <v>-34.235000000000014</v>
      </c>
      <c r="G83" s="30">
        <f>G77-F77</f>
        <v>-7.158999999999992</v>
      </c>
      <c r="H83" s="30">
        <f>H77-G77</f>
        <v>37.93900000000002</v>
      </c>
      <c r="J83" s="40">
        <f>J77-H77</f>
        <v>4.47864610000002</v>
      </c>
    </row>
    <row r="84">
      <c r="B84" s="7" t="s">
        <v>111</v>
      </c>
      <c r="C84" s="18">
        <v>96.281</v>
      </c>
      <c r="D84" s="18">
        <v>107.753</v>
      </c>
      <c r="E84" s="18">
        <v>122.284</v>
      </c>
      <c r="F84" s="30">
        <f>I84-SUM(C84:E84)</f>
        <v>131.01100000000002</v>
      </c>
      <c r="G84" s="18">
        <v>133.417</v>
      </c>
      <c r="H84" s="18">
        <v>145.507</v>
      </c>
      <c r="I84" s="18">
        <v>457.329</v>
      </c>
      <c r="J84" s="40">
        <f>J31*J85</f>
        <v>148.548355646</v>
      </c>
    </row>
    <row r="85">
      <c r="B85" s="28" t="s">
        <v>75</v>
      </c>
      <c r="C85" s="16">
        <f>C84/C31</f>
        <v>0.05257562172156616</v>
      </c>
      <c r="D85" s="16">
        <f>D84/D31</f>
        <v>0.04957992821118299</v>
      </c>
      <c r="E85" s="16">
        <f>E84/E31</f>
        <v>0.04989210389849892</v>
      </c>
      <c r="F85" s="16">
        <f>F84/F31</f>
        <v>0.04951159588929533</v>
      </c>
      <c r="G85" s="16">
        <f>G84/G31</f>
        <v>0.04656249258375644</v>
      </c>
      <c r="H85" s="16">
        <f>H84/H31</f>
        <v>0.04455674449482738</v>
      </c>
      <c r="I85" s="16">
        <f>I84/I31</f>
        <v>0.050246873063879365</v>
      </c>
      <c r="J85" s="65">
        <v>0.043</v>
      </c>
      <c r="L85" s="31" t="s">
        <v>112</v>
      </c>
    </row>
    <row r="86">
      <c r="B86" s="7" t="s">
        <v>76</v>
      </c>
      <c r="G86" s="42">
        <f>(G85-C85)*10000</f>
        <v>-60.13129137809714</v>
      </c>
      <c r="H86" s="42">
        <f>(H85-D85)*10000</f>
        <v>-50.23183716355607</v>
      </c>
      <c r="J86" s="54">
        <f>(J85-E85)*10000</f>
        <v>-68.92103898498925</v>
      </c>
    </row>
    <row r="87">
      <c r="B87" s="7" t="s">
        <v>77</v>
      </c>
      <c r="D87" s="42">
        <f>(D85-C85)*10000</f>
        <v>-29.95693510383167</v>
      </c>
      <c r="E87" s="42">
        <f>(E85-D85)*10000</f>
        <v>3.121756873159312</v>
      </c>
      <c r="F87" s="42">
        <f>(F85-E85)*10000</f>
        <v>-3.805080092035909</v>
      </c>
      <c r="G87" s="42">
        <f>(G85-F85)*10000</f>
        <v>-29.491033055388876</v>
      </c>
      <c r="H87" s="42">
        <f>(H85-G85)*10000</f>
        <v>-20.057480889290602</v>
      </c>
      <c r="J87" s="54">
        <f>(J85-H85)*10000</f>
        <v>-15.567444948273861</v>
      </c>
    </row>
    <row r="88">
      <c r="B88" s="28" t="s">
        <v>73</v>
      </c>
      <c r="G88" s="16">
        <f>G84/C84-1</f>
        <v>0.38570434457473435</v>
      </c>
      <c r="H88" s="16">
        <f>H84/D84-1</f>
        <v>0.35037539558063346</v>
      </c>
      <c r="J88" s="59">
        <f>J84/E84-1</f>
        <v>0.21478162021196567</v>
      </c>
    </row>
    <row r="89">
      <c r="B89" s="7" t="s">
        <v>87</v>
      </c>
      <c r="G89" s="30">
        <f>G84-C84</f>
        <v>37.135999999999996</v>
      </c>
      <c r="H89" s="30">
        <f>H84-D84</f>
        <v>37.754000000000005</v>
      </c>
      <c r="J89" s="40">
        <f>J84-E84</f>
        <v>26.264355646</v>
      </c>
    </row>
    <row r="90">
      <c r="B90" s="7" t="s">
        <v>78</v>
      </c>
      <c r="D90" s="30">
        <f>D84-C84</f>
        <v>11.471999999999994</v>
      </c>
      <c r="E90" s="30">
        <f>E84-D84</f>
        <v>14.531000000000006</v>
      </c>
      <c r="F90" s="30">
        <f>F84-E84</f>
        <v>8.727000000000018</v>
      </c>
      <c r="G90" s="30">
        <f>G84-F84</f>
        <v>2.4059999999999775</v>
      </c>
      <c r="H90" s="30">
        <f>H84-G84</f>
        <v>12.090000000000003</v>
      </c>
      <c r="J90" s="40">
        <f>J84-H84</f>
        <v>3.0413556459999995</v>
      </c>
    </row>
    <row r="91">
      <c r="B91" s="5" t="s">
        <v>113</v>
      </c>
      <c r="C91" s="17">
        <f>C70+C77+C84</f>
        <v>440.065</v>
      </c>
      <c r="D91" s="17">
        <f>D70+D77+D84</f>
        <v>502.939</v>
      </c>
      <c r="E91" s="17">
        <f>E70+E77+E84</f>
        <v>500.956</v>
      </c>
      <c r="F91" s="17">
        <f>F70+F77+F84</f>
        <v>489.281</v>
      </c>
      <c r="G91" s="17">
        <f>G70+G77+G84</f>
        <v>484.264</v>
      </c>
      <c r="H91" s="17">
        <f>H70+H77+H84</f>
        <v>544.5419999999999</v>
      </c>
      <c r="I91" s="17">
        <f>I70+I77+I84</f>
        <v>1933.2409999999998</v>
      </c>
      <c r="J91" s="63">
        <f>J70+J77+J84</f>
        <v>556.1926804420001</v>
      </c>
    </row>
    <row r="92">
      <c r="B92" s="28" t="s">
        <v>75</v>
      </c>
      <c r="C92" s="16">
        <f>C91/C31</f>
        <v>0.2403038083619926</v>
      </c>
      <c r="D92" s="16">
        <f>D91/D31</f>
        <v>0.23141517651113344</v>
      </c>
      <c r="E92" s="16">
        <f>E91/E31</f>
        <v>0.20439099800935875</v>
      </c>
      <c r="F92" s="16">
        <f>F91/F31</f>
        <v>0.18490877215127205</v>
      </c>
      <c r="G92" s="16">
        <f>G91/G31</f>
        <v>0.1690079893010653</v>
      </c>
      <c r="H92" s="16">
        <f>H91/H31</f>
        <v>0.16674812043889495</v>
      </c>
      <c r="I92" s="16">
        <f>I91/I31</f>
        <v>0.21240576287287094</v>
      </c>
      <c r="J92" s="59">
        <f>J91/J31</f>
        <v>0.161</v>
      </c>
    </row>
    <row r="93">
      <c r="B93" s="7" t="s">
        <v>76</v>
      </c>
      <c r="G93" s="42">
        <f>(G92-C92)*10000</f>
        <v>-712.9581906092731</v>
      </c>
      <c r="H93" s="42">
        <f>(H92-D92)*10000</f>
        <v>-646.670560722385</v>
      </c>
      <c r="J93" s="54">
        <f>(J92-E92)*10000</f>
        <v>-433.9099800935875</v>
      </c>
    </row>
    <row r="94">
      <c r="B94" s="7" t="s">
        <v>77</v>
      </c>
      <c r="D94" s="42">
        <f>(D92-C92)*10000</f>
        <v>-88.88631850859169</v>
      </c>
      <c r="E94" s="42">
        <f>(E92-D92)*10000</f>
        <v>-270.24178501774685</v>
      </c>
      <c r="F94" s="42">
        <f>(F92-E92)*10000</f>
        <v>-194.82225858086704</v>
      </c>
      <c r="G94" s="42">
        <f>(G92-F92)*10000</f>
        <v>-159.0078285020674</v>
      </c>
      <c r="H94" s="42">
        <f>(H92-G92)*10000</f>
        <v>-22.598688621703612</v>
      </c>
      <c r="J94" s="54">
        <f>(J92-H92)*10000</f>
        <v>-57.481204388949436</v>
      </c>
    </row>
    <row r="95">
      <c r="B95" s="28" t="s">
        <v>73</v>
      </c>
      <c r="G95" s="16">
        <f>G91/C91-1</f>
        <v>0.1004374353788644</v>
      </c>
      <c r="H95" s="16">
        <f>H91/D91-1</f>
        <v>0.08271977317328716</v>
      </c>
      <c r="J95" s="59">
        <f>J91/E91-1</f>
        <v>0.11026253890960502</v>
      </c>
    </row>
    <row r="96">
      <c r="B96" s="7" t="s">
        <v>114</v>
      </c>
      <c r="C96" s="18">
        <v>122.526</v>
      </c>
      <c r="D96" s="18">
        <v>110.461</v>
      </c>
      <c r="E96" s="18">
        <v>125.458</v>
      </c>
      <c r="F96" s="30">
        <f>I96-SUM(C96:E96)</f>
        <v>88.214</v>
      </c>
      <c r="G96" s="18">
        <v>80.34</v>
      </c>
      <c r="H96" s="18">
        <v>92.468</v>
      </c>
      <c r="I96" s="18">
        <v>446.659</v>
      </c>
      <c r="J96" s="40">
        <f>J31*J97</f>
        <v>89.819935972</v>
      </c>
    </row>
    <row r="97">
      <c r="B97" s="28" t="s">
        <v>75</v>
      </c>
      <c r="C97" s="16">
        <f>C96/C31</f>
        <v>0.06690708059800599</v>
      </c>
      <c r="D97" s="16">
        <f>D96/D31</f>
        <v>0.05082594869874142</v>
      </c>
      <c r="E97" s="16">
        <f>E96/E31</f>
        <v>0.05118710191764971</v>
      </c>
      <c r="F97" s="16">
        <f>F96/F31</f>
        <v>0.03333778018470432</v>
      </c>
      <c r="G97" s="16">
        <f>G96/G31</f>
        <v>0.028038635662464246</v>
      </c>
      <c r="H97" s="16">
        <f>H96/H31</f>
        <v>0.028315291016567577</v>
      </c>
      <c r="I97" s="16">
        <f>I96/I31</f>
        <v>0.049074556994722164</v>
      </c>
      <c r="J97" s="65">
        <v>0.026</v>
      </c>
      <c r="L97" s="31" t="s">
        <v>115</v>
      </c>
    </row>
    <row r="98">
      <c r="B98" s="7" t="s">
        <v>76</v>
      </c>
      <c r="G98" s="42">
        <f>(G97-C97)*10000</f>
        <v>-388.6844493554174</v>
      </c>
      <c r="H98" s="42">
        <f>(H97-D97)*10000</f>
        <v>-225.10657682173846</v>
      </c>
      <c r="J98" s="54">
        <f>(J97-E97)*10000</f>
        <v>-251.87101917649713</v>
      </c>
    </row>
    <row r="99">
      <c r="B99" s="7" t="s">
        <v>77</v>
      </c>
      <c r="D99" s="42">
        <f>(D97-C97)*10000</f>
        <v>-160.81131899264565</v>
      </c>
      <c r="E99" s="42">
        <f>(E97-D97)*10000</f>
        <v>3.6115321890829026</v>
      </c>
      <c r="F99" s="42">
        <f>(F97-E97)*10000</f>
        <v>-178.49321732945393</v>
      </c>
      <c r="G99" s="42">
        <f>(G97-F97)*10000</f>
        <v>-52.99144522240073</v>
      </c>
      <c r="H99" s="42">
        <f>(H97-G97)*10000</f>
        <v>2.766553541033306</v>
      </c>
      <c r="J99" s="54">
        <f>(J97-H97)*10000</f>
        <v>-23.152910165675777</v>
      </c>
    </row>
    <row r="100">
      <c r="B100" s="28" t="s">
        <v>73</v>
      </c>
      <c r="G100" s="16">
        <f>G96/C96-1</f>
        <v>-0.34430243376915914</v>
      </c>
      <c r="H100" s="16">
        <f>H96/D96-1</f>
        <v>-0.16289006979839038</v>
      </c>
      <c r="J100" s="59">
        <f>J96/E96-1</f>
        <v>-0.284063702816879</v>
      </c>
    </row>
    <row r="101">
      <c r="B101" s="7" t="s">
        <v>87</v>
      </c>
      <c r="G101" s="30">
        <f>G96-C96</f>
        <v>-42.18599999999999</v>
      </c>
      <c r="H101" s="30">
        <f>H96-D96</f>
        <v>-17.992999999999995</v>
      </c>
      <c r="J101" s="40">
        <f>J96-E96</f>
        <v>-35.638064028</v>
      </c>
    </row>
    <row r="102">
      <c r="B102" s="7" t="s">
        <v>78</v>
      </c>
      <c r="D102" s="30">
        <f>D96-C96</f>
        <v>-12.064999999999998</v>
      </c>
      <c r="E102" s="30">
        <f>E96-D96</f>
        <v>14.997</v>
      </c>
      <c r="F102" s="30">
        <f>F96-E96</f>
        <v>-37.244</v>
      </c>
      <c r="G102" s="30">
        <f>G96-F96</f>
        <v>-7.873999999999995</v>
      </c>
      <c r="H102" s="30">
        <f>H96-G96</f>
        <v>12.128</v>
      </c>
      <c r="J102" s="40">
        <f>J96-H96</f>
        <v>-2.6480640280000074</v>
      </c>
    </row>
    <row r="103">
      <c r="B103" s="7" t="s">
        <v>116</v>
      </c>
      <c r="C103" s="18">
        <v>77.009</v>
      </c>
      <c r="D103" s="18">
        <v>85.107</v>
      </c>
      <c r="E103" s="18">
        <v>88.503</v>
      </c>
      <c r="F103" s="30">
        <f>I103-SUM(C103:E103)</f>
        <v>86.97099999999998</v>
      </c>
      <c r="G103" s="18">
        <v>81.286</v>
      </c>
      <c r="H103" s="18">
        <v>89.893</v>
      </c>
      <c r="I103" s="18">
        <v>337.59</v>
      </c>
      <c r="J103" s="40">
        <f>J31*J104</f>
        <v>89.819935972</v>
      </c>
    </row>
    <row r="104">
      <c r="B104" s="28" t="s">
        <v>75</v>
      </c>
      <c r="C104" s="16">
        <f>C103/C31</f>
        <v>0.042051869560516486</v>
      </c>
      <c r="D104" s="16">
        <f>D103/D31</f>
        <v>0.03915992083996873</v>
      </c>
      <c r="E104" s="16">
        <f>E103/E31</f>
        <v>0.03610939183645326</v>
      </c>
      <c r="F104" s="16">
        <f>F103/F31</f>
        <v>0.032868026395401165</v>
      </c>
      <c r="G104" s="16">
        <f>G103/G31</f>
        <v>0.028368789375890824</v>
      </c>
      <c r="H104" s="16">
        <f>H103/H31</f>
        <v>0.027526781755334916</v>
      </c>
      <c r="I104" s="16">
        <f>I103/I31</f>
        <v>0.037091113569520044</v>
      </c>
      <c r="J104" s="65">
        <v>0.026</v>
      </c>
      <c r="L104" s="31" t="s">
        <v>115</v>
      </c>
    </row>
    <row r="105">
      <c r="B105" s="7" t="s">
        <v>76</v>
      </c>
      <c r="G105" s="42">
        <f>(G104-C104)*10000</f>
        <v>-136.83080184625663</v>
      </c>
      <c r="H105" s="42">
        <f>(H104-D104)*10000</f>
        <v>-116.33139084633811</v>
      </c>
      <c r="J105" s="54">
        <f>(J104-E104)*10000</f>
        <v>-101.0939183645326</v>
      </c>
    </row>
    <row r="106">
      <c r="B106" s="7" t="s">
        <v>77</v>
      </c>
      <c r="D106" s="42">
        <f>(D104-C104)*10000</f>
        <v>-28.919487205477587</v>
      </c>
      <c r="E106" s="42">
        <f>(E104-D104)*10000</f>
        <v>-30.50529003515469</v>
      </c>
      <c r="F106" s="42">
        <f>(F104-E104)*10000</f>
        <v>-32.413654410520934</v>
      </c>
      <c r="G106" s="42">
        <f>(G104-F104)*10000</f>
        <v>-44.99237019510341</v>
      </c>
      <c r="H106" s="42">
        <f>(H104-G104)*10000</f>
        <v>-8.420076205559075</v>
      </c>
      <c r="J106" s="54">
        <f>(J104-H104)*10000</f>
        <v>-15.267817553349175</v>
      </c>
    </row>
    <row r="107">
      <c r="B107" s="28" t="s">
        <v>73</v>
      </c>
      <c r="G107" s="16">
        <f>G103/C103-1</f>
        <v>0.055538962978353146</v>
      </c>
      <c r="H107" s="16">
        <f>H103/D103-1</f>
        <v>0.05623509229558077</v>
      </c>
      <c r="J107" s="59">
        <f>J103/E103-1</f>
        <v>0.014880128040857254</v>
      </c>
    </row>
    <row r="108">
      <c r="B108" s="7" t="s">
        <v>87</v>
      </c>
      <c r="G108" s="30">
        <f>G103-C103</f>
        <v>4.277000000000001</v>
      </c>
      <c r="H108" s="30">
        <f>H103-D103</f>
        <v>4.786000000000001</v>
      </c>
      <c r="J108" s="40">
        <f>J103-E103</f>
        <v>1.316935971999996</v>
      </c>
    </row>
    <row r="109">
      <c r="B109" s="7" t="s">
        <v>78</v>
      </c>
      <c r="D109" s="30">
        <f>D103-C103</f>
        <v>8.097999999999999</v>
      </c>
      <c r="E109" s="30">
        <f>E103-D103</f>
        <v>3.396000000000001</v>
      </c>
      <c r="F109" s="30">
        <f>F103-E103</f>
        <v>-1.532000000000025</v>
      </c>
      <c r="G109" s="30">
        <f>G103-F103</f>
        <v>-5.684999999999974</v>
      </c>
      <c r="H109" s="30">
        <f>H103-G103</f>
        <v>8.607</v>
      </c>
      <c r="J109" s="40">
        <f>J103-H103</f>
        <v>-0.07306402800000455</v>
      </c>
    </row>
    <row r="110">
      <c r="B110" s="7" t="s">
        <v>117</v>
      </c>
      <c r="C110" s="18">
        <v>28.353</v>
      </c>
      <c r="D110" s="18">
        <v>33.214</v>
      </c>
      <c r="E110" s="18">
        <v>35.342</v>
      </c>
      <c r="F110" s="30">
        <f>I110-SUM(C110:E110)</f>
        <v>33.66900000000001</v>
      </c>
      <c r="G110" s="18">
        <v>35.035</v>
      </c>
      <c r="H110" s="18">
        <v>44.678</v>
      </c>
      <c r="I110" s="18">
        <v>130.578</v>
      </c>
      <c r="J110" s="40">
        <f>J31*J111</f>
        <v>44.909967986</v>
      </c>
    </row>
    <row r="111">
      <c r="B111" s="28" t="s">
        <v>75</v>
      </c>
      <c r="C111" s="16">
        <f>C110/C31</f>
        <v>0.015482562527098443</v>
      </c>
      <c r="D111" s="16">
        <f>D110/D31</f>
        <v>0.01528261612768305</v>
      </c>
      <c r="E111" s="16">
        <f>E110/E31</f>
        <v>0.014419603022314847</v>
      </c>
      <c r="F111" s="16">
        <f>F110/F31</f>
        <v>0.012724167604221666</v>
      </c>
      <c r="G111" s="16">
        <f>G110/G31</f>
        <v>0.01222720438678659</v>
      </c>
      <c r="H111" s="16">
        <f>H110/H31</f>
        <v>0.01368117156246708</v>
      </c>
      <c r="I111" s="16">
        <f>I110/I31</f>
        <v>0.014346643643712163</v>
      </c>
      <c r="J111" s="65">
        <v>0.013</v>
      </c>
      <c r="L111" s="31" t="s">
        <v>118</v>
      </c>
    </row>
    <row r="112">
      <c r="B112" s="7" t="s">
        <v>76</v>
      </c>
      <c r="G112" s="42">
        <f>(G111-C111)*10000</f>
        <v>-32.55358140311852</v>
      </c>
      <c r="H112" s="42">
        <f>(H111-D111)*10000</f>
        <v>-16.0144456521597</v>
      </c>
      <c r="J112" s="54">
        <f>(J111-E111)*10000</f>
        <v>-14.196030223148481</v>
      </c>
    </row>
    <row r="113">
      <c r="B113" s="7" t="s">
        <v>77</v>
      </c>
      <c r="D113" s="42">
        <f>(D111-C111)*10000</f>
        <v>-1.9994639941539258</v>
      </c>
      <c r="E113" s="42">
        <f>(E111-D111)*10000</f>
        <v>-8.63013105368203</v>
      </c>
      <c r="F113" s="42">
        <f>(F111-E111)*10000</f>
        <v>-16.95435418093182</v>
      </c>
      <c r="G113" s="42">
        <f>(G111-F111)*10000</f>
        <v>-4.969632174350747</v>
      </c>
      <c r="H113" s="42">
        <f>(H111-G111)*10000</f>
        <v>14.539671756804896</v>
      </c>
      <c r="J113" s="54">
        <f>(J111-H111)*10000</f>
        <v>-6.811715624670811</v>
      </c>
    </row>
    <row r="114">
      <c r="B114" s="28" t="s">
        <v>73</v>
      </c>
      <c r="G114" s="16">
        <f>G110/C110-1</f>
        <v>0.23567171022466749</v>
      </c>
      <c r="H114" s="16">
        <f>H110/D110-1</f>
        <v>0.3451556572529655</v>
      </c>
      <c r="J114" s="59">
        <f>J110/E110-1</f>
        <v>0.2707251424933508</v>
      </c>
    </row>
    <row r="115">
      <c r="B115" s="7" t="s">
        <v>87</v>
      </c>
      <c r="G115" s="30">
        <f>G110-C110</f>
        <v>6.681999999999995</v>
      </c>
      <c r="H115" s="30">
        <f>H110-D110</f>
        <v>11.463999999999999</v>
      </c>
      <c r="J115" s="40">
        <f>J110-E110</f>
        <v>9.567967986</v>
      </c>
    </row>
    <row r="116">
      <c r="B116" s="7" t="s">
        <v>78</v>
      </c>
      <c r="D116" s="30">
        <f>D110-C110</f>
        <v>4.860999999999997</v>
      </c>
      <c r="E116" s="30">
        <f>E110-D110</f>
        <v>2.128</v>
      </c>
      <c r="F116" s="30">
        <f>F110-E110</f>
        <v>-1.6729999999999876</v>
      </c>
      <c r="G116" s="30">
        <f>G110-F110</f>
        <v>1.3659999999999854</v>
      </c>
      <c r="H116" s="30">
        <f>H110-G110</f>
        <v>9.643</v>
      </c>
      <c r="J116" s="40">
        <f>J110-H110</f>
        <v>0.2319679860000008</v>
      </c>
    </row>
    <row r="117">
      <c r="B117" s="7" t="s">
        <v>119</v>
      </c>
      <c r="C117" s="18">
        <v>32.994</v>
      </c>
      <c r="D117" s="18">
        <v>34.359</v>
      </c>
      <c r="E117" s="18">
        <v>35.072</v>
      </c>
      <c r="F117" s="30">
        <f>I117-SUM(C117:E117)</f>
        <v>40.68699999999998</v>
      </c>
      <c r="G117" s="18">
        <v>31.45</v>
      </c>
      <c r="H117" s="18">
        <v>41.364</v>
      </c>
      <c r="I117" s="18">
        <v>143.112</v>
      </c>
      <c r="J117" s="40">
        <f>J31-(J51+J58+J70+J77+J84+J96+J103+J110)</f>
        <v>44.90996798600054</v>
      </c>
      <c r="L117" s="31" t="s">
        <v>120</v>
      </c>
    </row>
    <row r="118">
      <c r="B118" s="28" t="s">
        <v>75</v>
      </c>
      <c r="C118" s="16">
        <f>C117/C31</f>
        <v>0.018016847177338764</v>
      </c>
      <c r="D118" s="16">
        <f>D117/D31</f>
        <v>0.015809460093065032</v>
      </c>
      <c r="E118" s="16">
        <f>E117/E31</f>
        <v>0.014309442510288789</v>
      </c>
      <c r="F118" s="16">
        <f>F117/F31</f>
        <v>0.015376405812853561</v>
      </c>
      <c r="G118" s="16">
        <f>G117/G31</f>
        <v>0.01097604047279687</v>
      </c>
      <c r="H118" s="16">
        <f>H117/H31</f>
        <v>0.01266636779869037</v>
      </c>
      <c r="I118" s="16">
        <f>I117/I31</f>
        <v>0.01572375794650657</v>
      </c>
      <c r="J118" s="59">
        <f>J117/J31</f>
        <v>0.013000000000000156</v>
      </c>
    </row>
    <row r="119">
      <c r="B119" s="7" t="s">
        <v>76</v>
      </c>
      <c r="G119" s="42">
        <f>(G118-C118)*10000</f>
        <v>-70.40806704541893</v>
      </c>
      <c r="H119" s="42">
        <f>(H118-D118)*10000</f>
        <v>-31.43092294374662</v>
      </c>
      <c r="J119" s="54">
        <f>(J118-E118)*10000</f>
        <v>-13.094425102886335</v>
      </c>
    </row>
    <row r="120">
      <c r="B120" s="7" t="s">
        <v>77</v>
      </c>
      <c r="D120" s="42">
        <f>(D118-C118)*10000</f>
        <v>-22.07387084273732</v>
      </c>
      <c r="E120" s="42">
        <f>(E118-D118)*10000</f>
        <v>-15.000175827762433</v>
      </c>
      <c r="F120" s="42">
        <f>(F118-E118)*10000</f>
        <v>10.669633025647725</v>
      </c>
      <c r="G120" s="42">
        <f>(G118-F118)*10000</f>
        <v>-44.00365340056691</v>
      </c>
      <c r="H120" s="42">
        <f>(H118-G118)*10000</f>
        <v>16.903273258935</v>
      </c>
      <c r="J120" s="54">
        <f>(J118-H118)*10000</f>
        <v>3.3363220130978517</v>
      </c>
    </row>
    <row r="121">
      <c r="B121" s="28" t="s">
        <v>73</v>
      </c>
      <c r="G121" s="16">
        <f>G117/C117-1</f>
        <v>-0.046796387221919145</v>
      </c>
      <c r="H121" s="16">
        <f>H117/D117-1</f>
        <v>0.2038767135248405</v>
      </c>
      <c r="J121" s="59">
        <f>J117/E117-1</f>
        <v>0.280507755075289</v>
      </c>
    </row>
    <row r="122">
      <c r="B122" s="7" t="s">
        <v>87</v>
      </c>
      <c r="G122" s="30">
        <f>G117-C117</f>
        <v>-1.5440000000000005</v>
      </c>
      <c r="H122" s="30">
        <f>H117-D117</f>
        <v>7.0049999999999955</v>
      </c>
      <c r="J122" s="40">
        <f>J117-E117</f>
        <v>9.837967986000535</v>
      </c>
    </row>
    <row r="123">
      <c r="B123" s="7" t="s">
        <v>78</v>
      </c>
      <c r="D123" s="30">
        <f>D117-C117</f>
        <v>1.365000000000002</v>
      </c>
      <c r="E123" s="30">
        <f>E117-D117</f>
        <v>0.713000000000001</v>
      </c>
      <c r="F123" s="30">
        <f>F117-E117</f>
        <v>5.614999999999981</v>
      </c>
      <c r="G123" s="30">
        <f>G117-F117</f>
        <v>-9.236999999999984</v>
      </c>
      <c r="H123" s="30">
        <f>H117-G117</f>
        <v>9.913999999999998</v>
      </c>
      <c r="J123" s="40">
        <f>J117-H117</f>
        <v>3.545967986000541</v>
      </c>
    </row>
    <row r="124">
      <c r="B124" s="5" t="s">
        <v>121</v>
      </c>
      <c r="C124" s="17">
        <f>C96+C103+C110+C117</f>
        <v>260.882</v>
      </c>
      <c r="D124" s="17">
        <f>D96+D103+D110+D117</f>
        <v>263.14099999999996</v>
      </c>
      <c r="E124" s="17">
        <f>E96+E103+E110+E117</f>
        <v>284.375</v>
      </c>
      <c r="F124" s="17">
        <f>F96+F103+F110+F117</f>
        <v>249.54099999999997</v>
      </c>
      <c r="G124" s="17">
        <f>G96+G103+G110+G117</f>
        <v>228.111</v>
      </c>
      <c r="H124" s="17">
        <f>H96+H103+H110+H117</f>
        <v>268.40299999999996</v>
      </c>
      <c r="I124" s="17">
        <f>I96+I103+I110+I117</f>
        <v>1057.939</v>
      </c>
      <c r="J124" s="63">
        <f>J96+J103+J110+J117</f>
        <v>269.4598079160005</v>
      </c>
    </row>
    <row r="125">
      <c r="B125" s="28" t="s">
        <v>75</v>
      </c>
      <c r="C125" s="16">
        <f>C124/C31</f>
        <v>0.14245835986295968</v>
      </c>
      <c r="D125" s="16">
        <f>D124/D31</f>
        <v>0.12107794575945821</v>
      </c>
      <c r="E125" s="16">
        <f>E124/E31</f>
        <v>0.1160255392867066</v>
      </c>
      <c r="F125" s="16">
        <f>F124/F31</f>
        <v>0.09430637999718071</v>
      </c>
      <c r="G125" s="16">
        <f>G124/G31</f>
        <v>0.07961066989793852</v>
      </c>
      <c r="H125" s="16">
        <f>H124/H31</f>
        <v>0.08218961213305993</v>
      </c>
      <c r="I125" s="16">
        <f>I124/I31</f>
        <v>0.11623607215446095</v>
      </c>
      <c r="J125" s="59">
        <f>J124/J31</f>
        <v>0.07800000000000014</v>
      </c>
    </row>
    <row r="126">
      <c r="B126" s="7" t="s">
        <v>76</v>
      </c>
      <c r="G126" s="42">
        <f>(G125-C125)*10000</f>
        <v>-628.4768996502116</v>
      </c>
      <c r="H126" s="42">
        <f>(H125-D125)*10000</f>
        <v>-388.88333626398276</v>
      </c>
      <c r="J126" s="54">
        <f>(J125-E125)*10000</f>
        <v>-380.2553928670646</v>
      </c>
    </row>
    <row r="127">
      <c r="B127" s="7" t="s">
        <v>77</v>
      </c>
      <c r="D127" s="42">
        <f>(D125-C125)*10000</f>
        <v>-213.8041410350147</v>
      </c>
      <c r="E127" s="42">
        <f>(E125-D125)*10000</f>
        <v>-50.52406472751611</v>
      </c>
      <c r="F127" s="42">
        <f>(F125-E125)*10000</f>
        <v>-217.1915928952589</v>
      </c>
      <c r="G127" s="42">
        <f>(G125-F125)*10000</f>
        <v>-146.95710099242186</v>
      </c>
      <c r="H127" s="42">
        <f>(H125-G125)*10000</f>
        <v>25.789422351214093</v>
      </c>
      <c r="J127" s="54">
        <f>(J125-H125)*10000</f>
        <v>-41.89612133059795</v>
      </c>
    </row>
    <row r="128">
      <c r="B128" s="28" t="s">
        <v>73</v>
      </c>
      <c r="G128" s="16">
        <f>G124/C124-1</f>
        <v>-0.12561617896213617</v>
      </c>
      <c r="H128" s="16">
        <f>H124/D124-1</f>
        <v>0.019996883799940024</v>
      </c>
      <c r="J128" s="59">
        <f>J124/E124-1</f>
        <v>-0.05244902710856969</v>
      </c>
    </row>
    <row r="129">
      <c r="B129" s="5" t="s">
        <v>122</v>
      </c>
      <c r="C129" s="17">
        <f>SUM(C51,C58,C70,C77,C84,C96,C103,C110,C117)</f>
        <v>1831.286</v>
      </c>
      <c r="D129" s="17">
        <f>SUM(D51,D58,D70,D77,D84,D96,D103,D110,D117)</f>
        <v>2173.319</v>
      </c>
      <c r="E129" s="17">
        <f>SUM(E51,E58,E70,E77,E84,E96,E103,E110,E117)</f>
        <v>2450.969</v>
      </c>
      <c r="F129" s="17">
        <f>SUM(F51,F58,F70,F77,F84,F96,F103,F110,F117)</f>
        <v>2646.0670000000005</v>
      </c>
      <c r="G129" s="17">
        <f>SUM(G51,G58,G70,G77,G84,G96,G103,G110,G117)</f>
        <v>2865.332</v>
      </c>
      <c r="H129" s="17">
        <f>SUM(H51,H58,H70,H77,H84,H96,H103,H110,H117)</f>
        <v>3265.656</v>
      </c>
      <c r="I129" s="17">
        <f>SUM(I51,I58,I70,I77,I84,I96,I103,I110,I117)</f>
        <v>9101.641</v>
      </c>
      <c r="J129" s="63">
        <f>SUM(J51,J58,J70,J77,J84,J96,J103,J110,J117)</f>
        <v>3454.6129220000007</v>
      </c>
    </row>
    <row r="130">
      <c r="B130" s="7" t="s">
        <v>123</v>
      </c>
      <c r="C130" s="30">
        <f>C129-C31</f>
        <v>0</v>
      </c>
      <c r="D130" s="30">
        <f>D129-D31</f>
        <v>0</v>
      </c>
      <c r="E130" s="30">
        <f>E129-E31</f>
        <v>0</v>
      </c>
      <c r="F130" s="30">
        <f>F129-F31</f>
        <v>0</v>
      </c>
      <c r="G130" s="30">
        <f>G129-G31</f>
        <v>0</v>
      </c>
      <c r="H130" s="30">
        <f>H129-H31</f>
        <v>0</v>
      </c>
      <c r="I130" s="30">
        <f>I129-I31</f>
        <v>0</v>
      </c>
      <c r="J130" s="40">
        <f>J129-J31</f>
        <v>0</v>
      </c>
    </row>
    <row r="131">
      <c r="J131" s="51"/>
    </row>
    <row r="132">
      <c r="B132" s="5" t="s">
        <v>124</v>
      </c>
      <c r="J132" s="51"/>
    </row>
    <row r="133">
      <c r="B133" s="7" t="s">
        <v>125</v>
      </c>
      <c r="C133" s="18">
        <v>1065.084</v>
      </c>
      <c r="D133" s="18">
        <v>1256.866</v>
      </c>
      <c r="E133" s="18">
        <v>1597.452</v>
      </c>
      <c r="F133" s="30">
        <f>I133-SUM(C133:E133)</f>
        <v>1833.384</v>
      </c>
      <c r="G133" s="18">
        <v>2133.494</v>
      </c>
      <c r="H133" s="18">
        <v>2454.064</v>
      </c>
      <c r="I133" s="18">
        <v>5752.786</v>
      </c>
      <c r="J133" s="40">
        <f>J31*J134</f>
        <v>2625.5058207200004</v>
      </c>
    </row>
    <row r="134">
      <c r="B134" s="28" t="s">
        <v>75</v>
      </c>
      <c r="C134" s="16">
        <f>C133/C31</f>
        <v>0.5816044025892187</v>
      </c>
      <c r="D134" s="16">
        <f>D133/D31</f>
        <v>0.5783163907369328</v>
      </c>
      <c r="E134" s="16">
        <f>E133/E31</f>
        <v>0.6517634453964942</v>
      </c>
      <c r="F134" s="16">
        <f>F133/F31</f>
        <v>0.6928713445275573</v>
      </c>
      <c r="G134" s="16">
        <f>G133/G31</f>
        <v>0.7445887596969567</v>
      </c>
      <c r="H134" s="16">
        <f>H133/H31</f>
        <v>0.7514765792845296</v>
      </c>
      <c r="I134" s="16">
        <f>I133/I31</f>
        <v>0.6320603064875884</v>
      </c>
      <c r="J134" s="65">
        <v>0.76</v>
      </c>
      <c r="L134" s="31" t="s">
        <v>126</v>
      </c>
    </row>
    <row r="135">
      <c r="B135" s="7" t="s">
        <v>76</v>
      </c>
      <c r="G135" s="42">
        <f>(G134-C134)*10000</f>
        <v>1629.8435710773795</v>
      </c>
      <c r="H135" s="42">
        <f>(H134-D134)*10000</f>
        <v>1731.6018854759684</v>
      </c>
      <c r="J135" s="54">
        <f>(J134-E134)*10000</f>
        <v>1082.3655460350578</v>
      </c>
    </row>
    <row r="136">
      <c r="B136" s="7" t="s">
        <v>77</v>
      </c>
      <c r="D136" s="42">
        <f>(D134-C134)*10000</f>
        <v>-32.88011852285999</v>
      </c>
      <c r="E136" s="42">
        <f>(E134-D134)*10000</f>
        <v>734.4705465956147</v>
      </c>
      <c r="F136" s="42">
        <f>(F134-E134)*10000</f>
        <v>411.0789913106305</v>
      </c>
      <c r="G136" s="42">
        <f>(G134-F134)*10000</f>
        <v>517.1741516939943</v>
      </c>
      <c r="H136" s="42">
        <f>(H134-G134)*10000</f>
        <v>68.87819587572896</v>
      </c>
      <c r="J136" s="54">
        <f>(J134-H134)*10000</f>
        <v>85.2342071547041</v>
      </c>
    </row>
    <row r="137">
      <c r="B137" s="28" t="s">
        <v>73</v>
      </c>
      <c r="G137" s="16">
        <f>G133/C133-1</f>
        <v>1.0031227583927653</v>
      </c>
      <c r="H137" s="16">
        <f>H133/D133-1</f>
        <v>0.9525263631922574</v>
      </c>
      <c r="J137" s="59">
        <f>J133/E133-1</f>
        <v>0.6435585048690042</v>
      </c>
    </row>
    <row r="138">
      <c r="B138" s="7" t="s">
        <v>87</v>
      </c>
      <c r="G138" s="30">
        <f>G133-C133</f>
        <v>1068.41</v>
      </c>
      <c r="H138" s="30">
        <f>H133-D133</f>
        <v>1197.1979999999999</v>
      </c>
      <c r="J138" s="40">
        <f>J133-E133</f>
        <v>1028.0538207200004</v>
      </c>
    </row>
    <row r="139">
      <c r="B139" s="7" t="s">
        <v>78</v>
      </c>
      <c r="D139" s="30">
        <f>D133-C133</f>
        <v>191.78199999999993</v>
      </c>
      <c r="E139" s="30">
        <f>E133-D133</f>
        <v>340.586</v>
      </c>
      <c r="F139" s="30">
        <f>F133-E133</f>
        <v>235.93200000000002</v>
      </c>
      <c r="G139" s="30">
        <f>G133-F133</f>
        <v>300.1100000000001</v>
      </c>
      <c r="H139" s="30">
        <f>H133-G133</f>
        <v>320.5699999999997</v>
      </c>
      <c r="J139" s="40">
        <f>J133-H133</f>
        <v>171.44182072000058</v>
      </c>
    </row>
    <row r="140">
      <c r="B140" s="7" t="s">
        <v>127</v>
      </c>
      <c r="C140" s="18">
        <v>492.603</v>
      </c>
      <c r="D140" s="18">
        <v>607.236</v>
      </c>
      <c r="E140" s="18">
        <v>527.139</v>
      </c>
      <c r="F140" s="30">
        <f>I140-SUM(C140:E140)</f>
        <v>491.38499999999976</v>
      </c>
      <c r="G140" s="18">
        <v>436.601</v>
      </c>
      <c r="H140" s="18">
        <v>483.469</v>
      </c>
      <c r="I140" s="18">
        <v>2118.363</v>
      </c>
      <c r="J140" s="40">
        <f>J31*J141</f>
        <v>483.6458090800001</v>
      </c>
    </row>
    <row r="141">
      <c r="B141" s="28" t="s">
        <v>75</v>
      </c>
      <c r="C141" s="16">
        <f>C140/C31</f>
        <v>0.26899293720369183</v>
      </c>
      <c r="D141" s="16">
        <f>D140/D31</f>
        <v>0.27940491018575736</v>
      </c>
      <c r="E141" s="16">
        <f>E140/E31</f>
        <v>0.2150737116626118</v>
      </c>
      <c r="F141" s="16">
        <f>F140/F31</f>
        <v>0.18570391452672957</v>
      </c>
      <c r="G141" s="16">
        <f>G140/G31</f>
        <v>0.15237361673970068</v>
      </c>
      <c r="H141" s="16">
        <f>H140/H31</f>
        <v>0.14804651806558927</v>
      </c>
      <c r="I141" s="16">
        <f>I140/I31</f>
        <v>0.2327451719970058</v>
      </c>
      <c r="J141" s="65">
        <v>0.14</v>
      </c>
      <c r="L141" s="31" t="s">
        <v>128</v>
      </c>
    </row>
    <row r="142">
      <c r="B142" s="7" t="s">
        <v>76</v>
      </c>
      <c r="G142" s="42">
        <f>(G141-C141)*10000</f>
        <v>-1166.1932046399115</v>
      </c>
      <c r="H142" s="42">
        <f>(H141-D141)*10000</f>
        <v>-1313.5839212016808</v>
      </c>
      <c r="J142" s="54">
        <f>(J141-E141)*10000</f>
        <v>-750.7371166261179</v>
      </c>
    </row>
    <row r="143">
      <c r="B143" s="7" t="s">
        <v>77</v>
      </c>
      <c r="D143" s="42">
        <f>(D141-C141)*10000</f>
        <v>104.11972982065532</v>
      </c>
      <c r="E143" s="42">
        <f>(E141-D141)*10000</f>
        <v>-643.3119852314557</v>
      </c>
      <c r="F143" s="42">
        <f>(F141-E141)*10000</f>
        <v>-293.69797135882226</v>
      </c>
      <c r="G143" s="42">
        <f>(G141-F141)*10000</f>
        <v>-333.30297787028894</v>
      </c>
      <c r="H143" s="42">
        <f>(H141-G141)*10000</f>
        <v>-43.27098674111407</v>
      </c>
      <c r="J143" s="54">
        <f>(J141-H141)*10000</f>
        <v>-80.46518065589258</v>
      </c>
    </row>
    <row r="144">
      <c r="B144" s="28" t="s">
        <v>73</v>
      </c>
      <c r="G144" s="16">
        <f>G140/C140-1</f>
        <v>-0.11368586874217168</v>
      </c>
      <c r="H144" s="16">
        <f>H140/D140-1</f>
        <v>-0.20382026098584405</v>
      </c>
      <c r="J144" s="59">
        <f>J140/E140-1</f>
        <v>-0.08250801196648305</v>
      </c>
    </row>
    <row r="145">
      <c r="B145" s="7" t="s">
        <v>87</v>
      </c>
      <c r="G145" s="30">
        <f>G140-C140</f>
        <v>-56.00200000000001</v>
      </c>
      <c r="H145" s="30">
        <f>H140-D140</f>
        <v>-123.767</v>
      </c>
      <c r="J145" s="40">
        <f>J140-E140</f>
        <v>-43.493190919999904</v>
      </c>
    </row>
    <row r="146">
      <c r="B146" s="7" t="s">
        <v>78</v>
      </c>
      <c r="D146" s="30">
        <f>D140-C140</f>
        <v>114.63299999999998</v>
      </c>
      <c r="E146" s="30">
        <f>E140-D140</f>
        <v>-80.09699999999998</v>
      </c>
      <c r="F146" s="30">
        <f>F140-E140</f>
        <v>-35.75400000000025</v>
      </c>
      <c r="G146" s="30">
        <f>G140-F140</f>
        <v>-54.783999999999764</v>
      </c>
      <c r="H146" s="30">
        <f>H140-G140</f>
        <v>46.867999999999995</v>
      </c>
      <c r="J146" s="40">
        <f>J140-H140</f>
        <v>0.17680908000011186</v>
      </c>
    </row>
    <row r="147">
      <c r="B147" s="5" t="s">
        <v>129</v>
      </c>
      <c r="C147" s="17">
        <f>C133+C140</f>
        <v>1557.6870000000001</v>
      </c>
      <c r="D147" s="17">
        <f>D133+D140</f>
        <v>1864.1019999999999</v>
      </c>
      <c r="E147" s="17">
        <f>E133+E140</f>
        <v>2124.591</v>
      </c>
      <c r="F147" s="17">
        <f>F133+F140</f>
        <v>2324.769</v>
      </c>
      <c r="G147" s="17">
        <f>G133+G140</f>
        <v>2570.0950000000003</v>
      </c>
      <c r="H147" s="17">
        <f>H133+H140</f>
        <v>2937.533</v>
      </c>
      <c r="I147" s="17">
        <f>I133+I140</f>
        <v>7871.148999999999</v>
      </c>
      <c r="J147" s="63">
        <f>J133+J140</f>
        <v>3109.1516298000006</v>
      </c>
    </row>
    <row r="148">
      <c r="B148" s="28" t="s">
        <v>75</v>
      </c>
      <c r="C148" s="16">
        <f>C147/C31</f>
        <v>0.8505973397929106</v>
      </c>
      <c r="D148" s="16">
        <f>D147/D31</f>
        <v>0.85772130092269</v>
      </c>
      <c r="E148" s="16">
        <f>E147/E31</f>
        <v>0.8668371570591059</v>
      </c>
      <c r="F148" s="16">
        <f>F147/F31</f>
        <v>0.8785752590542869</v>
      </c>
      <c r="G148" s="16">
        <f>G147/G31</f>
        <v>0.8969623764366573</v>
      </c>
      <c r="H148" s="16">
        <f>H147/H31</f>
        <v>0.8995230973501189</v>
      </c>
      <c r="I148" s="16">
        <f>I147/I31</f>
        <v>0.8648054784845941</v>
      </c>
      <c r="J148" s="59">
        <f>J147/J31</f>
        <v>0.9000000000000001</v>
      </c>
    </row>
    <row r="149">
      <c r="B149" s="7" t="s">
        <v>76</v>
      </c>
      <c r="G149" s="42">
        <f>(G148-C148)*10000</f>
        <v>463.6503664374669</v>
      </c>
      <c r="H149" s="42">
        <f>(H148-D148)*10000</f>
        <v>418.0179642742887</v>
      </c>
      <c r="J149" s="54">
        <f>(J148-E148)*10000</f>
        <v>331.6284294089422</v>
      </c>
    </row>
    <row r="150">
      <c r="B150" s="7" t="s">
        <v>77</v>
      </c>
      <c r="D150" s="42">
        <f>(D148-C148)*10000</f>
        <v>71.23961129779421</v>
      </c>
      <c r="E150" s="42">
        <f>(E148-D148)*10000</f>
        <v>91.15856136415856</v>
      </c>
      <c r="F150" s="42">
        <f>(F148-E148)*10000</f>
        <v>117.38101995180995</v>
      </c>
      <c r="G150" s="42">
        <f>(G148-F148)*10000</f>
        <v>183.87117382370423</v>
      </c>
      <c r="H150" s="42">
        <f>(H148-G148)*10000</f>
        <v>25.607209134616006</v>
      </c>
      <c r="J150" s="54">
        <f>(J148-H148)*10000</f>
        <v>4.769026498812057</v>
      </c>
    </row>
    <row r="151">
      <c r="B151" s="28" t="s">
        <v>73</v>
      </c>
      <c r="G151" s="16">
        <f>G147/C147-1</f>
        <v>0.6499431528927184</v>
      </c>
      <c r="H151" s="16">
        <f>H147/D147-1</f>
        <v>0.5758434892511248</v>
      </c>
      <c r="J151" s="59">
        <f>J147/E147-1</f>
        <v>0.4634118424675624</v>
      </c>
    </row>
    <row r="152">
      <c r="B152" s="7" t="s">
        <v>130</v>
      </c>
      <c r="C152" s="18">
        <v>119.214</v>
      </c>
      <c r="D152" s="18">
        <v>146.271</v>
      </c>
      <c r="E152" s="18">
        <v>150.383</v>
      </c>
      <c r="F152" s="30">
        <f>I152-SUM(C152:E152)</f>
        <v>152.97700000000003</v>
      </c>
      <c r="G152" s="18">
        <v>138.088</v>
      </c>
      <c r="H152" s="18">
        <v>144.742</v>
      </c>
      <c r="I152" s="18">
        <v>568.845</v>
      </c>
      <c r="J152" s="40">
        <f>J31*J153</f>
        <v>148.548355646</v>
      </c>
    </row>
    <row r="153">
      <c r="B153" s="28" t="s">
        <v>75</v>
      </c>
      <c r="C153" s="16">
        <f>C152/C31</f>
        <v>0.06509851546945698</v>
      </c>
      <c r="D153" s="16">
        <f>D152/D31</f>
        <v>0.06730305123177958</v>
      </c>
      <c r="E153" s="16">
        <f>E152/E31</f>
        <v>0.06135654918524062</v>
      </c>
      <c r="F153" s="16">
        <f>F152/F31</f>
        <v>0.05781297298972401</v>
      </c>
      <c r="G153" s="16">
        <f>G152/G31</f>
        <v>0.048192670168762296</v>
      </c>
      <c r="H153" s="16">
        <f>H152/H31</f>
        <v>0.04432248834537379</v>
      </c>
      <c r="I153" s="16">
        <f>I152/I31</f>
        <v>0.06249916910587883</v>
      </c>
      <c r="J153" s="65">
        <v>0.043</v>
      </c>
      <c r="L153" s="31" t="s">
        <v>112</v>
      </c>
    </row>
    <row r="154">
      <c r="B154" s="7" t="s">
        <v>76</v>
      </c>
      <c r="G154" s="42">
        <f>(G153-C153)*10000</f>
        <v>-169.05845300694688</v>
      </c>
      <c r="H154" s="42">
        <f>(H153-D153)*10000</f>
        <v>-229.80562886405792</v>
      </c>
      <c r="J154" s="54">
        <f>(J153-E153)*10000</f>
        <v>-183.5654918524062</v>
      </c>
    </row>
    <row r="155">
      <c r="B155" s="7" t="s">
        <v>77</v>
      </c>
      <c r="D155" s="42">
        <f>(D153-C153)*10000</f>
        <v>22.045357623226014</v>
      </c>
      <c r="E155" s="42">
        <f>(E153-D153)*10000</f>
        <v>-59.465020465389664</v>
      </c>
      <c r="F155" s="42">
        <f>(F153-E153)*10000</f>
        <v>-35.43576195516609</v>
      </c>
      <c r="G155" s="42">
        <f>(G153-F153)*10000</f>
        <v>-96.20302820961713</v>
      </c>
      <c r="H155" s="42">
        <f>(H153-G153)*10000</f>
        <v>-38.701818233885035</v>
      </c>
      <c r="J155" s="54">
        <f>(J153-H153)*10000</f>
        <v>-13.224883453737956</v>
      </c>
    </row>
    <row r="156">
      <c r="B156" s="28" t="s">
        <v>73</v>
      </c>
      <c r="G156" s="16">
        <f>G152/C152-1</f>
        <v>0.15832033150468905</v>
      </c>
      <c r="H156" s="16">
        <f>H152/D152-1</f>
        <v>-0.010453199882410003</v>
      </c>
      <c r="J156" s="59">
        <f>J152/E152-1</f>
        <v>-0.012199812172918545</v>
      </c>
    </row>
    <row r="157">
      <c r="B157" s="7" t="s">
        <v>87</v>
      </c>
      <c r="G157" s="30">
        <f>G152-C152</f>
        <v>18.873999999999995</v>
      </c>
      <c r="H157" s="30">
        <f>H152-D152</f>
        <v>-1.5289999999999964</v>
      </c>
      <c r="J157" s="40">
        <f>J152-E152</f>
        <v>-1.8346443540000053</v>
      </c>
    </row>
    <row r="158">
      <c r="B158" s="7" t="s">
        <v>78</v>
      </c>
      <c r="D158" s="30">
        <f>D152-C152</f>
        <v>27.056999999999988</v>
      </c>
      <c r="E158" s="30">
        <f>E152-D152</f>
        <v>4.112000000000023</v>
      </c>
      <c r="F158" s="30">
        <f>F152-E152</f>
        <v>2.5940000000000225</v>
      </c>
      <c r="G158" s="30">
        <f>G152-F152</f>
        <v>-14.889000000000038</v>
      </c>
      <c r="H158" s="30">
        <f>H152-G152</f>
        <v>6.653999999999996</v>
      </c>
      <c r="J158" s="40">
        <f>J152-H152</f>
        <v>3.8063556460000143</v>
      </c>
    </row>
    <row r="159">
      <c r="B159" s="7" t="s">
        <v>131</v>
      </c>
      <c r="C159" s="18">
        <v>154.385</v>
      </c>
      <c r="D159" s="18">
        <v>162.946</v>
      </c>
      <c r="E159" s="18">
        <v>175.995</v>
      </c>
      <c r="F159" s="30">
        <f>I159-SUM(C159:E159)</f>
        <v>168.32100000000003</v>
      </c>
      <c r="G159" s="18">
        <v>157.149</v>
      </c>
      <c r="H159" s="18">
        <v>183.381</v>
      </c>
      <c r="I159" s="18">
        <v>661.647</v>
      </c>
      <c r="J159" s="40">
        <f>J31-(J133+J140+J152)</f>
        <v>196.91293655399977</v>
      </c>
      <c r="L159" s="31" t="s">
        <v>120</v>
      </c>
    </row>
    <row r="160">
      <c r="B160" s="28" t="s">
        <v>75</v>
      </c>
      <c r="C160" s="16">
        <f>C159/C31</f>
        <v>0.08430414473763245</v>
      </c>
      <c r="D160" s="16">
        <f>D159/D31</f>
        <v>0.07497564784553026</v>
      </c>
      <c r="E160" s="16">
        <f>E159/E31</f>
        <v>0.07180629375565338</v>
      </c>
      <c r="F160" s="16">
        <f>F159/F31</f>
        <v>0.06361176795598902</v>
      </c>
      <c r="G160" s="16">
        <f>G159/G31</f>
        <v>0.054844953394580453</v>
      </c>
      <c r="H160" s="16">
        <f>H159/H31</f>
        <v>0.05615441430450727</v>
      </c>
      <c r="I160" s="16">
        <f>I159/I31</f>
        <v>0.07269535240952704</v>
      </c>
      <c r="J160" s="59">
        <f>J159/J31</f>
        <v>0.05699999999999993</v>
      </c>
    </row>
    <row r="161">
      <c r="B161" s="7" t="s">
        <v>76</v>
      </c>
      <c r="G161" s="42">
        <f>(G160-C160)*10000</f>
        <v>-294.59191343052</v>
      </c>
      <c r="H161" s="42">
        <f>(H160-D160)*10000</f>
        <v>-188.2123354102299</v>
      </c>
      <c r="J161" s="54">
        <f>(J160-E160)*10000</f>
        <v>-148.06293755653448</v>
      </c>
    </row>
    <row r="162">
      <c r="B162" s="7" t="s">
        <v>77</v>
      </c>
      <c r="D162" s="42">
        <f>(D160-C160)*10000</f>
        <v>-93.2849689210219</v>
      </c>
      <c r="E162" s="42">
        <f>(E160-D160)*10000</f>
        <v>-31.69354089876883</v>
      </c>
      <c r="F162" s="42">
        <f>(F160-E160)*10000</f>
        <v>-81.94525799664356</v>
      </c>
      <c r="G162" s="42">
        <f>(G160-F160)*10000</f>
        <v>-87.6681456140857</v>
      </c>
      <c r="H162" s="42">
        <f>(H160-G160)*10000</f>
        <v>13.094609099268197</v>
      </c>
      <c r="J162" s="54">
        <f>(J160-H160)*10000</f>
        <v>8.455856954926594</v>
      </c>
    </row>
    <row r="163">
      <c r="B163" s="28" t="s">
        <v>73</v>
      </c>
      <c r="G163" s="16">
        <f>G159/C159-1</f>
        <v>0.017903293713767532</v>
      </c>
      <c r="H163" s="16">
        <f>H159/D159-1</f>
        <v>0.12540964491303863</v>
      </c>
      <c r="J163" s="59">
        <f>J159/E159-1</f>
        <v>0.11885528880933993</v>
      </c>
    </row>
    <row r="164">
      <c r="B164" s="7" t="s">
        <v>87</v>
      </c>
      <c r="G164" s="30">
        <f>G159-C159</f>
        <v>2.76400000000001</v>
      </c>
      <c r="H164" s="30">
        <f>H159-D159</f>
        <v>20.435000000000002</v>
      </c>
      <c r="J164" s="40">
        <f>J159-E159</f>
        <v>20.917936553999766</v>
      </c>
    </row>
    <row r="165">
      <c r="B165" s="7" t="s">
        <v>78</v>
      </c>
      <c r="D165" s="30">
        <f>D159-C159</f>
        <v>8.561000000000007</v>
      </c>
      <c r="E165" s="30">
        <f>E159-D159</f>
        <v>13.049000000000007</v>
      </c>
      <c r="F165" s="30">
        <f>F159-E159</f>
        <v>-7.673999999999978</v>
      </c>
      <c r="G165" s="30">
        <f>G159-F159</f>
        <v>-11.172000000000025</v>
      </c>
      <c r="H165" s="30">
        <f>H159-G159</f>
        <v>26.232</v>
      </c>
      <c r="J165" s="40">
        <f>J159-H159</f>
        <v>13.53193655399977</v>
      </c>
    </row>
    <row r="166">
      <c r="B166" s="5" t="s">
        <v>132</v>
      </c>
      <c r="C166" s="17">
        <f>C152+C159</f>
        <v>273.599</v>
      </c>
      <c r="D166" s="17">
        <f>D152+D159</f>
        <v>309.217</v>
      </c>
      <c r="E166" s="17">
        <f>E152+E159</f>
        <v>326.37800000000004</v>
      </c>
      <c r="F166" s="17">
        <f>F152+F159</f>
        <v>321.29800000000006</v>
      </c>
      <c r="G166" s="17">
        <f>G152+G159</f>
        <v>295.23699999999997</v>
      </c>
      <c r="H166" s="17">
        <f>H152+H159</f>
        <v>328.123</v>
      </c>
      <c r="I166" s="17">
        <f>I152+I159</f>
        <v>1230.4920000000002</v>
      </c>
      <c r="J166" s="63">
        <f>J152+J159</f>
        <v>345.4612921999998</v>
      </c>
    </row>
    <row r="167">
      <c r="B167" s="28" t="s">
        <v>75</v>
      </c>
      <c r="C167" s="16">
        <f>C166/C31</f>
        <v>0.14940266020708942</v>
      </c>
      <c r="D167" s="16">
        <f>D166/D31</f>
        <v>0.14227869907730986</v>
      </c>
      <c r="E167" s="16">
        <f>E166/E31</f>
        <v>0.133162842940894</v>
      </c>
      <c r="F167" s="16">
        <f>F166/F31</f>
        <v>0.12142474094571304</v>
      </c>
      <c r="G167" s="16">
        <f>G166/G31</f>
        <v>0.10303762356334274</v>
      </c>
      <c r="H167" s="16">
        <f>H166/H31</f>
        <v>0.10047690264988106</v>
      </c>
      <c r="I167" s="16">
        <f>I166/I31</f>
        <v>0.13519452151540587</v>
      </c>
      <c r="J167" s="59">
        <f>J166/J31</f>
        <v>0.09999999999999992</v>
      </c>
    </row>
    <row r="168">
      <c r="B168" s="7" t="s">
        <v>76</v>
      </c>
      <c r="G168" s="42">
        <f>(G167-C167)*10000</f>
        <v>-463.6503664374668</v>
      </c>
      <c r="H168" s="42">
        <f>(H167-D167)*10000</f>
        <v>-418.01796427428803</v>
      </c>
      <c r="J168" s="54">
        <f>(J167-E167)*10000</f>
        <v>-331.6284294089408</v>
      </c>
    </row>
    <row r="169">
      <c r="B169" s="7" t="s">
        <v>77</v>
      </c>
      <c r="D169" s="42">
        <f>(D167-C167)*10000</f>
        <v>-71.2396112977956</v>
      </c>
      <c r="E169" s="42">
        <f>(E167-D167)*10000</f>
        <v>-91.15856136415856</v>
      </c>
      <c r="F169" s="42">
        <f>(F167-E167)*10000</f>
        <v>-117.38101995180966</v>
      </c>
      <c r="G169" s="42">
        <f>(G167-F167)*10000</f>
        <v>-183.87117382370297</v>
      </c>
      <c r="H169" s="42">
        <f>(H167-G167)*10000</f>
        <v>-25.607209134616838</v>
      </c>
      <c r="J169" s="54">
        <f>(J167-H167)*10000</f>
        <v>-4.769026498811363</v>
      </c>
    </row>
    <row r="170">
      <c r="B170" s="28" t="s">
        <v>73</v>
      </c>
      <c r="G170" s="16">
        <f>G166/C166-1</f>
        <v>0.07908654636895585</v>
      </c>
      <c r="H170" s="16">
        <f>H166/D166-1</f>
        <v>0.061141528441191806</v>
      </c>
      <c r="J170" s="59">
        <f>J166/E166-1</f>
        <v>0.05846990973656241</v>
      </c>
    </row>
    <row r="171">
      <c r="B171" s="5" t="s">
        <v>133</v>
      </c>
      <c r="C171" s="17">
        <f>SUM(C133,C140,C152,C159)</f>
        <v>1831.286</v>
      </c>
      <c r="D171" s="17">
        <f>SUM(D133,D140,D152,D159)</f>
        <v>2173.319</v>
      </c>
      <c r="E171" s="17">
        <f>SUM(E133,E140,E152,E159)</f>
        <v>2450.969</v>
      </c>
      <c r="F171" s="17">
        <f>SUM(F133,F140,F152,F159)</f>
        <v>2646.067</v>
      </c>
      <c r="G171" s="17">
        <f>SUM(G133,G140,G152,G159)</f>
        <v>2865.3320000000003</v>
      </c>
      <c r="H171" s="17">
        <f>SUM(H133,H140,H152,H159)</f>
        <v>3265.656</v>
      </c>
      <c r="I171" s="17">
        <f>SUM(I133,I140,I152,I159)</f>
        <v>9101.641</v>
      </c>
      <c r="J171" s="63">
        <f>SUM(J133,J140,J152,J159)</f>
        <v>3454.6129220000003</v>
      </c>
    </row>
    <row r="172">
      <c r="B172" s="7" t="s">
        <v>123</v>
      </c>
      <c r="C172" s="30">
        <f>C171-C31</f>
        <v>0</v>
      </c>
      <c r="D172" s="30">
        <f>D171-D31</f>
        <v>0</v>
      </c>
      <c r="E172" s="30">
        <f>E171-E31</f>
        <v>0</v>
      </c>
      <c r="F172" s="30">
        <f>F171-F31</f>
        <v>0</v>
      </c>
      <c r="G172" s="30">
        <f>G171-G31</f>
        <v>0</v>
      </c>
      <c r="H172" s="30">
        <f>H171-H31</f>
        <v>0</v>
      </c>
      <c r="I172" s="30">
        <f>I171-I31</f>
        <v>0</v>
      </c>
      <c r="J172" s="40">
        <f>J171-J31</f>
        <v>0</v>
      </c>
    </row>
    <row r="173">
      <c r="J173" s="51"/>
    </row>
    <row r="174">
      <c r="B174" s="5" t="s">
        <v>134</v>
      </c>
      <c r="J174" s="51"/>
    </row>
    <row r="175">
      <c r="B175" s="7" t="s">
        <v>135</v>
      </c>
      <c r="C175" s="4">
        <f>'Segment - Mechanical'!C19</f>
        <v>5205.745</v>
      </c>
      <c r="D175" s="4">
        <f>'Segment - Mechanical'!D19</f>
        <v>5814.217</v>
      </c>
      <c r="E175" s="4">
        <f>'Segment - Mechanical'!E19</f>
        <v>6790.316</v>
      </c>
      <c r="F175" s="4">
        <f>'Segment - Mechanical'!F19</f>
        <v>9026.661</v>
      </c>
      <c r="G175" s="4">
        <f>'Segment - Mechanical'!G19</f>
        <v>9593.241</v>
      </c>
      <c r="H175" s="4">
        <f>'Segment - Mechanical'!H19</f>
        <v>10058.662</v>
      </c>
      <c r="I175" s="4">
        <f>'Segment - Mechanical'!I19</f>
        <v>9026.661</v>
      </c>
      <c r="J175" s="64">
        <f>'Segment - Mechanical'!J19</f>
        <v>10296.046423200001</v>
      </c>
    </row>
    <row r="176">
      <c r="B176" s="7" t="s">
        <v>136</v>
      </c>
      <c r="C176" s="4">
        <f>'Segment - Electrical'!C19</f>
        <v>1683.073</v>
      </c>
      <c r="D176" s="4">
        <f>'Segment - Electrical'!D19</f>
        <v>2309.491</v>
      </c>
      <c r="E176" s="4">
        <f>'Segment - Electrical'!E19</f>
        <v>2586.522</v>
      </c>
      <c r="F176" s="4">
        <f>'Segment - Electrical'!F19</f>
        <v>2917.94</v>
      </c>
      <c r="G176" s="4">
        <f>'Segment - Electrical'!G19</f>
        <v>2861.485</v>
      </c>
      <c r="H176" s="4">
        <f>'Segment - Electrical'!H19</f>
        <v>4002.847</v>
      </c>
      <c r="I176" s="4">
        <f>'Segment - Electrical'!I19</f>
        <v>2917.94</v>
      </c>
      <c r="J176" s="64">
        <f>'Segment - Electrical'!J19</f>
        <v>4110.923869000001</v>
      </c>
    </row>
    <row r="177">
      <c r="B177" s="5" t="s">
        <v>137</v>
      </c>
      <c r="C177" s="17">
        <f>C175+C176</f>
        <v>6888.818</v>
      </c>
      <c r="D177" s="17">
        <f>D175+D176</f>
        <v>8123.708</v>
      </c>
      <c r="E177" s="17">
        <f>E175+E176</f>
        <v>9376.838</v>
      </c>
      <c r="F177" s="17">
        <f>F175+F176</f>
        <v>11944.601</v>
      </c>
      <c r="G177" s="17">
        <f>G175+G176</f>
        <v>12454.726</v>
      </c>
      <c r="H177" s="17">
        <f>H175+H176</f>
        <v>14061.509</v>
      </c>
      <c r="I177" s="17">
        <f>I175+I176</f>
        <v>11944.601</v>
      </c>
      <c r="J177" s="63">
        <f>J175+J176</f>
        <v>14406.970292200003</v>
      </c>
    </row>
    <row r="178">
      <c r="B178" s="28" t="s">
        <v>73</v>
      </c>
      <c r="G178" s="16">
        <f>G177/C177-1</f>
        <v>0.8079627012936037</v>
      </c>
      <c r="H178" s="16">
        <f>H177/D177-1</f>
        <v>0.7309225048463093</v>
      </c>
      <c r="J178" s="59">
        <f>J177/E177-1</f>
        <v>0.536442273205531</v>
      </c>
    </row>
    <row r="179">
      <c r="B179" s="28" t="s">
        <v>74</v>
      </c>
      <c r="D179" s="16">
        <f>D177/C177-1</f>
        <v>0.17926007045040238</v>
      </c>
      <c r="E179" s="16">
        <f>E177/D177-1</f>
        <v>0.15425591367882752</v>
      </c>
      <c r="F179" s="16">
        <f>F177/E177-1</f>
        <v>0.2738410325527647</v>
      </c>
      <c r="G179" s="16">
        <f>G177/F177-1</f>
        <v>0.042707579767628845</v>
      </c>
      <c r="H179" s="16">
        <f>H177/G177-1</f>
        <v>0.1290099035498653</v>
      </c>
      <c r="J179" s="59">
        <f>J177/H177-1</f>
        <v>0.024567867659154086</v>
      </c>
    </row>
    <row r="180">
      <c r="B180" s="7" t="s">
        <v>78</v>
      </c>
      <c r="D180" s="30">
        <f>D177-C177</f>
        <v>1234.8899999999994</v>
      </c>
      <c r="E180" s="30">
        <f>E177-D177</f>
        <v>1253.13</v>
      </c>
      <c r="F180" s="30">
        <f>F177-E177</f>
        <v>2567.763000000001</v>
      </c>
      <c r="G180" s="30">
        <f>G177-F177</f>
        <v>510.125</v>
      </c>
      <c r="H180" s="30">
        <f>H177-G177</f>
        <v>1606.7829999999994</v>
      </c>
      <c r="J180" s="40">
        <f>J177-H177</f>
        <v>345.4612922000033</v>
      </c>
    </row>
    <row r="181">
      <c r="B181" s="5" t="s">
        <v>138</v>
      </c>
      <c r="C181" s="84">
        <f>'Segment - Mechanical'!C15+'Segment - Electrical'!C15</f>
        <v>2678.838</v>
      </c>
      <c r="D181" s="84">
        <f>'Segment - Mechanical'!D15+'Segment - Electrical'!D15</f>
        <v>3270.609</v>
      </c>
      <c r="E181" s="84">
        <f>'Segment - Mechanical'!E15+'Segment - Electrical'!E15</f>
        <v>3704.099</v>
      </c>
      <c r="F181" s="84">
        <f>'Segment - Mechanical'!F15+'Segment - Electrical'!F15</f>
        <v>5050.43</v>
      </c>
      <c r="G181" s="84">
        <f>'Segment - Mechanical'!G15+'Segment - Electrical'!G15</f>
        <v>3375.457</v>
      </c>
      <c r="H181" s="84">
        <f>'Segment - Mechanical'!H15+'Segment - Electrical'!H15</f>
        <v>4655.039000000001</v>
      </c>
      <c r="I181" s="84">
        <f>'Segment - Mechanical'!I15+'Segment - Electrical'!I15</f>
        <v>14703.976</v>
      </c>
      <c r="J181" s="88">
        <f>'Segment - Mechanical'!J15+'Segment - Electrical'!J15</f>
        <v>3800.0742142000004</v>
      </c>
    </row>
    <row r="182">
      <c r="B182" s="7" t="s">
        <v>87</v>
      </c>
      <c r="G182" s="30">
        <f>G181-C181</f>
        <v>696.6189999999997</v>
      </c>
      <c r="H182" s="30">
        <f>H181-D181</f>
        <v>1384.4300000000007</v>
      </c>
      <c r="J182" s="40">
        <f>J181-E181</f>
        <v>95.97521420000021</v>
      </c>
    </row>
    <row r="183">
      <c r="B183" s="7" t="s">
        <v>78</v>
      </c>
      <c r="D183" s="30">
        <f>D181-C181</f>
        <v>591.7709999999997</v>
      </c>
      <c r="E183" s="30">
        <f>E181-D181</f>
        <v>433.49000000000024</v>
      </c>
      <c r="F183" s="30">
        <f>F181-E181</f>
        <v>1346.3310000000001</v>
      </c>
      <c r="G183" s="30">
        <f>G181-F181</f>
        <v>-1674.9730000000004</v>
      </c>
      <c r="H183" s="30">
        <f>H181-G181</f>
        <v>1279.5820000000008</v>
      </c>
      <c r="J183" s="40">
        <f>J181-H181</f>
        <v>-854.9647858000003</v>
      </c>
    </row>
    <row r="184">
      <c r="B184" s="7" t="s">
        <v>139</v>
      </c>
      <c r="C184" s="66">
        <f>C181/C31</f>
        <v>1.4628179323164159</v>
      </c>
      <c r="D184" s="66">
        <f>D181/D31</f>
        <v>1.5048913666148411</v>
      </c>
      <c r="E184" s="66">
        <f>E181/E31</f>
        <v>1.5112794164267276</v>
      </c>
      <c r="F184" s="66">
        <f>F181/F31</f>
        <v>1.908655374183647</v>
      </c>
      <c r="G184" s="66">
        <f>G181/G31</f>
        <v>1.1780334704669477</v>
      </c>
      <c r="H184" s="66">
        <f>H181/H31</f>
        <v>1.425452956465715</v>
      </c>
      <c r="I184" s="66">
        <f>I181/I31</f>
        <v>1.6155302104312839</v>
      </c>
      <c r="J184" s="79">
        <f>J181/J31</f>
        <v>1.1</v>
      </c>
    </row>
    <row r="185">
      <c r="B185" s="7" t="s">
        <v>140</v>
      </c>
      <c r="G185" s="66">
        <f>G184-C184</f>
        <v>-0.28478446184946815</v>
      </c>
      <c r="H185" s="66">
        <f>H184-D184</f>
        <v>-0.07943841014912612</v>
      </c>
      <c r="J185" s="79">
        <f>J184-E184</f>
        <v>-0.4112794164267275</v>
      </c>
    </row>
    <row r="186">
      <c r="B186" s="7" t="s">
        <v>141</v>
      </c>
      <c r="D186" s="66">
        <f>D184-C184</f>
        <v>0.04207343429842525</v>
      </c>
      <c r="E186" s="66">
        <f>E184-D184</f>
        <v>0.006388049811886454</v>
      </c>
      <c r="F186" s="66">
        <f>F184-E184</f>
        <v>0.39737595775691936</v>
      </c>
      <c r="G186" s="66">
        <f>G184-F184</f>
        <v>-0.7306219037166992</v>
      </c>
      <c r="H186" s="66">
        <f>H184-G184</f>
        <v>0.24741948599876729</v>
      </c>
      <c r="J186" s="79">
        <f>J184-H184</f>
        <v>-0.3254529564657149</v>
      </c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L10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2" customWidth="1"/>
    <col min="12" max="12" width="60" customWidth="1"/>
  </cols>
  <sheetData>
    <row r="1">
      <c r="B1" s="33" t="s">
        <v>0</v>
      </c>
    </row>
    <row r="2">
      <c r="B2" s="35" t="s">
        <v>142</v>
      </c>
    </row>
    <row r="3">
      <c r="B3" s="27" t="s">
        <v>2</v>
      </c>
    </row>
    <row r="4">
      <c r="B4" s="32" t="s">
        <v>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12" t="s">
        <v>70</v>
      </c>
      <c r="J4" s="12" t="s">
        <v>4</v>
      </c>
    </row>
    <row r="5">
      <c r="B5" s="19" t="s">
        <v>5</v>
      </c>
      <c r="C5" s="20">
        <f>DATE(2025,3,31)</f>
        <v>45747</v>
      </c>
      <c r="D5" s="20">
        <f>DATE(2025,6,30)</f>
        <v>45838</v>
      </c>
      <c r="E5" s="20">
        <f>DATE(2025,9,30)</f>
        <v>45930</v>
      </c>
      <c r="F5" s="20">
        <f>DATE(2025,12,31)</f>
        <v>46022</v>
      </c>
      <c r="G5" s="20">
        <f>DATE(2026,3,31)</f>
        <v>46112</v>
      </c>
      <c r="H5" s="20">
        <f>DATE(2026,6,30)</f>
        <v>46203</v>
      </c>
      <c r="I5" s="20">
        <f>DATE(2025,12,31)</f>
        <v>46022</v>
      </c>
      <c r="J5" s="20">
        <f>DATE(2026,9,30)</f>
        <v>46295</v>
      </c>
    </row>
    <row r="6">
      <c r="B6" s="29" t="s">
        <v>6</v>
      </c>
      <c r="C6" s="14">
        <f>C5-EOMONTH(C5,-3)</f>
        <v>90</v>
      </c>
      <c r="D6" s="14">
        <f>D5-EOMONTH(D5,-3)</f>
        <v>91</v>
      </c>
      <c r="E6" s="14">
        <f>E5-EOMONTH(E5,-3)</f>
        <v>92</v>
      </c>
      <c r="F6" s="14">
        <f>F5-EOMONTH(F5,-3)</f>
        <v>92</v>
      </c>
      <c r="G6" s="14">
        <f>G5-EOMONTH(G5,-3)</f>
        <v>90</v>
      </c>
      <c r="H6" s="14">
        <f>H5-EOMONTH(H5,-3)</f>
        <v>91</v>
      </c>
      <c r="I6" s="14">
        <f>I5-EOMONTH(I5,-12)</f>
        <v>365</v>
      </c>
      <c r="J6" s="14">
        <f>J5-EOMONTH(J5,-3)</f>
        <v>92</v>
      </c>
    </row>
    <row r="8">
      <c r="B8" s="5" t="s">
        <v>143</v>
      </c>
      <c r="J8" s="51"/>
    </row>
    <row r="9">
      <c r="B9" s="7" t="s">
        <v>144</v>
      </c>
      <c r="C9" s="18">
        <v>4687.619</v>
      </c>
      <c r="D9" s="30">
        <f>C19</f>
        <v>5205.745</v>
      </c>
      <c r="E9" s="30">
        <f>D19</f>
        <v>5814.217</v>
      </c>
      <c r="F9" s="30">
        <f>E19</f>
        <v>6790.316</v>
      </c>
      <c r="G9" s="30">
        <f>F19</f>
        <v>9026.661</v>
      </c>
      <c r="H9" s="30">
        <f>G19</f>
        <v>9593.241</v>
      </c>
      <c r="I9" s="30">
        <f>C9</f>
        <v>4687.619</v>
      </c>
      <c r="J9" s="40">
        <f>H19</f>
        <v>10058.662</v>
      </c>
    </row>
    <row r="10">
      <c r="B10" s="7" t="s">
        <v>87</v>
      </c>
      <c r="G10" s="30">
        <f>G9-C9</f>
        <v>4339.042</v>
      </c>
      <c r="H10" s="30">
        <f>H9-D9</f>
        <v>4387.496</v>
      </c>
      <c r="J10" s="40">
        <f>J9-E9</f>
        <v>4244.445000000001</v>
      </c>
    </row>
    <row r="11">
      <c r="B11" s="7" t="s">
        <v>78</v>
      </c>
      <c r="D11" s="30">
        <f>D9-C9</f>
        <v>518.1260000000002</v>
      </c>
      <c r="E11" s="30">
        <f>E9-D9</f>
        <v>608.4719999999998</v>
      </c>
      <c r="F11" s="30">
        <f>F9-E9</f>
        <v>976.0990000000002</v>
      </c>
      <c r="G11" s="30">
        <f>G9-F9</f>
        <v>2236.3450000000003</v>
      </c>
      <c r="H11" s="30">
        <f>H9-G9</f>
        <v>566.5799999999999</v>
      </c>
      <c r="J11" s="40">
        <f>J9-H9</f>
        <v>465.4210000000003</v>
      </c>
    </row>
    <row r="12">
      <c r="B12" s="7" t="s">
        <v>145</v>
      </c>
      <c r="C12" s="18">
        <v>47.3</v>
      </c>
      <c r="D12" s="18">
        <v>137.6</v>
      </c>
      <c r="E12" s="18">
        <v>0</v>
      </c>
      <c r="F12" s="18">
        <v>0</v>
      </c>
      <c r="G12" s="18">
        <v>0</v>
      </c>
      <c r="H12" s="18">
        <v>0</v>
      </c>
      <c r="I12" s="30">
        <f>SUM(C12:F12)</f>
        <v>184.9</v>
      </c>
      <c r="J12" s="48">
        <v>0</v>
      </c>
      <c r="L12" s="31" t="s">
        <v>146</v>
      </c>
    </row>
    <row r="13">
      <c r="B13" s="7" t="s">
        <v>87</v>
      </c>
      <c r="G13" s="30">
        <f>G12-C12</f>
        <v>-47.3</v>
      </c>
      <c r="H13" s="30">
        <f>H12-D12</f>
        <v>-137.6</v>
      </c>
      <c r="J13" s="40">
        <f>J12-E12</f>
        <v>0</v>
      </c>
    </row>
    <row r="14">
      <c r="B14" s="7" t="s">
        <v>78</v>
      </c>
      <c r="D14" s="30">
        <f>D12-C12</f>
        <v>90.3</v>
      </c>
      <c r="E14" s="30">
        <f>E12-D12</f>
        <v>-137.6</v>
      </c>
      <c r="F14" s="30">
        <f>F12-E12</f>
        <v>0</v>
      </c>
      <c r="G14" s="30">
        <f>G12-F12</f>
        <v>0</v>
      </c>
      <c r="H14" s="30">
        <f>H12-G12</f>
        <v>0</v>
      </c>
      <c r="J14" s="40">
        <f>J12-H12</f>
        <v>0</v>
      </c>
    </row>
    <row r="15">
      <c r="B15" s="7" t="s">
        <v>147</v>
      </c>
      <c r="C15" s="30">
        <f>C19-C9-C12+C38</f>
        <v>1873.0410000000002</v>
      </c>
      <c r="D15" s="30">
        <f>D19-D9-D12+D38</f>
        <v>2109.544</v>
      </c>
      <c r="E15" s="30">
        <f>E19-E9-E12+E38</f>
        <v>2786.561</v>
      </c>
      <c r="F15" s="30">
        <f>F19-F9-F12+F38</f>
        <v>4058.741</v>
      </c>
      <c r="G15" s="30">
        <f>G19-G9-G12+G38</f>
        <v>2627.2019999999998</v>
      </c>
      <c r="H15" s="30">
        <f>H19-H9-H12+H38</f>
        <v>2762.088</v>
      </c>
      <c r="I15" s="30">
        <f>SUM(C15:F15)</f>
        <v>10827.887</v>
      </c>
      <c r="J15" s="40">
        <f>J38*J33</f>
        <v>2611.2286552</v>
      </c>
      <c r="L15" s="31" t="s">
        <v>148</v>
      </c>
    </row>
    <row r="16">
      <c r="B16" s="7" t="s">
        <v>87</v>
      </c>
      <c r="G16" s="30">
        <f>G15-C15</f>
        <v>754.1609999999996</v>
      </c>
      <c r="H16" s="30">
        <f>H15-D15</f>
        <v>652.5440000000003</v>
      </c>
      <c r="J16" s="40">
        <f>J15-E15</f>
        <v>-175.3323448000001</v>
      </c>
    </row>
    <row r="17">
      <c r="B17" s="7" t="s">
        <v>78</v>
      </c>
      <c r="D17" s="30">
        <f>D15-C15</f>
        <v>236.5029999999997</v>
      </c>
      <c r="E17" s="30">
        <f>E15-D15</f>
        <v>677.0170000000003</v>
      </c>
      <c r="F17" s="30">
        <f>F15-E15</f>
        <v>1272.1799999999998</v>
      </c>
      <c r="G17" s="30">
        <f>G15-F15</f>
        <v>-1431.5390000000002</v>
      </c>
      <c r="H17" s="30">
        <f>H15-G15</f>
        <v>134.88600000000042</v>
      </c>
      <c r="J17" s="40">
        <f>J15-H15</f>
        <v>-150.85934480000014</v>
      </c>
    </row>
    <row r="18">
      <c r="B18" s="7" t="s">
        <v>149</v>
      </c>
      <c r="C18" s="30">
        <f>-C38</f>
        <v>-1402.215</v>
      </c>
      <c r="D18" s="30">
        <f>-D38</f>
        <v>-1638.672</v>
      </c>
      <c r="E18" s="30">
        <f>-E38</f>
        <v>-1810.462</v>
      </c>
      <c r="F18" s="30">
        <f>-F38</f>
        <v>-1822.3959999999997</v>
      </c>
      <c r="G18" s="30">
        <f>-G38</f>
        <v>-2060.622</v>
      </c>
      <c r="H18" s="30">
        <f>-H38</f>
        <v>-2296.667</v>
      </c>
      <c r="I18" s="30">
        <f>-I38</f>
        <v>-6673.745</v>
      </c>
      <c r="J18" s="40">
        <f>-J38</f>
        <v>-2373.844232</v>
      </c>
    </row>
    <row r="19">
      <c r="B19" s="5" t="s">
        <v>150</v>
      </c>
      <c r="C19" s="67">
        <v>5205.745</v>
      </c>
      <c r="D19" s="67">
        <v>5814.217</v>
      </c>
      <c r="E19" s="67">
        <v>6790.316</v>
      </c>
      <c r="F19" s="67">
        <v>9026.661</v>
      </c>
      <c r="G19" s="67">
        <v>9593.241</v>
      </c>
      <c r="H19" s="67">
        <v>10058.662</v>
      </c>
      <c r="I19" s="17">
        <f>F19</f>
        <v>9026.661</v>
      </c>
      <c r="J19" s="63">
        <f>J9+J12+J15+J18</f>
        <v>10296.046423200001</v>
      </c>
    </row>
    <row r="20">
      <c r="B20" s="28" t="s">
        <v>73</v>
      </c>
      <c r="G20" s="16">
        <f>G19/C19-1</f>
        <v>0.8428180788724764</v>
      </c>
      <c r="H20" s="16">
        <f>H19/D19-1</f>
        <v>0.7300114529609061</v>
      </c>
      <c r="J20" s="59">
        <f>J19/E19-1</f>
        <v>0.5162838405753136</v>
      </c>
    </row>
    <row r="21">
      <c r="B21" s="7" t="s">
        <v>78</v>
      </c>
      <c r="D21" s="30">
        <f>D19-C19</f>
        <v>608.4719999999998</v>
      </c>
      <c r="E21" s="30">
        <f>E19-D19</f>
        <v>976.0990000000002</v>
      </c>
      <c r="F21" s="30">
        <f>F19-E19</f>
        <v>2236.3450000000003</v>
      </c>
      <c r="G21" s="30">
        <f>G19-F19</f>
        <v>566.5799999999999</v>
      </c>
      <c r="H21" s="30">
        <f>H19-G19</f>
        <v>465.4210000000003</v>
      </c>
      <c r="J21" s="40">
        <f>J19-H19</f>
        <v>237.38442320000104</v>
      </c>
    </row>
    <row r="22">
      <c r="B22" s="7" t="s">
        <v>151</v>
      </c>
      <c r="C22" s="30">
        <f>(C9+C19)/2</f>
        <v>4946.682</v>
      </c>
      <c r="D22" s="30">
        <f>(D9+D19)/2</f>
        <v>5509.981</v>
      </c>
      <c r="E22" s="30">
        <f>(E9+E19)/2</f>
        <v>6302.2665</v>
      </c>
      <c r="F22" s="30">
        <f>(F9+F19)/2</f>
        <v>7908.4884999999995</v>
      </c>
      <c r="G22" s="30">
        <f>(G9+G19)/2</f>
        <v>9309.951000000001</v>
      </c>
      <c r="H22" s="30">
        <f>(H9+H19)/2</f>
        <v>9825.9515</v>
      </c>
      <c r="I22" s="30">
        <f>(I9+I19)/2</f>
        <v>6857.139999999999</v>
      </c>
      <c r="J22" s="40">
        <f>(J9+J19)/2</f>
        <v>10177.3542116</v>
      </c>
    </row>
    <row r="23">
      <c r="B23" s="7" t="s">
        <v>87</v>
      </c>
      <c r="G23" s="30">
        <f>G22-C22</f>
        <v>4363.269000000001</v>
      </c>
      <c r="H23" s="30">
        <f>H22-D22</f>
        <v>4315.970499999999</v>
      </c>
      <c r="J23" s="40">
        <f>J22-E22</f>
        <v>3875.087711600001</v>
      </c>
    </row>
    <row r="24">
      <c r="B24" s="7" t="s">
        <v>78</v>
      </c>
      <c r="D24" s="30">
        <f>D22-C22</f>
        <v>563.299</v>
      </c>
      <c r="E24" s="30">
        <f>E22-D22</f>
        <v>792.2855</v>
      </c>
      <c r="F24" s="30">
        <f>F22-E22</f>
        <v>1606.2219999999998</v>
      </c>
      <c r="G24" s="30">
        <f>G22-F22</f>
        <v>1401.4625000000015</v>
      </c>
      <c r="H24" s="30">
        <f>H22-G22</f>
        <v>516.0004999999983</v>
      </c>
      <c r="J24" s="40">
        <f>J22-H22</f>
        <v>351.40271160000157</v>
      </c>
    </row>
    <row r="25">
      <c r="B25" s="7" t="s">
        <v>152</v>
      </c>
      <c r="C25" s="30">
        <f>C19-C9</f>
        <v>518.1260000000002</v>
      </c>
      <c r="D25" s="30">
        <f>D19-D9</f>
        <v>608.4719999999998</v>
      </c>
      <c r="E25" s="30">
        <f>E19-E9</f>
        <v>976.0990000000002</v>
      </c>
      <c r="F25" s="30">
        <f>F19-F9</f>
        <v>2236.3450000000003</v>
      </c>
      <c r="G25" s="30">
        <f>G19-G9</f>
        <v>566.5799999999999</v>
      </c>
      <c r="H25" s="30">
        <f>H19-H9</f>
        <v>465.4210000000003</v>
      </c>
      <c r="I25" s="30">
        <f>I19-I9</f>
        <v>4339.042</v>
      </c>
      <c r="J25" s="40">
        <f>J19-J9</f>
        <v>237.38442320000104</v>
      </c>
    </row>
    <row r="26">
      <c r="B26" s="7" t="s">
        <v>87</v>
      </c>
      <c r="G26" s="30">
        <f>G25-C25</f>
        <v>48.45399999999972</v>
      </c>
      <c r="H26" s="30">
        <f>H25-D25</f>
        <v>-143.05099999999948</v>
      </c>
      <c r="J26" s="40">
        <f>J25-E25</f>
        <v>-738.7145767999991</v>
      </c>
    </row>
    <row r="27">
      <c r="B27" s="7" t="s">
        <v>78</v>
      </c>
      <c r="D27" s="30">
        <f>D25-C25</f>
        <v>90.34599999999955</v>
      </c>
      <c r="E27" s="30">
        <f>E25-D25</f>
        <v>367.6270000000004</v>
      </c>
      <c r="F27" s="30">
        <f>F25-E25</f>
        <v>1260.246</v>
      </c>
      <c r="G27" s="30">
        <f>G25-F25</f>
        <v>-1669.7650000000003</v>
      </c>
      <c r="H27" s="30">
        <f>H25-G25</f>
        <v>-101.15899999999965</v>
      </c>
      <c r="J27" s="40">
        <f>J25-H25</f>
        <v>-228.03657679999924</v>
      </c>
    </row>
    <row r="28">
      <c r="J28" s="51"/>
    </row>
    <row r="29">
      <c r="B29" s="5" t="s">
        <v>153</v>
      </c>
      <c r="J29" s="51"/>
    </row>
    <row r="30">
      <c r="B30" s="28" t="s">
        <v>154</v>
      </c>
      <c r="C30" s="16">
        <f>C38/C9</f>
        <v>0.2991316060456279</v>
      </c>
      <c r="D30" s="16">
        <f>D38/D9</f>
        <v>0.31478145779326494</v>
      </c>
      <c r="E30" s="16">
        <f>E38/E9</f>
        <v>0.3113853507703617</v>
      </c>
      <c r="F30" s="16">
        <f>F38/F9</f>
        <v>0.2683816187641341</v>
      </c>
      <c r="G30" s="16">
        <f>G38/G9</f>
        <v>0.22828175335265163</v>
      </c>
      <c r="H30" s="16">
        <f>H38/H9</f>
        <v>0.2394047017061283</v>
      </c>
      <c r="I30" s="16">
        <f>I38/I9</f>
        <v>1.4236961237677381</v>
      </c>
      <c r="J30" s="65">
        <v>0.236</v>
      </c>
      <c r="L30" s="31" t="s">
        <v>155</v>
      </c>
    </row>
    <row r="31">
      <c r="B31" s="7" t="s">
        <v>156</v>
      </c>
      <c r="G31" s="42">
        <f>(G30-C30)*10000</f>
        <v>-708.4985269297625</v>
      </c>
      <c r="H31" s="42">
        <f>(H30-D30)*10000</f>
        <v>-753.7675608713665</v>
      </c>
      <c r="J31" s="54">
        <f>(J30-E30)*10000</f>
        <v>-753.8535077036173</v>
      </c>
    </row>
    <row r="32">
      <c r="B32" s="7" t="s">
        <v>157</v>
      </c>
      <c r="D32" s="42">
        <f>(D30-C30)*10000</f>
        <v>156.49851747637055</v>
      </c>
      <c r="E32" s="42">
        <f>(E30-D30)*10000</f>
        <v>-33.96107022903217</v>
      </c>
      <c r="F32" s="42">
        <f>(F30-E30)*10000</f>
        <v>-430.0373200622765</v>
      </c>
      <c r="G32" s="42">
        <f>(G30-F30)*10000</f>
        <v>-400.99865411482443</v>
      </c>
      <c r="H32" s="42">
        <f>(H30-G30)*10000</f>
        <v>111.22948353476659</v>
      </c>
      <c r="J32" s="54">
        <f>(J30-H30)*10000</f>
        <v>-34.04701706128305</v>
      </c>
    </row>
    <row r="33">
      <c r="B33" s="7" t="s">
        <v>158</v>
      </c>
      <c r="C33" s="66">
        <f>C15/C38</f>
        <v>1.3357730447898506</v>
      </c>
      <c r="D33" s="66">
        <f>D15/D38</f>
        <v>1.2873497563880996</v>
      </c>
      <c r="E33" s="66">
        <f>E15/E38</f>
        <v>1.5391435998104352</v>
      </c>
      <c r="F33" s="66">
        <f>F15/F38</f>
        <v>2.2271454722244783</v>
      </c>
      <c r="G33" s="66">
        <f>G15/G38</f>
        <v>1.2749558143123776</v>
      </c>
      <c r="H33" s="66">
        <f>H15/H38</f>
        <v>1.2026506237081824</v>
      </c>
      <c r="I33" s="66">
        <f>I15/I38</f>
        <v>1.6224604026674678</v>
      </c>
      <c r="J33" s="69">
        <v>1.1</v>
      </c>
      <c r="L33" s="31" t="s">
        <v>159</v>
      </c>
    </row>
    <row r="34">
      <c r="B34" s="7" t="s">
        <v>160</v>
      </c>
      <c r="G34" s="66">
        <f>G33-C33</f>
        <v>-0.060817230477473005</v>
      </c>
      <c r="H34" s="66">
        <f>H33-D33</f>
        <v>-0.08469913267991713</v>
      </c>
      <c r="J34" s="79">
        <f>J33-E33</f>
        <v>-0.43914359981043516</v>
      </c>
    </row>
    <row r="35">
      <c r="B35" s="7" t="s">
        <v>161</v>
      </c>
      <c r="D35" s="66">
        <f>D33-C33</f>
        <v>-0.04842328840175103</v>
      </c>
      <c r="E35" s="66">
        <f>E33-D33</f>
        <v>0.2517938434223357</v>
      </c>
      <c r="F35" s="66">
        <f>F33-E33</f>
        <v>0.6880018724140431</v>
      </c>
      <c r="G35" s="66">
        <f>G33-F33</f>
        <v>-0.9521896579121008</v>
      </c>
      <c r="H35" s="66">
        <f>H33-G33</f>
        <v>-0.07230519060419516</v>
      </c>
      <c r="J35" s="79">
        <f>J33-H33</f>
        <v>-0.10265062370818234</v>
      </c>
    </row>
    <row r="36">
      <c r="J36" s="51"/>
    </row>
    <row r="37">
      <c r="B37" s="5" t="s">
        <v>162</v>
      </c>
      <c r="J37" s="51"/>
    </row>
    <row r="38">
      <c r="B38" s="5" t="s">
        <v>72</v>
      </c>
      <c r="C38" s="67">
        <v>1402.215</v>
      </c>
      <c r="D38" s="67">
        <v>1638.672</v>
      </c>
      <c r="E38" s="67">
        <v>1810.462</v>
      </c>
      <c r="F38" s="17">
        <f>I38-SUM(C38:E38)</f>
        <v>1822.3959999999997</v>
      </c>
      <c r="G38" s="67">
        <v>2060.622</v>
      </c>
      <c r="H38" s="67">
        <v>2296.667</v>
      </c>
      <c r="I38" s="67">
        <v>6673.745</v>
      </c>
      <c r="J38" s="63">
        <f>J9*J30</f>
        <v>2373.844232</v>
      </c>
      <c r="L38" s="31" t="s">
        <v>163</v>
      </c>
    </row>
    <row r="39">
      <c r="B39" s="28" t="s">
        <v>73</v>
      </c>
      <c r="C39" s="16">
        <f>C38/C43-1</f>
        <v>0.18329481041916118</v>
      </c>
      <c r="D39" s="16">
        <f>D38/D43-1</f>
        <v>0.12881153478144958</v>
      </c>
      <c r="E39" s="16">
        <f>E38/E43-1</f>
        <v>0.258473937121555</v>
      </c>
      <c r="F39" s="16">
        <f>F38/F43-1</f>
        <v>0.25483526463903083</v>
      </c>
      <c r="G39" s="16">
        <f>G38/C38-1</f>
        <v>0.4695478225521763</v>
      </c>
      <c r="H39" s="16">
        <f>H38/D38-1</f>
        <v>0.4015416141851449</v>
      </c>
      <c r="I39" s="16">
        <f>I38/I43-1</f>
        <v>0.20734860890903173</v>
      </c>
      <c r="J39" s="59">
        <f>J38/E38-1</f>
        <v>0.31118147301627985</v>
      </c>
    </row>
    <row r="40">
      <c r="B40" s="28" t="s">
        <v>74</v>
      </c>
      <c r="D40" s="16">
        <f>D38/C38-1</f>
        <v>0.16863105871781436</v>
      </c>
      <c r="E40" s="16">
        <f>E38/D38-1</f>
        <v>0.10483489069197494</v>
      </c>
      <c r="F40" s="16">
        <f>F38/E38-1</f>
        <v>0.006591687646578359</v>
      </c>
      <c r="G40" s="16">
        <f>G38/F38-1</f>
        <v>0.13072131413809074</v>
      </c>
      <c r="H40" s="16">
        <f>H38/G38-1</f>
        <v>0.11455036391924378</v>
      </c>
      <c r="J40" s="59">
        <f>J38/H38-1</f>
        <v>0.03360401486153641</v>
      </c>
    </row>
    <row r="41">
      <c r="B41" s="7" t="s">
        <v>87</v>
      </c>
      <c r="C41" s="30">
        <f>C38-C43</f>
        <v>217.2059999999999</v>
      </c>
      <c r="D41" s="30">
        <f>D38-D43</f>
        <v>186.99299999999994</v>
      </c>
      <c r="E41" s="30">
        <f>E38-E43</f>
        <v>371.845</v>
      </c>
      <c r="F41" s="30">
        <f>F38-F43</f>
        <v>370.09699999999975</v>
      </c>
      <c r="G41" s="30">
        <f>G38-C38</f>
        <v>658.4069999999999</v>
      </c>
      <c r="H41" s="30">
        <f>H38-D38</f>
        <v>657.9949999999999</v>
      </c>
      <c r="I41" s="30">
        <f>I38-I43</f>
        <v>1146.1409999999996</v>
      </c>
      <c r="J41" s="40">
        <f>J38-E38</f>
        <v>563.3822319999999</v>
      </c>
    </row>
    <row r="42">
      <c r="B42" s="7" t="s">
        <v>78</v>
      </c>
      <c r="D42" s="30">
        <f>D38-C38</f>
        <v>236.4570000000001</v>
      </c>
      <c r="E42" s="30">
        <f>E38-D38</f>
        <v>171.78999999999996</v>
      </c>
      <c r="F42" s="30">
        <f>F38-E38</f>
        <v>11.933999999999742</v>
      </c>
      <c r="G42" s="30">
        <f>G38-F38</f>
        <v>238.2260000000001</v>
      </c>
      <c r="H42" s="30">
        <f>H38-G38</f>
        <v>236.04500000000007</v>
      </c>
      <c r="J42" s="40">
        <f>J38-H38</f>
        <v>77.177232</v>
      </c>
    </row>
    <row r="43">
      <c r="B43" s="7" t="s">
        <v>86</v>
      </c>
      <c r="C43" s="18">
        <v>1185.009</v>
      </c>
      <c r="D43" s="18">
        <v>1451.679</v>
      </c>
      <c r="E43" s="18">
        <v>1438.617</v>
      </c>
      <c r="F43" s="30">
        <f>I43-SUM(C43:E43)</f>
        <v>1452.299</v>
      </c>
      <c r="G43" s="30">
        <f>C38</f>
        <v>1402.215</v>
      </c>
      <c r="H43" s="30">
        <f>D38</f>
        <v>1638.672</v>
      </c>
      <c r="I43" s="18">
        <v>5527.604</v>
      </c>
      <c r="J43" s="40">
        <f>E38</f>
        <v>1810.462</v>
      </c>
    </row>
    <row r="44">
      <c r="J44" s="51"/>
    </row>
    <row r="45">
      <c r="B45" s="5" t="s">
        <v>164</v>
      </c>
      <c r="J45" s="51"/>
    </row>
    <row r="46">
      <c r="B46" s="7" t="s">
        <v>90</v>
      </c>
      <c r="C46" s="18">
        <v>56.7</v>
      </c>
      <c r="D46" s="18">
        <v>27.2</v>
      </c>
      <c r="E46" s="18">
        <v>35.2</v>
      </c>
      <c r="F46" s="30">
        <f>I46-SUM(C46:E46)</f>
        <v>50.2</v>
      </c>
      <c r="G46" s="18">
        <v>20.8</v>
      </c>
      <c r="H46" s="18">
        <v>8.4</v>
      </c>
      <c r="I46" s="18">
        <v>169.3</v>
      </c>
      <c r="J46" s="48">
        <v>0</v>
      </c>
      <c r="L46" s="31" t="s">
        <v>165</v>
      </c>
    </row>
    <row r="47">
      <c r="B47" s="7" t="s">
        <v>87</v>
      </c>
      <c r="G47" s="30">
        <f>G46-C46</f>
        <v>-35.900000000000006</v>
      </c>
      <c r="H47" s="30">
        <f>H46-D46</f>
        <v>-18.799999999999997</v>
      </c>
      <c r="J47" s="40">
        <f>J46-E46</f>
        <v>-35.2</v>
      </c>
    </row>
    <row r="48">
      <c r="B48" s="7" t="s">
        <v>78</v>
      </c>
      <c r="D48" s="30">
        <f>D46-C46</f>
        <v>-29.500000000000004</v>
      </c>
      <c r="E48" s="30">
        <f>E46-D46</f>
        <v>8.000000000000004</v>
      </c>
      <c r="F48" s="30">
        <f>F46-E46</f>
        <v>15</v>
      </c>
      <c r="G48" s="30">
        <f>G46-F46</f>
        <v>-29.400000000000002</v>
      </c>
      <c r="H48" s="30">
        <f>H46-G46</f>
        <v>-12.4</v>
      </c>
      <c r="J48" s="40">
        <f>J46-H46</f>
        <v>-8.4</v>
      </c>
    </row>
    <row r="49">
      <c r="B49" s="7" t="s">
        <v>166</v>
      </c>
      <c r="C49" s="30">
        <f>C38-C46</f>
        <v>1345.5149999999999</v>
      </c>
      <c r="D49" s="30">
        <f>D38-D46</f>
        <v>1611.472</v>
      </c>
      <c r="E49" s="30">
        <f>E38-E46</f>
        <v>1775.262</v>
      </c>
      <c r="F49" s="30">
        <f>F38-F46</f>
        <v>1772.1959999999997</v>
      </c>
      <c r="G49" s="30">
        <f>G38-G46</f>
        <v>2039.822</v>
      </c>
      <c r="H49" s="30">
        <f>H38-H46</f>
        <v>2288.267</v>
      </c>
      <c r="I49" s="30">
        <f>I38-I46</f>
        <v>6504.445</v>
      </c>
      <c r="J49" s="40">
        <f>J38-J46</f>
        <v>2373.844232</v>
      </c>
    </row>
    <row r="50">
      <c r="B50" s="7" t="s">
        <v>87</v>
      </c>
      <c r="C50" s="30">
        <f>C49-C43</f>
        <v>160.50599999999986</v>
      </c>
      <c r="D50" s="30">
        <f>D49-D43</f>
        <v>159.7929999999999</v>
      </c>
      <c r="E50" s="30">
        <f>E49-E43</f>
        <v>336.645</v>
      </c>
      <c r="F50" s="30">
        <f>F49-F43</f>
        <v>319.8969999999997</v>
      </c>
      <c r="G50" s="30">
        <f>G49-G43</f>
        <v>637.607</v>
      </c>
      <c r="H50" s="30">
        <f>H49-H43</f>
        <v>649.5949999999998</v>
      </c>
      <c r="I50" s="30">
        <f>I49-I43</f>
        <v>976.8409999999994</v>
      </c>
      <c r="J50" s="40">
        <f>J49-J43</f>
        <v>563.3822319999999</v>
      </c>
    </row>
    <row r="51">
      <c r="B51" s="7" t="s">
        <v>78</v>
      </c>
      <c r="D51" s="30">
        <f>D49-C49</f>
        <v>265.9570000000001</v>
      </c>
      <c r="E51" s="30">
        <f>E49-D49</f>
        <v>163.78999999999996</v>
      </c>
      <c r="F51" s="30">
        <f>F49-E49</f>
        <v>-3.0660000000002583</v>
      </c>
      <c r="G51" s="30">
        <f>G49-F49</f>
        <v>267.6260000000002</v>
      </c>
      <c r="H51" s="30">
        <f>H49-G49</f>
        <v>248.44499999999994</v>
      </c>
      <c r="J51" s="40">
        <f>J49-H49</f>
        <v>85.5772320000001</v>
      </c>
    </row>
    <row r="52">
      <c r="B52" s="28" t="s">
        <v>91</v>
      </c>
      <c r="C52" s="16">
        <f>C46/C43</f>
        <v>0.047847737865282035</v>
      </c>
      <c r="D52" s="16">
        <f>D46/D43</f>
        <v>0.018736924623143268</v>
      </c>
      <c r="E52" s="16">
        <f>E46/E43</f>
        <v>0.024467943865531968</v>
      </c>
      <c r="F52" s="16">
        <f>F46/F43</f>
        <v>0.03456588484878114</v>
      </c>
      <c r="G52" s="16">
        <f>G46/G43</f>
        <v>0.014833673865990596</v>
      </c>
      <c r="H52" s="16">
        <f>H46/H43</f>
        <v>0.005126102111954071</v>
      </c>
      <c r="I52" s="16">
        <f>I46/I43</f>
        <v>0.03062809853962042</v>
      </c>
      <c r="J52" s="59">
        <f>J46/J43</f>
        <v>0</v>
      </c>
    </row>
    <row r="53">
      <c r="B53" s="28" t="s">
        <v>92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65">
        <v>0</v>
      </c>
      <c r="L53" s="31" t="s">
        <v>167</v>
      </c>
    </row>
    <row r="54">
      <c r="B54" s="28" t="s">
        <v>95</v>
      </c>
      <c r="C54" s="16">
        <f>C56-C52-C53</f>
        <v>0.13544707255387914</v>
      </c>
      <c r="D54" s="16">
        <f>D56-D52-D53</f>
        <v>0.1100746101583063</v>
      </c>
      <c r="E54" s="16">
        <f>E56-E52-E53</f>
        <v>0.234005993256023</v>
      </c>
      <c r="F54" s="16">
        <f>F56-F52-F53</f>
        <v>0.2202693797902497</v>
      </c>
      <c r="G54" s="16">
        <f>G56-G52-G53</f>
        <v>0.4547141486861857</v>
      </c>
      <c r="H54" s="16">
        <f>H56-H52-H53</f>
        <v>0.3964155120731908</v>
      </c>
      <c r="I54" s="16">
        <f>I56-I52-I53</f>
        <v>0.1767205103694113</v>
      </c>
      <c r="J54" s="59">
        <f>J56-J52-J53</f>
        <v>0.31118147301627985</v>
      </c>
      <c r="L54" s="31" t="s">
        <v>168</v>
      </c>
    </row>
    <row r="55">
      <c r="B55" s="28" t="s">
        <v>169</v>
      </c>
      <c r="C55" s="16">
        <f>(C49-C43)/C43</f>
        <v>0.13544707255387922</v>
      </c>
      <c r="D55" s="16">
        <f>(D49-D43)/D43</f>
        <v>0.11007461015830626</v>
      </c>
      <c r="E55" s="16">
        <f>(E49-E43)/E43</f>
        <v>0.23400599325602298</v>
      </c>
      <c r="F55" s="16">
        <f>(F49-F43)/F43</f>
        <v>0.2202693797902496</v>
      </c>
      <c r="G55" s="16">
        <f>(G49-G43)/G43</f>
        <v>0.4547141486861858</v>
      </c>
      <c r="H55" s="16">
        <f>(H49-H43)/H43</f>
        <v>0.39641551207319087</v>
      </c>
      <c r="I55" s="16">
        <f>(I49-I43)/I43</f>
        <v>0.1767205103694113</v>
      </c>
      <c r="J55" s="59">
        <f>(J49-J43)/J43</f>
        <v>0.3111814730162798</v>
      </c>
      <c r="L55" s="31" t="s">
        <v>170</v>
      </c>
    </row>
    <row r="56">
      <c r="B56" s="76" t="s">
        <v>94</v>
      </c>
      <c r="C56" s="68">
        <f>C38/C43-1</f>
        <v>0.18329481041916118</v>
      </c>
      <c r="D56" s="68">
        <f>D38/D43-1</f>
        <v>0.12881153478144958</v>
      </c>
      <c r="E56" s="68">
        <f>E38/E43-1</f>
        <v>0.258473937121555</v>
      </c>
      <c r="F56" s="68">
        <f>F38/F43-1</f>
        <v>0.25483526463903083</v>
      </c>
      <c r="G56" s="68">
        <f>G38/G43-1</f>
        <v>0.4695478225521763</v>
      </c>
      <c r="H56" s="68">
        <f>H38/H43-1</f>
        <v>0.4015416141851449</v>
      </c>
      <c r="I56" s="68">
        <f>I38/I43-1</f>
        <v>0.20734860890903173</v>
      </c>
      <c r="J56" s="74">
        <f>J38/J43-1</f>
        <v>0.31118147301627985</v>
      </c>
    </row>
    <row r="57">
      <c r="J57" s="51"/>
    </row>
    <row r="58">
      <c r="B58" s="5" t="s">
        <v>171</v>
      </c>
      <c r="J58" s="51"/>
    </row>
    <row r="59">
      <c r="B59" s="7" t="s">
        <v>172</v>
      </c>
      <c r="C59" s="18">
        <v>1097.696</v>
      </c>
      <c r="D59" s="18">
        <v>1264.066</v>
      </c>
      <c r="E59" s="18">
        <v>1370.687</v>
      </c>
      <c r="F59" s="30">
        <f>I59-SUM(C59:E59)</f>
        <v>1368.9000000000005</v>
      </c>
      <c r="G59" s="18">
        <v>1506.345</v>
      </c>
      <c r="H59" s="18">
        <v>1708.157</v>
      </c>
      <c r="I59" s="18">
        <v>5101.349</v>
      </c>
      <c r="J59" s="40">
        <f>J38-J62</f>
        <v>1766.140108608</v>
      </c>
    </row>
    <row r="60">
      <c r="B60" s="28" t="s">
        <v>73</v>
      </c>
      <c r="G60" s="16">
        <f>G59/C59-1</f>
        <v>0.3722788458735389</v>
      </c>
      <c r="H60" s="16">
        <f>H59/D59-1</f>
        <v>0.3513194722427466</v>
      </c>
      <c r="J60" s="59">
        <f>J59/E59-1</f>
        <v>0.28850722930034367</v>
      </c>
    </row>
    <row r="61">
      <c r="B61" s="7" t="s">
        <v>78</v>
      </c>
      <c r="D61" s="30">
        <f>D59-C59</f>
        <v>166.37000000000012</v>
      </c>
      <c r="E61" s="30">
        <f>E59-D59</f>
        <v>106.62099999999987</v>
      </c>
      <c r="F61" s="30">
        <f>F59-E59</f>
        <v>-1.7869999999993524</v>
      </c>
      <c r="G61" s="30">
        <f>G59-F59</f>
        <v>137.44499999999948</v>
      </c>
      <c r="H61" s="30">
        <f>H59-G59</f>
        <v>201.8119999999999</v>
      </c>
      <c r="J61" s="40">
        <f>J59-H59</f>
        <v>57.983108608000066</v>
      </c>
    </row>
    <row r="62">
      <c r="B62" s="5" t="s">
        <v>173</v>
      </c>
      <c r="C62" s="17">
        <f>C38-C59</f>
        <v>304.519</v>
      </c>
      <c r="D62" s="17">
        <f>D38-D59</f>
        <v>374.606</v>
      </c>
      <c r="E62" s="17">
        <f>E38-E59</f>
        <v>439.7750000000001</v>
      </c>
      <c r="F62" s="17">
        <f>F38-F59</f>
        <v>453.4959999999992</v>
      </c>
      <c r="G62" s="17">
        <f>G38-G59</f>
        <v>554.2769999999998</v>
      </c>
      <c r="H62" s="17">
        <f>H38-H59</f>
        <v>588.51</v>
      </c>
      <c r="I62" s="17">
        <f>I38-I59</f>
        <v>1572.3959999999997</v>
      </c>
      <c r="J62" s="63">
        <f>J38*J65</f>
        <v>607.704123392</v>
      </c>
    </row>
    <row r="63">
      <c r="B63" s="28" t="s">
        <v>73</v>
      </c>
      <c r="G63" s="16">
        <f>G62/C62-1</f>
        <v>0.8201721403262188</v>
      </c>
      <c r="H63" s="16">
        <f>H62/D62-1</f>
        <v>0.571010608479309</v>
      </c>
      <c r="J63" s="59">
        <f>J62/E62-1</f>
        <v>0.38185236403160694</v>
      </c>
    </row>
    <row r="64">
      <c r="B64" s="7" t="s">
        <v>78</v>
      </c>
      <c r="D64" s="30">
        <f>D62-C62</f>
        <v>70.08699999999999</v>
      </c>
      <c r="E64" s="30">
        <f>E62-D62</f>
        <v>65.1690000000001</v>
      </c>
      <c r="F64" s="30">
        <f>F62-E62</f>
        <v>13.720999999999094</v>
      </c>
      <c r="G64" s="30">
        <f>G62-F62</f>
        <v>100.78100000000063</v>
      </c>
      <c r="H64" s="30">
        <f>H62-G62</f>
        <v>34.233000000000175</v>
      </c>
      <c r="J64" s="40">
        <f>J62-H62</f>
        <v>19.19412339200005</v>
      </c>
    </row>
    <row r="65">
      <c r="B65" s="28" t="s">
        <v>174</v>
      </c>
      <c r="C65" s="16">
        <f>C62/C38</f>
        <v>0.21716997749988412</v>
      </c>
      <c r="D65" s="16">
        <f>D62/D38</f>
        <v>0.22860340568460313</v>
      </c>
      <c r="E65" s="16">
        <f>E62/E38</f>
        <v>0.24290761142735948</v>
      </c>
      <c r="F65" s="16">
        <f>F62/F38</f>
        <v>0.24884602468398703</v>
      </c>
      <c r="G65" s="16">
        <f>G62/G38</f>
        <v>0.2689852869667507</v>
      </c>
      <c r="H65" s="16">
        <f>H62/H38</f>
        <v>0.2562452458279759</v>
      </c>
      <c r="I65" s="16">
        <f>I62/I38</f>
        <v>0.235609241887426</v>
      </c>
      <c r="J65" s="65">
        <v>0.256</v>
      </c>
      <c r="L65" s="31" t="s">
        <v>175</v>
      </c>
    </row>
    <row r="66">
      <c r="B66" s="7" t="s">
        <v>156</v>
      </c>
      <c r="G66" s="42">
        <f>(G65-C65)*10000</f>
        <v>518.1530946686661</v>
      </c>
      <c r="H66" s="42">
        <f>(H65-D65)*10000</f>
        <v>276.41840143372787</v>
      </c>
      <c r="J66" s="54">
        <f>(J65-E65)*10000</f>
        <v>130.92388572640527</v>
      </c>
    </row>
    <row r="67">
      <c r="B67" s="7" t="s">
        <v>157</v>
      </c>
      <c r="D67" s="42">
        <f>(D65-C65)*10000</f>
        <v>114.33428184719013</v>
      </c>
      <c r="E67" s="42">
        <f>(E65-D65)*10000</f>
        <v>143.04205742756344</v>
      </c>
      <c r="F67" s="42">
        <f>(F65-E65)*10000</f>
        <v>59.38413256627556</v>
      </c>
      <c r="G67" s="42">
        <f>(G65-F65)*10000</f>
        <v>201.39262282763693</v>
      </c>
      <c r="H67" s="42">
        <f>(H65-G65)*10000</f>
        <v>-127.40041138774805</v>
      </c>
      <c r="J67" s="54">
        <f>(J65-H65)*10000</f>
        <v>-2.452458279759151</v>
      </c>
    </row>
    <row r="68">
      <c r="B68" s="7" t="s">
        <v>176</v>
      </c>
      <c r="C68" s="18">
        <v>132.27</v>
      </c>
      <c r="D68" s="18">
        <v>137.074</v>
      </c>
      <c r="E68" s="18">
        <v>152.442</v>
      </c>
      <c r="F68" s="30">
        <f>I68-SUM(C68:E68)</f>
        <v>152.558</v>
      </c>
      <c r="G68" s="18">
        <v>156.514</v>
      </c>
      <c r="H68" s="18">
        <v>162.398</v>
      </c>
      <c r="I68" s="18">
        <v>574.344</v>
      </c>
      <c r="J68" s="40">
        <f>J38*J71</f>
        <v>166.16909624000002</v>
      </c>
    </row>
    <row r="69">
      <c r="B69" s="28" t="s">
        <v>73</v>
      </c>
      <c r="G69" s="16">
        <f>G68/C68-1</f>
        <v>0.1832917517199668</v>
      </c>
      <c r="H69" s="16">
        <f>H68/D68-1</f>
        <v>0.1847469250186029</v>
      </c>
      <c r="J69" s="59">
        <f>J68/E68-1</f>
        <v>0.0900479935975651</v>
      </c>
    </row>
    <row r="70">
      <c r="B70" s="7" t="s">
        <v>78</v>
      </c>
      <c r="D70" s="30">
        <f>D68-C68</f>
        <v>4.804000000000002</v>
      </c>
      <c r="E70" s="30">
        <f>E68-D68</f>
        <v>15.367999999999995</v>
      </c>
      <c r="F70" s="30">
        <f>F68-E68</f>
        <v>0.11599999999998545</v>
      </c>
      <c r="G70" s="30">
        <f>G68-F68</f>
        <v>3.9560000000000173</v>
      </c>
      <c r="H70" s="30">
        <f>H68-G68</f>
        <v>5.883999999999986</v>
      </c>
      <c r="J70" s="40">
        <f>J68-H68</f>
        <v>3.77109624000002</v>
      </c>
    </row>
    <row r="71">
      <c r="B71" s="28" t="s">
        <v>177</v>
      </c>
      <c r="C71" s="16">
        <f>C68/C38</f>
        <v>0.09432932895454693</v>
      </c>
      <c r="D71" s="16">
        <f>D68/D38</f>
        <v>0.0836494429635705</v>
      </c>
      <c r="E71" s="16">
        <f>E68/E38</f>
        <v>0.08420060735878467</v>
      </c>
      <c r="F71" s="16">
        <f>F68/F38</f>
        <v>0.08371287030919736</v>
      </c>
      <c r="G71" s="16">
        <f>G68/G38</f>
        <v>0.07595473599718922</v>
      </c>
      <c r="H71" s="16">
        <f>H68/H38</f>
        <v>0.07071029452680776</v>
      </c>
      <c r="I71" s="16">
        <f>I68/I38</f>
        <v>0.08606022555551644</v>
      </c>
      <c r="J71" s="65">
        <v>0.07</v>
      </c>
      <c r="L71" s="31" t="s">
        <v>178</v>
      </c>
    </row>
    <row r="72">
      <c r="B72" s="7" t="s">
        <v>156</v>
      </c>
      <c r="G72" s="42">
        <f>(G71-C71)*10000</f>
        <v>-183.74592957357717</v>
      </c>
      <c r="H72" s="42">
        <f>(H71-D71)*10000</f>
        <v>-129.3914843676275</v>
      </c>
      <c r="J72" s="54">
        <f>(J71-E71)*10000</f>
        <v>-142.0060735878466</v>
      </c>
    </row>
    <row r="73">
      <c r="B73" s="7" t="s">
        <v>157</v>
      </c>
      <c r="D73" s="42">
        <f>(D71-C71)*10000</f>
        <v>-106.79885990976426</v>
      </c>
      <c r="E73" s="42">
        <f>(E71-D71)*10000</f>
        <v>5.511643952141599</v>
      </c>
      <c r="F73" s="42">
        <f>(F71-E71)*10000</f>
        <v>-4.877370495873085</v>
      </c>
      <c r="G73" s="42">
        <f>(G71-F71)*10000</f>
        <v>-77.58134312008141</v>
      </c>
      <c r="H73" s="42">
        <f>(H71-G71)*10000</f>
        <v>-52.44441470381459</v>
      </c>
      <c r="J73" s="54">
        <f>(J71-H71)*10000</f>
        <v>-7.102945268077504</v>
      </c>
    </row>
    <row r="74">
      <c r="B74" s="7" t="s">
        <v>179</v>
      </c>
      <c r="C74" s="18">
        <v>0.352</v>
      </c>
      <c r="D74" s="18">
        <v>0.371</v>
      </c>
      <c r="E74" s="18">
        <v>0.418</v>
      </c>
      <c r="F74" s="30">
        <f>I74-SUM(C74:E74)</f>
        <v>0.29200000000000004</v>
      </c>
      <c r="G74" s="18">
        <v>0.347</v>
      </c>
      <c r="H74" s="18">
        <v>0.626</v>
      </c>
      <c r="I74" s="18">
        <v>1.433</v>
      </c>
      <c r="J74" s="48">
        <v>0.4</v>
      </c>
      <c r="L74" s="31" t="s">
        <v>180</v>
      </c>
    </row>
    <row r="75">
      <c r="B75" s="7" t="s">
        <v>87</v>
      </c>
      <c r="G75" s="30">
        <f>G74-C74</f>
        <v>-0.0050000000000000044</v>
      </c>
      <c r="H75" s="30">
        <f>H74-D74</f>
        <v>0.255</v>
      </c>
      <c r="J75" s="40">
        <f>J74-E74</f>
        <v>-0.01799999999999996</v>
      </c>
    </row>
    <row r="76">
      <c r="B76" s="7" t="s">
        <v>78</v>
      </c>
      <c r="D76" s="30">
        <f>D74-C74</f>
        <v>0.019000000000000017</v>
      </c>
      <c r="E76" s="30">
        <f>E74-D74</f>
        <v>0.046999999999999986</v>
      </c>
      <c r="F76" s="30">
        <f>F74-E74</f>
        <v>-0.12599999999999995</v>
      </c>
      <c r="G76" s="30">
        <f>G74-F74</f>
        <v>0.05499999999999994</v>
      </c>
      <c r="H76" s="30">
        <f>H74-G74</f>
        <v>0.279</v>
      </c>
      <c r="J76" s="40">
        <f>J74-H74</f>
        <v>-0.22599999999999998</v>
      </c>
    </row>
    <row r="77">
      <c r="B77" s="5" t="s">
        <v>181</v>
      </c>
      <c r="C77" s="17">
        <f>C62-C68+C74</f>
        <v>172.601</v>
      </c>
      <c r="D77" s="17">
        <f>D62-D68+D74</f>
        <v>237.903</v>
      </c>
      <c r="E77" s="17">
        <f>E62-E68+E74</f>
        <v>287.7510000000001</v>
      </c>
      <c r="F77" s="17">
        <f>F62-F68+F74</f>
        <v>301.22999999999917</v>
      </c>
      <c r="G77" s="17">
        <f>G62-G68+G74</f>
        <v>398.1099999999998</v>
      </c>
      <c r="H77" s="17">
        <f>H62-H68+H74</f>
        <v>426.73799999999994</v>
      </c>
      <c r="I77" s="17">
        <f>I62-I68+I74</f>
        <v>999.4849999999997</v>
      </c>
      <c r="J77" s="63">
        <f>J62-J68+J74</f>
        <v>441.935027152</v>
      </c>
    </row>
    <row r="78">
      <c r="B78" s="28" t="s">
        <v>73</v>
      </c>
      <c r="G78" s="16">
        <f>G77/C77-1</f>
        <v>1.3065335658541941</v>
      </c>
      <c r="H78" s="16">
        <f>H77/D77-1</f>
        <v>0.7937478720318785</v>
      </c>
      <c r="J78" s="59">
        <f>J77/E77-1</f>
        <v>0.535824470295498</v>
      </c>
    </row>
    <row r="79">
      <c r="B79" s="7" t="s">
        <v>78</v>
      </c>
      <c r="D79" s="30">
        <f>D77-C77</f>
        <v>65.30199999999999</v>
      </c>
      <c r="E79" s="30">
        <f>E77-D77</f>
        <v>49.8480000000001</v>
      </c>
      <c r="F79" s="30">
        <f>F77-E77</f>
        <v>13.478999999999075</v>
      </c>
      <c r="G79" s="30">
        <f>G77-F77</f>
        <v>96.88000000000062</v>
      </c>
      <c r="H79" s="30">
        <f>H77-G77</f>
        <v>28.628000000000156</v>
      </c>
      <c r="J79" s="40">
        <f>J77-H77</f>
        <v>15.197027152000032</v>
      </c>
    </row>
    <row r="80">
      <c r="B80" s="28" t="s">
        <v>182</v>
      </c>
      <c r="C80" s="16">
        <f>C77/C38</f>
        <v>0.1230916799492232</v>
      </c>
      <c r="D80" s="16">
        <f>D77/D38</f>
        <v>0.1451803655643106</v>
      </c>
      <c r="E80" s="16">
        <f>E77/E38</f>
        <v>0.15893788436321785</v>
      </c>
      <c r="F80" s="16">
        <f>F77/F38</f>
        <v>0.16529338299688937</v>
      </c>
      <c r="G80" s="16">
        <f>G77/G38</f>
        <v>0.19319894672579435</v>
      </c>
      <c r="H80" s="16">
        <f>H77/H38</f>
        <v>0.18580752020210156</v>
      </c>
      <c r="I80" s="16">
        <f>I77/I38</f>
        <v>0.14976373835080597</v>
      </c>
      <c r="J80" s="59">
        <f>J77/J38</f>
        <v>0.1861685030528153</v>
      </c>
    </row>
    <row r="81">
      <c r="B81" s="7" t="s">
        <v>156</v>
      </c>
      <c r="G81" s="42">
        <f>(G80-C80)*10000</f>
        <v>701.0726677657116</v>
      </c>
      <c r="H81" s="42">
        <f>(H80-D80)*10000</f>
        <v>406.2715463779096</v>
      </c>
      <c r="J81" s="54">
        <f>(J80-E80)*10000</f>
        <v>272.30618689597446</v>
      </c>
    </row>
    <row r="82">
      <c r="B82" s="7" t="s">
        <v>157</v>
      </c>
      <c r="D82" s="42">
        <f>(D80-C80)*10000</f>
        <v>220.88685615087408</v>
      </c>
      <c r="E82" s="42">
        <f>(E80-D80)*10000</f>
        <v>137.57518798907242</v>
      </c>
      <c r="F82" s="42">
        <f>(F80-E80)*10000</f>
        <v>63.55498633671519</v>
      </c>
      <c r="G82" s="42">
        <f>(G80-F80)*10000</f>
        <v>279.05563728904986</v>
      </c>
      <c r="H82" s="42">
        <f>(H80-G80)*10000</f>
        <v>-73.9142652369279</v>
      </c>
      <c r="J82" s="54">
        <f>(J80-H80)*10000</f>
        <v>3.6098285071373137</v>
      </c>
    </row>
    <row r="83">
      <c r="J83" s="51"/>
    </row>
    <row r="84">
      <c r="B84" s="5" t="s">
        <v>183</v>
      </c>
      <c r="J84" s="51"/>
    </row>
    <row r="85">
      <c r="B85" s="7" t="s">
        <v>184</v>
      </c>
      <c r="C85" s="18">
        <v>14.59</v>
      </c>
      <c r="D85" s="18">
        <v>14.266</v>
      </c>
      <c r="E85" s="18">
        <v>14.001</v>
      </c>
      <c r="F85" s="30">
        <f>I85-SUM(C85:E85)</f>
        <v>11.305</v>
      </c>
      <c r="G85" s="18">
        <v>10.777</v>
      </c>
      <c r="H85" s="18">
        <v>10.429</v>
      </c>
      <c r="I85" s="18">
        <v>54.162</v>
      </c>
      <c r="J85" s="48">
        <v>10.4</v>
      </c>
      <c r="L85" s="31" t="s">
        <v>185</v>
      </c>
    </row>
    <row r="86">
      <c r="B86" s="7" t="s">
        <v>87</v>
      </c>
      <c r="G86" s="30">
        <f>G85-C85</f>
        <v>-3.8130000000000006</v>
      </c>
      <c r="H86" s="30">
        <f>H85-D85</f>
        <v>-3.8369999999999997</v>
      </c>
      <c r="J86" s="40">
        <f>J85-E85</f>
        <v>-3.600999999999999</v>
      </c>
    </row>
    <row r="87">
      <c r="B87" s="7" t="s">
        <v>78</v>
      </c>
      <c r="D87" s="30">
        <f>D85-C85</f>
        <v>-0.32399999999999984</v>
      </c>
      <c r="E87" s="30">
        <f>E85-D85</f>
        <v>-0.26500000000000057</v>
      </c>
      <c r="F87" s="30">
        <f>F85-E85</f>
        <v>-2.6959999999999997</v>
      </c>
      <c r="G87" s="30">
        <f>G85-F85</f>
        <v>-0.5280000000000005</v>
      </c>
      <c r="H87" s="30">
        <f>H85-G85</f>
        <v>-0.347999999999999</v>
      </c>
      <c r="J87" s="40">
        <f>J85-H85</f>
        <v>-0.028999999999999915</v>
      </c>
    </row>
    <row r="88">
      <c r="B88" s="7" t="s">
        <v>186</v>
      </c>
      <c r="C88" s="18">
        <v>11.404</v>
      </c>
      <c r="D88" s="18">
        <v>12.093</v>
      </c>
      <c r="E88" s="18">
        <v>13.048</v>
      </c>
      <c r="F88" s="30">
        <f>I88-SUM(C88:E88)</f>
        <v>14.208999999999996</v>
      </c>
      <c r="G88" s="18">
        <v>15.236</v>
      </c>
      <c r="H88" s="18">
        <v>16.408</v>
      </c>
      <c r="I88" s="18">
        <v>50.754</v>
      </c>
      <c r="J88" s="48">
        <v>18</v>
      </c>
      <c r="L88" s="31" t="s">
        <v>187</v>
      </c>
    </row>
    <row r="89">
      <c r="B89" s="7" t="s">
        <v>87</v>
      </c>
      <c r="G89" s="30">
        <f>G88-C88</f>
        <v>3.8320000000000007</v>
      </c>
      <c r="H89" s="30">
        <f>H88-D88</f>
        <v>4.315000000000001</v>
      </c>
      <c r="J89" s="40">
        <f>J88-E88</f>
        <v>4.952</v>
      </c>
    </row>
    <row r="90">
      <c r="B90" s="7" t="s">
        <v>78</v>
      </c>
      <c r="D90" s="30">
        <f>D88-C88</f>
        <v>0.6890000000000001</v>
      </c>
      <c r="E90" s="30">
        <f>E88-D88</f>
        <v>0.9550000000000001</v>
      </c>
      <c r="F90" s="30">
        <f>F88-E88</f>
        <v>1.160999999999996</v>
      </c>
      <c r="G90" s="30">
        <f>G88-F88</f>
        <v>1.0270000000000046</v>
      </c>
      <c r="H90" s="30">
        <f>H88-G88</f>
        <v>1.1720000000000006</v>
      </c>
      <c r="J90" s="40">
        <f>J88-H88</f>
        <v>1.5919999999999987</v>
      </c>
    </row>
    <row r="91">
      <c r="B91" s="5" t="s">
        <v>188</v>
      </c>
      <c r="C91" s="17">
        <f>C77+C85+C88</f>
        <v>198.595</v>
      </c>
      <c r="D91" s="17">
        <f>D77+D85+D88</f>
        <v>264.262</v>
      </c>
      <c r="E91" s="17">
        <f>E77+E85+E88</f>
        <v>314.80000000000007</v>
      </c>
      <c r="F91" s="17">
        <f>F77+F85+F88</f>
        <v>326.7439999999992</v>
      </c>
      <c r="G91" s="17">
        <f>G77+G85+G88</f>
        <v>424.12299999999976</v>
      </c>
      <c r="H91" s="17">
        <f>H77+H85+H88</f>
        <v>453.57499999999993</v>
      </c>
      <c r="I91" s="17">
        <f>I77+I85+I88</f>
        <v>1104.4009999999996</v>
      </c>
      <c r="J91" s="63">
        <f>J77+J85+J88</f>
        <v>470.33502715199995</v>
      </c>
    </row>
    <row r="92">
      <c r="B92" s="28" t="s">
        <v>189</v>
      </c>
      <c r="C92" s="16">
        <f>C91/C38</f>
        <v>0.14162949333732702</v>
      </c>
      <c r="D92" s="16">
        <f>D91/D38</f>
        <v>0.1612659519415722</v>
      </c>
      <c r="E92" s="16">
        <f>E91/E38</f>
        <v>0.17387826974551251</v>
      </c>
      <c r="F92" s="16">
        <f>F91/F38</f>
        <v>0.17929363321692937</v>
      </c>
      <c r="G92" s="16">
        <f>G91/G38</f>
        <v>0.20582280495889096</v>
      </c>
      <c r="H92" s="16">
        <f>H91/H38</f>
        <v>0.19749271444227653</v>
      </c>
      <c r="I92" s="16">
        <f>I91/I38</f>
        <v>0.16548444688851607</v>
      </c>
      <c r="J92" s="59">
        <f>J91/J38</f>
        <v>0.19813221980270185</v>
      </c>
    </row>
    <row r="93">
      <c r="B93" s="7" t="s">
        <v>190</v>
      </c>
      <c r="G93" s="42">
        <f>(G92-C92)*10000</f>
        <v>641.9331162156394</v>
      </c>
      <c r="H93" s="42">
        <f>(H92-D92)*10000</f>
        <v>362.26762500704336</v>
      </c>
      <c r="J93" s="54">
        <f>(J92-E92)*10000</f>
        <v>242.53950057189334</v>
      </c>
    </row>
    <row r="94">
      <c r="B94" s="7" t="s">
        <v>191</v>
      </c>
      <c r="D94" s="42">
        <f>(D92-C92)*10000</f>
        <v>196.36458604245178</v>
      </c>
      <c r="E94" s="42">
        <f>(E92-D92)*10000</f>
        <v>126.12317803940314</v>
      </c>
      <c r="F94" s="42">
        <f>(F92-E92)*10000</f>
        <v>54.15363471416856</v>
      </c>
      <c r="G94" s="42">
        <f>(G92-F92)*10000</f>
        <v>265.29171741961596</v>
      </c>
      <c r="H94" s="42">
        <f>(H92-G92)*10000</f>
        <v>-83.3009051661443</v>
      </c>
      <c r="J94" s="54">
        <f>(J92-H92)*10000</f>
        <v>6.395053604253132</v>
      </c>
    </row>
    <row r="95">
      <c r="B95" s="7" t="s">
        <v>192</v>
      </c>
      <c r="C95" s="18">
        <v>18.419</v>
      </c>
      <c r="D95" s="18">
        <v>24.879</v>
      </c>
      <c r="E95" s="18">
        <v>28.881</v>
      </c>
      <c r="F95" s="30">
        <f>I95-SUM(C95:E95)</f>
        <v>54.257000000000005</v>
      </c>
      <c r="G95" s="18">
        <v>140.214</v>
      </c>
      <c r="H95" s="18">
        <v>131.818</v>
      </c>
      <c r="I95" s="18">
        <v>126.436</v>
      </c>
      <c r="J95" s="48">
        <v>160</v>
      </c>
      <c r="L95" s="31" t="s">
        <v>193</v>
      </c>
    </row>
    <row r="96">
      <c r="B96" s="28" t="s">
        <v>194</v>
      </c>
      <c r="C96" s="16">
        <f>C95/C38</f>
        <v>0.013135646102773114</v>
      </c>
      <c r="D96" s="16">
        <f>D95/D38</f>
        <v>0.015182416005155394</v>
      </c>
      <c r="E96" s="16">
        <f>E95/E38</f>
        <v>0.015952281793266028</v>
      </c>
      <c r="F96" s="16">
        <f>F95/F38</f>
        <v>0.029772343661860545</v>
      </c>
      <c r="G96" s="16">
        <f>G95/G38</f>
        <v>0.0680445030675204</v>
      </c>
      <c r="H96" s="16">
        <f>H95/H38</f>
        <v>0.05739534725756935</v>
      </c>
      <c r="I96" s="16">
        <f>I95/I38</f>
        <v>0.01894528484381708</v>
      </c>
      <c r="J96" s="59">
        <f>J95/J38</f>
        <v>0.06740122112612147</v>
      </c>
    </row>
    <row r="97">
      <c r="B97" s="7" t="s">
        <v>190</v>
      </c>
      <c r="G97" s="42">
        <f>(G96-C96)*10000</f>
        <v>549.0885696474729</v>
      </c>
      <c r="H97" s="42">
        <f>(H96-D96)*10000</f>
        <v>422.12931252413955</v>
      </c>
      <c r="J97" s="54">
        <f>(J96-E96)*10000</f>
        <v>514.4893933285545</v>
      </c>
    </row>
    <row r="98">
      <c r="B98" s="7" t="s">
        <v>191</v>
      </c>
      <c r="D98" s="42">
        <f>(D96-C96)*10000</f>
        <v>20.467699023822803</v>
      </c>
      <c r="E98" s="42">
        <f>(E96-D96)*10000</f>
        <v>7.698657881106338</v>
      </c>
      <c r="F98" s="42">
        <f>(F96-E96)*10000</f>
        <v>138.20061868594516</v>
      </c>
      <c r="G98" s="42">
        <f>(G96-F96)*10000</f>
        <v>382.7215940565985</v>
      </c>
      <c r="H98" s="42">
        <f>(H96-G96)*10000</f>
        <v>-106.49155809951051</v>
      </c>
      <c r="J98" s="54">
        <f>(J96-H96)*10000</f>
        <v>100.05873868552125</v>
      </c>
    </row>
    <row r="99">
      <c r="B99" s="7" t="s">
        <v>87</v>
      </c>
      <c r="G99" s="30">
        <f>G95-C95</f>
        <v>121.795</v>
      </c>
      <c r="H99" s="30">
        <f>H95-D95</f>
        <v>106.93900000000001</v>
      </c>
      <c r="J99" s="40">
        <f>J95-E95</f>
        <v>131.119</v>
      </c>
    </row>
    <row r="100">
      <c r="B100" s="7" t="s">
        <v>78</v>
      </c>
      <c r="D100" s="30">
        <f>D95-C95</f>
        <v>6.460000000000001</v>
      </c>
      <c r="E100" s="30">
        <f>E95-D95</f>
        <v>4.001999999999999</v>
      </c>
      <c r="F100" s="30">
        <f>F95-E95</f>
        <v>25.376000000000005</v>
      </c>
      <c r="G100" s="30">
        <f>G95-F95</f>
        <v>85.957</v>
      </c>
      <c r="H100" s="30">
        <f>H95-G95</f>
        <v>-8.395999999999987</v>
      </c>
      <c r="J100" s="40">
        <f>J95-H95</f>
        <v>28.181999999999988</v>
      </c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L10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2" customWidth="1"/>
    <col min="12" max="12" width="60" customWidth="1"/>
  </cols>
  <sheetData>
    <row r="1">
      <c r="B1" s="33" t="s">
        <v>0</v>
      </c>
    </row>
    <row r="2">
      <c r="B2" s="35" t="s">
        <v>195</v>
      </c>
    </row>
    <row r="3">
      <c r="B3" s="27" t="s">
        <v>2</v>
      </c>
    </row>
    <row r="4">
      <c r="B4" s="32" t="s">
        <v>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12" t="s">
        <v>70</v>
      </c>
      <c r="J4" s="12" t="s">
        <v>4</v>
      </c>
    </row>
    <row r="5">
      <c r="B5" s="19" t="s">
        <v>5</v>
      </c>
      <c r="C5" s="20">
        <f>DATE(2025,3,31)</f>
        <v>45747</v>
      </c>
      <c r="D5" s="20">
        <f>DATE(2025,6,30)</f>
        <v>45838</v>
      </c>
      <c r="E5" s="20">
        <f>DATE(2025,9,30)</f>
        <v>45930</v>
      </c>
      <c r="F5" s="20">
        <f>DATE(2025,12,31)</f>
        <v>46022</v>
      </c>
      <c r="G5" s="20">
        <f>DATE(2026,3,31)</f>
        <v>46112</v>
      </c>
      <c r="H5" s="20">
        <f>DATE(2026,6,30)</f>
        <v>46203</v>
      </c>
      <c r="I5" s="20">
        <f>DATE(2025,12,31)</f>
        <v>46022</v>
      </c>
      <c r="J5" s="20">
        <f>DATE(2026,9,30)</f>
        <v>46295</v>
      </c>
    </row>
    <row r="6">
      <c r="B6" s="29" t="s">
        <v>6</v>
      </c>
      <c r="C6" s="14">
        <f>C5-EOMONTH(C5,-3)</f>
        <v>90</v>
      </c>
      <c r="D6" s="14">
        <f>D5-EOMONTH(D5,-3)</f>
        <v>91</v>
      </c>
      <c r="E6" s="14">
        <f>E5-EOMONTH(E5,-3)</f>
        <v>92</v>
      </c>
      <c r="F6" s="14">
        <f>F5-EOMONTH(F5,-3)</f>
        <v>92</v>
      </c>
      <c r="G6" s="14">
        <f>G5-EOMONTH(G5,-3)</f>
        <v>90</v>
      </c>
      <c r="H6" s="14">
        <f>H5-EOMONTH(H5,-3)</f>
        <v>91</v>
      </c>
      <c r="I6" s="14">
        <f>I5-EOMONTH(I5,-12)</f>
        <v>365</v>
      </c>
      <c r="J6" s="14">
        <f>J5-EOMONTH(J5,-3)</f>
        <v>92</v>
      </c>
    </row>
    <row r="8">
      <c r="B8" s="5" t="s">
        <v>143</v>
      </c>
      <c r="J8" s="51"/>
    </row>
    <row r="9">
      <c r="B9" s="7" t="s">
        <v>144</v>
      </c>
      <c r="C9" s="18">
        <v>1306.347</v>
      </c>
      <c r="D9" s="30">
        <f>C19</f>
        <v>1683.073</v>
      </c>
      <c r="E9" s="30">
        <f>D19</f>
        <v>2309.491</v>
      </c>
      <c r="F9" s="30">
        <f>E19</f>
        <v>2586.522</v>
      </c>
      <c r="G9" s="30">
        <f>F19</f>
        <v>2917.94</v>
      </c>
      <c r="H9" s="30">
        <f>G19</f>
        <v>2861.485</v>
      </c>
      <c r="I9" s="30">
        <f>C9</f>
        <v>1306.347</v>
      </c>
      <c r="J9" s="40">
        <f>H19</f>
        <v>4002.847</v>
      </c>
    </row>
    <row r="10">
      <c r="B10" s="7" t="s">
        <v>87</v>
      </c>
      <c r="G10" s="30">
        <f>G9-C9</f>
        <v>1611.593</v>
      </c>
      <c r="H10" s="30">
        <f>H9-D9</f>
        <v>1178.412</v>
      </c>
      <c r="J10" s="40">
        <f>J9-E9</f>
        <v>1693.3560000000002</v>
      </c>
    </row>
    <row r="11">
      <c r="B11" s="7" t="s">
        <v>78</v>
      </c>
      <c r="D11" s="30">
        <f>D9-C9</f>
        <v>376.7260000000001</v>
      </c>
      <c r="E11" s="30">
        <f>E9-D9</f>
        <v>626.4179999999999</v>
      </c>
      <c r="F11" s="30">
        <f>F9-E9</f>
        <v>277.03099999999995</v>
      </c>
      <c r="G11" s="30">
        <f>G9-F9</f>
        <v>331.4180000000001</v>
      </c>
      <c r="H11" s="30">
        <f>H9-G9</f>
        <v>-56.45499999999993</v>
      </c>
      <c r="J11" s="40">
        <f>J9-H9</f>
        <v>1141.362</v>
      </c>
    </row>
    <row r="12">
      <c r="B12" s="7" t="s">
        <v>145</v>
      </c>
      <c r="C12" s="18">
        <v>0</v>
      </c>
      <c r="D12" s="18">
        <v>0</v>
      </c>
      <c r="E12" s="18">
        <v>0</v>
      </c>
      <c r="F12" s="18">
        <v>163.4</v>
      </c>
      <c r="G12" s="18">
        <v>0</v>
      </c>
      <c r="H12" s="18">
        <v>217.4</v>
      </c>
      <c r="I12" s="30">
        <f>SUM(C12:F12)</f>
        <v>163.4</v>
      </c>
      <c r="J12" s="48">
        <v>0</v>
      </c>
      <c r="L12" s="31" t="s">
        <v>146</v>
      </c>
    </row>
    <row r="13">
      <c r="B13" s="7" t="s">
        <v>87</v>
      </c>
      <c r="G13" s="30">
        <f>G12-C12</f>
        <v>0</v>
      </c>
      <c r="H13" s="30">
        <f>H12-D12</f>
        <v>217.4</v>
      </c>
      <c r="J13" s="40">
        <f>J12-E12</f>
        <v>0</v>
      </c>
    </row>
    <row r="14">
      <c r="B14" s="7" t="s">
        <v>78</v>
      </c>
      <c r="D14" s="30">
        <f>D12-C12</f>
        <v>0</v>
      </c>
      <c r="E14" s="30">
        <f>E12-D12</f>
        <v>0</v>
      </c>
      <c r="F14" s="30">
        <f>F12-E12</f>
        <v>163.4</v>
      </c>
      <c r="G14" s="30">
        <f>G12-F12</f>
        <v>-163.4</v>
      </c>
      <c r="H14" s="30">
        <f>H12-G12</f>
        <v>217.4</v>
      </c>
      <c r="J14" s="40">
        <f>J12-H12</f>
        <v>-217.4</v>
      </c>
    </row>
    <row r="15">
      <c r="B15" s="7" t="s">
        <v>147</v>
      </c>
      <c r="C15" s="30">
        <f>C19-C9-C12+C38</f>
        <v>805.7970000000001</v>
      </c>
      <c r="D15" s="30">
        <f>D19-D9-D12+D38</f>
        <v>1161.065</v>
      </c>
      <c r="E15" s="30">
        <f>E19-E9-E12+E38</f>
        <v>917.5379999999999</v>
      </c>
      <c r="F15" s="30">
        <f>F19-F9-F12+F38</f>
        <v>991.6890000000004</v>
      </c>
      <c r="G15" s="30">
        <f>G19-G9-G12+G38</f>
        <v>748.2550000000001</v>
      </c>
      <c r="H15" s="30">
        <f>H19-H9-H12+H38</f>
        <v>1892.951</v>
      </c>
      <c r="I15" s="30">
        <f>SUM(C15:F15)</f>
        <v>3876.0890000000004</v>
      </c>
      <c r="J15" s="40">
        <f>J38*J33</f>
        <v>1188.8455590000003</v>
      </c>
      <c r="L15" s="31" t="s">
        <v>148</v>
      </c>
    </row>
    <row r="16">
      <c r="B16" s="7" t="s">
        <v>87</v>
      </c>
      <c r="G16" s="30">
        <f>G15-C15</f>
        <v>-57.54200000000003</v>
      </c>
      <c r="H16" s="30">
        <f>H15-D15</f>
        <v>731.886</v>
      </c>
      <c r="J16" s="40">
        <f>J15-E15</f>
        <v>271.3075590000004</v>
      </c>
    </row>
    <row r="17">
      <c r="B17" s="7" t="s">
        <v>78</v>
      </c>
      <c r="D17" s="30">
        <f>D15-C15</f>
        <v>355.2679999999999</v>
      </c>
      <c r="E17" s="30">
        <f>E15-D15</f>
        <v>-243.52700000000016</v>
      </c>
      <c r="F17" s="30">
        <f>F15-E15</f>
        <v>74.15100000000052</v>
      </c>
      <c r="G17" s="30">
        <f>G15-F15</f>
        <v>-243.4340000000003</v>
      </c>
      <c r="H17" s="30">
        <f>H15-G15</f>
        <v>1144.696</v>
      </c>
      <c r="J17" s="40">
        <f>J15-H15</f>
        <v>-704.1054409999997</v>
      </c>
    </row>
    <row r="18">
      <c r="B18" s="7" t="s">
        <v>149</v>
      </c>
      <c r="C18" s="30">
        <f>-C38</f>
        <v>-429.071</v>
      </c>
      <c r="D18" s="30">
        <f>-D38</f>
        <v>-534.647</v>
      </c>
      <c r="E18" s="30">
        <f>-E38</f>
        <v>-640.507</v>
      </c>
      <c r="F18" s="30">
        <f>-F38</f>
        <v>-823.6710000000003</v>
      </c>
      <c r="G18" s="30">
        <f>-G38</f>
        <v>-804.71</v>
      </c>
      <c r="H18" s="30">
        <f>-H38</f>
        <v>-968.989</v>
      </c>
      <c r="I18" s="30">
        <f>-I38</f>
        <v>-2427.896</v>
      </c>
      <c r="J18" s="40">
        <f>-J38</f>
        <v>-1080.76869</v>
      </c>
    </row>
    <row r="19">
      <c r="B19" s="5" t="s">
        <v>150</v>
      </c>
      <c r="C19" s="67">
        <v>1683.073</v>
      </c>
      <c r="D19" s="67">
        <v>2309.491</v>
      </c>
      <c r="E19" s="67">
        <v>2586.522</v>
      </c>
      <c r="F19" s="67">
        <v>2917.94</v>
      </c>
      <c r="G19" s="67">
        <v>2861.485</v>
      </c>
      <c r="H19" s="67">
        <v>4002.847</v>
      </c>
      <c r="I19" s="17">
        <f>F19</f>
        <v>2917.94</v>
      </c>
      <c r="J19" s="63">
        <f>J9+J12+J15+J18</f>
        <v>4110.923869000001</v>
      </c>
    </row>
    <row r="20">
      <c r="B20" s="28" t="s">
        <v>73</v>
      </c>
      <c r="G20" s="16">
        <f>G19/C19-1</f>
        <v>0.7001550140724733</v>
      </c>
      <c r="H20" s="16">
        <f>H19/D19-1</f>
        <v>0.7332161069257253</v>
      </c>
      <c r="J20" s="59">
        <f>J19/E19-1</f>
        <v>0.589363581287923</v>
      </c>
    </row>
    <row r="21">
      <c r="B21" s="7" t="s">
        <v>78</v>
      </c>
      <c r="D21" s="30">
        <f>D19-C19</f>
        <v>626.4179999999999</v>
      </c>
      <c r="E21" s="30">
        <f>E19-D19</f>
        <v>277.03099999999995</v>
      </c>
      <c r="F21" s="30">
        <f>F19-E19</f>
        <v>331.4180000000001</v>
      </c>
      <c r="G21" s="30">
        <f>G19-F19</f>
        <v>-56.45499999999993</v>
      </c>
      <c r="H21" s="30">
        <f>H19-G19</f>
        <v>1141.362</v>
      </c>
      <c r="J21" s="40">
        <f>J19-H19</f>
        <v>108.0768690000009</v>
      </c>
    </row>
    <row r="22">
      <c r="B22" s="7" t="s">
        <v>151</v>
      </c>
      <c r="C22" s="30">
        <f>(C9+C19)/2</f>
        <v>1494.71</v>
      </c>
      <c r="D22" s="30">
        <f>(D9+D19)/2</f>
        <v>1996.2820000000002</v>
      </c>
      <c r="E22" s="30">
        <f>(E9+E19)/2</f>
        <v>2448.0065</v>
      </c>
      <c r="F22" s="30">
        <f>(F9+F19)/2</f>
        <v>2752.2309999999998</v>
      </c>
      <c r="G22" s="30">
        <f>(G9+G19)/2</f>
        <v>2889.7125</v>
      </c>
      <c r="H22" s="30">
        <f>(H9+H19)/2</f>
        <v>3432.166</v>
      </c>
      <c r="I22" s="30">
        <f>(I9+I19)/2</f>
        <v>2112.1435</v>
      </c>
      <c r="J22" s="40">
        <f>(J9+J19)/2</f>
        <v>4056.885434500001</v>
      </c>
    </row>
    <row r="23">
      <c r="B23" s="7" t="s">
        <v>87</v>
      </c>
      <c r="G23" s="30">
        <f>G22-C22</f>
        <v>1395.0025</v>
      </c>
      <c r="H23" s="30">
        <f>H22-D22</f>
        <v>1435.884</v>
      </c>
      <c r="J23" s="40">
        <f>J22-E22</f>
        <v>1608.878934500001</v>
      </c>
    </row>
    <row r="24">
      <c r="B24" s="7" t="s">
        <v>78</v>
      </c>
      <c r="D24" s="30">
        <f>D22-C22</f>
        <v>501.5720000000001</v>
      </c>
      <c r="E24" s="30">
        <f>E22-D22</f>
        <v>451.7244999999998</v>
      </c>
      <c r="F24" s="30">
        <f>F22-E22</f>
        <v>304.2244999999998</v>
      </c>
      <c r="G24" s="30">
        <f>G22-F22</f>
        <v>137.48150000000032</v>
      </c>
      <c r="H24" s="30">
        <f>H22-G22</f>
        <v>542.4535000000001</v>
      </c>
      <c r="J24" s="40">
        <f>J22-H22</f>
        <v>624.7194345000007</v>
      </c>
    </row>
    <row r="25">
      <c r="B25" s="7" t="s">
        <v>152</v>
      </c>
      <c r="C25" s="30">
        <f>C19-C9</f>
        <v>376.7260000000001</v>
      </c>
      <c r="D25" s="30">
        <f>D19-D9</f>
        <v>626.4179999999999</v>
      </c>
      <c r="E25" s="30">
        <f>E19-E9</f>
        <v>277.03099999999995</v>
      </c>
      <c r="F25" s="30">
        <f>F19-F9</f>
        <v>331.4180000000001</v>
      </c>
      <c r="G25" s="30">
        <f>G19-G9</f>
        <v>-56.45499999999993</v>
      </c>
      <c r="H25" s="30">
        <f>H19-H9</f>
        <v>1141.362</v>
      </c>
      <c r="I25" s="30">
        <f>I19-I9</f>
        <v>1611.593</v>
      </c>
      <c r="J25" s="40">
        <f>J19-J9</f>
        <v>108.0768690000009</v>
      </c>
    </row>
    <row r="26">
      <c r="B26" s="7" t="s">
        <v>87</v>
      </c>
      <c r="G26" s="30">
        <f>G25-C25</f>
        <v>-433.18100000000004</v>
      </c>
      <c r="H26" s="30">
        <f>H25-D25</f>
        <v>514.9440000000002</v>
      </c>
      <c r="J26" s="40">
        <f>J25-E25</f>
        <v>-168.95413099999905</v>
      </c>
    </row>
    <row r="27">
      <c r="B27" s="7" t="s">
        <v>78</v>
      </c>
      <c r="D27" s="30">
        <f>D25-C25</f>
        <v>249.69199999999978</v>
      </c>
      <c r="E27" s="30">
        <f>E25-D25</f>
        <v>-349.38699999999994</v>
      </c>
      <c r="F27" s="30">
        <f>F25-E25</f>
        <v>54.38700000000017</v>
      </c>
      <c r="G27" s="30">
        <f>G25-F25</f>
        <v>-387.87300000000005</v>
      </c>
      <c r="H27" s="30">
        <f>H25-G25</f>
        <v>1197.817</v>
      </c>
      <c r="J27" s="40">
        <f>J25-H25</f>
        <v>-1033.2851309999992</v>
      </c>
    </row>
    <row r="28">
      <c r="J28" s="51"/>
    </row>
    <row r="29">
      <c r="B29" s="5" t="s">
        <v>153</v>
      </c>
      <c r="J29" s="51"/>
    </row>
    <row r="30">
      <c r="B30" s="28" t="s">
        <v>154</v>
      </c>
      <c r="C30" s="16">
        <f>C38/C9</f>
        <v>0.3284510164604045</v>
      </c>
      <c r="D30" s="16">
        <f>D38/D9</f>
        <v>0.3176612066143299</v>
      </c>
      <c r="E30" s="16">
        <f>E38/E9</f>
        <v>0.27733686773405913</v>
      </c>
      <c r="F30" s="16">
        <f>F38/F9</f>
        <v>0.3184473203784852</v>
      </c>
      <c r="G30" s="16">
        <f>G38/G9</f>
        <v>0.27578017368417446</v>
      </c>
      <c r="H30" s="16">
        <f>H38/H9</f>
        <v>0.3386315147554504</v>
      </c>
      <c r="I30" s="16">
        <f>I38/I9</f>
        <v>1.8585383516018334</v>
      </c>
      <c r="J30" s="65">
        <v>0.27</v>
      </c>
      <c r="L30" s="31" t="s">
        <v>196</v>
      </c>
    </row>
    <row r="31">
      <c r="B31" s="7" t="s">
        <v>156</v>
      </c>
      <c r="G31" s="42">
        <f>(G30-C30)*10000</f>
        <v>-526.7084277623002</v>
      </c>
      <c r="H31" s="42">
        <f>(H30-D30)*10000</f>
        <v>209.70308141120498</v>
      </c>
      <c r="J31" s="54">
        <f>(J30-E30)*10000</f>
        <v>-73.36867734059116</v>
      </c>
    </row>
    <row r="32">
      <c r="B32" s="7" t="s">
        <v>157</v>
      </c>
      <c r="D32" s="42">
        <f>(D30-C30)*10000</f>
        <v>-107.89809846074583</v>
      </c>
      <c r="E32" s="42">
        <f>(E30-D30)*10000</f>
        <v>-403.2433888027076</v>
      </c>
      <c r="F32" s="42">
        <f>(F30-E30)*10000</f>
        <v>411.1045264442609</v>
      </c>
      <c r="G32" s="42">
        <f>(G30-F30)*10000</f>
        <v>-426.67146694310765</v>
      </c>
      <c r="H32" s="42">
        <f>(H30-G30)*10000</f>
        <v>628.5134107127593</v>
      </c>
      <c r="J32" s="54">
        <f>(J30-H30)*10000</f>
        <v>-686.3151475545037</v>
      </c>
    </row>
    <row r="33">
      <c r="B33" s="7" t="s">
        <v>158</v>
      </c>
      <c r="C33" s="66">
        <f>C15/C38</f>
        <v>1.8780038734848081</v>
      </c>
      <c r="D33" s="66">
        <f>D15/D38</f>
        <v>2.1716478349265964</v>
      </c>
      <c r="E33" s="66">
        <f>E15/E38</f>
        <v>1.4325183019077075</v>
      </c>
      <c r="F33" s="66">
        <f>F15/F38</f>
        <v>1.2039867859861524</v>
      </c>
      <c r="G33" s="66">
        <f>G15/G38</f>
        <v>0.9298442917324254</v>
      </c>
      <c r="H33" s="66">
        <f>H15/H38</f>
        <v>1.9535319802391977</v>
      </c>
      <c r="I33" s="66">
        <f>I15/I38</f>
        <v>1.596480656502585</v>
      </c>
      <c r="J33" s="69">
        <v>1.1</v>
      </c>
      <c r="L33" s="31" t="s">
        <v>159</v>
      </c>
    </row>
    <row r="34">
      <c r="B34" s="7" t="s">
        <v>160</v>
      </c>
      <c r="G34" s="66">
        <f>G33-C33</f>
        <v>-0.9481595817523827</v>
      </c>
      <c r="H34" s="66">
        <f>H33-D33</f>
        <v>-0.2181158546873987</v>
      </c>
      <c r="J34" s="79">
        <f>J33-E33</f>
        <v>-0.33251830190770737</v>
      </c>
    </row>
    <row r="35">
      <c r="B35" s="7" t="s">
        <v>161</v>
      </c>
      <c r="D35" s="66">
        <f>D33-C33</f>
        <v>0.2936439614417883</v>
      </c>
      <c r="E35" s="66">
        <f>E33-D33</f>
        <v>-0.739129533018889</v>
      </c>
      <c r="F35" s="66">
        <f>F33-E33</f>
        <v>-0.22853151592155507</v>
      </c>
      <c r="G35" s="66">
        <f>G33-F33</f>
        <v>-0.27414249425372694</v>
      </c>
      <c r="H35" s="66">
        <f>H33-G33</f>
        <v>1.0236876885067723</v>
      </c>
      <c r="J35" s="79">
        <f>J33-H33</f>
        <v>-0.8535319802391976</v>
      </c>
    </row>
    <row r="36">
      <c r="J36" s="51"/>
    </row>
    <row r="37">
      <c r="B37" s="5" t="s">
        <v>162</v>
      </c>
      <c r="J37" s="51"/>
    </row>
    <row r="38">
      <c r="B38" s="5" t="s">
        <v>83</v>
      </c>
      <c r="C38" s="67">
        <v>429.071</v>
      </c>
      <c r="D38" s="67">
        <v>534.647</v>
      </c>
      <c r="E38" s="67">
        <v>640.507</v>
      </c>
      <c r="F38" s="17">
        <f>I38-SUM(C38:E38)</f>
        <v>823.6710000000003</v>
      </c>
      <c r="G38" s="67">
        <v>804.71</v>
      </c>
      <c r="H38" s="67">
        <v>968.989</v>
      </c>
      <c r="I38" s="67">
        <v>2427.896</v>
      </c>
      <c r="J38" s="63">
        <f>J9*J30</f>
        <v>1080.76869</v>
      </c>
      <c r="L38" s="31" t="s">
        <v>163</v>
      </c>
    </row>
    <row r="39">
      <c r="B39" s="28" t="s">
        <v>73</v>
      </c>
      <c r="C39" s="16">
        <f>C38/C43-1</f>
        <v>0.21892746451064893</v>
      </c>
      <c r="D39" s="16">
        <f>D38/D43-1</f>
        <v>0.4908828786623949</v>
      </c>
      <c r="E39" s="16">
        <f>E38/E43-1</f>
        <v>0.71373568892492</v>
      </c>
      <c r="F39" s="16">
        <f>F38/F43-1</f>
        <v>0.9823371559909029</v>
      </c>
      <c r="G39" s="16">
        <f>G38/C38-1</f>
        <v>0.8754704932283934</v>
      </c>
      <c r="H39" s="16">
        <f>H38/D38-1</f>
        <v>0.8123902313115008</v>
      </c>
      <c r="I39" s="16">
        <f>I38/I43-1</f>
        <v>0.618735465426383</v>
      </c>
      <c r="J39" s="59">
        <f>J38/E38-1</f>
        <v>0.6873643691638034</v>
      </c>
    </row>
    <row r="40">
      <c r="B40" s="28" t="s">
        <v>74</v>
      </c>
      <c r="D40" s="16">
        <f>D38/C38-1</f>
        <v>0.24605717934794002</v>
      </c>
      <c r="E40" s="16">
        <f>E38/D38-1</f>
        <v>0.19799980173834308</v>
      </c>
      <c r="F40" s="16">
        <f>F38/E38-1</f>
        <v>0.28596721035055106</v>
      </c>
      <c r="G40" s="16">
        <f>G38/F38-1</f>
        <v>-0.02302011361332401</v>
      </c>
      <c r="H40" s="16">
        <f>H38/G38-1</f>
        <v>0.20414683550595858</v>
      </c>
      <c r="J40" s="59">
        <f>J38/H38-1</f>
        <v>0.11535702675675386</v>
      </c>
    </row>
    <row r="41">
      <c r="B41" s="7" t="s">
        <v>87</v>
      </c>
      <c r="C41" s="30">
        <f>C38-C43</f>
        <v>77.06400000000002</v>
      </c>
      <c r="D41" s="30">
        <f>D38-D43</f>
        <v>176.03600000000006</v>
      </c>
      <c r="E41" s="30">
        <f>E38-E43</f>
        <v>266.7579999999999</v>
      </c>
      <c r="F41" s="30">
        <f>F38-F43</f>
        <v>408.16600000000017</v>
      </c>
      <c r="G41" s="30">
        <f>G38-C38</f>
        <v>375.639</v>
      </c>
      <c r="H41" s="30">
        <f>H38-D38</f>
        <v>434.342</v>
      </c>
      <c r="I41" s="30">
        <f>I38-I43</f>
        <v>928.0240000000001</v>
      </c>
      <c r="J41" s="40">
        <f>J38-E38</f>
        <v>440.26169000000016</v>
      </c>
    </row>
    <row r="42">
      <c r="B42" s="7" t="s">
        <v>78</v>
      </c>
      <c r="D42" s="30">
        <f>D38-C38</f>
        <v>105.57600000000002</v>
      </c>
      <c r="E42" s="30">
        <f>E38-D38</f>
        <v>105.8599999999999</v>
      </c>
      <c r="F42" s="30">
        <f>F38-E38</f>
        <v>183.16400000000033</v>
      </c>
      <c r="G42" s="30">
        <f>G38-F38</f>
        <v>-18.96100000000024</v>
      </c>
      <c r="H42" s="30">
        <f>H38-G38</f>
        <v>164.279</v>
      </c>
      <c r="J42" s="40">
        <f>J38-H38</f>
        <v>111.77969000000007</v>
      </c>
    </row>
    <row r="43">
      <c r="B43" s="7" t="s">
        <v>86</v>
      </c>
      <c r="C43" s="18">
        <v>352.007</v>
      </c>
      <c r="D43" s="18">
        <v>358.611</v>
      </c>
      <c r="E43" s="18">
        <v>373.749</v>
      </c>
      <c r="F43" s="30">
        <f>I43-SUM(C43:E43)</f>
        <v>415.5050000000001</v>
      </c>
      <c r="G43" s="30">
        <f>C38</f>
        <v>429.071</v>
      </c>
      <c r="H43" s="30">
        <f>D38</f>
        <v>534.647</v>
      </c>
      <c r="I43" s="18">
        <v>1499.872</v>
      </c>
      <c r="J43" s="40">
        <f>E38</f>
        <v>640.507</v>
      </c>
    </row>
    <row r="44">
      <c r="J44" s="51"/>
    </row>
    <row r="45">
      <c r="B45" s="5" t="s">
        <v>164</v>
      </c>
      <c r="J45" s="51"/>
    </row>
    <row r="46">
      <c r="B46" s="7" t="s">
        <v>90</v>
      </c>
      <c r="C46" s="18">
        <v>0</v>
      </c>
      <c r="D46" s="18">
        <v>0</v>
      </c>
      <c r="E46" s="18">
        <v>0</v>
      </c>
      <c r="F46" s="30">
        <f>I46-SUM(C46:E46)</f>
        <v>66.8</v>
      </c>
      <c r="G46" s="18">
        <v>70</v>
      </c>
      <c r="H46" s="18">
        <v>132.6</v>
      </c>
      <c r="I46" s="18">
        <v>66.8</v>
      </c>
      <c r="J46" s="48">
        <v>150</v>
      </c>
      <c r="L46" s="31" t="s">
        <v>197</v>
      </c>
    </row>
    <row r="47">
      <c r="B47" s="7" t="s">
        <v>87</v>
      </c>
      <c r="G47" s="30">
        <f>G46-C46</f>
        <v>70</v>
      </c>
      <c r="H47" s="30">
        <f>H46-D46</f>
        <v>132.6</v>
      </c>
      <c r="J47" s="40">
        <f>J46-E46</f>
        <v>150</v>
      </c>
    </row>
    <row r="48">
      <c r="B48" s="7" t="s">
        <v>78</v>
      </c>
      <c r="D48" s="30">
        <f>D46-C46</f>
        <v>0</v>
      </c>
      <c r="E48" s="30">
        <f>E46-D46</f>
        <v>0</v>
      </c>
      <c r="F48" s="30">
        <f>F46-E46</f>
        <v>66.8</v>
      </c>
      <c r="G48" s="30">
        <f>G46-F46</f>
        <v>3.200000000000003</v>
      </c>
      <c r="H48" s="30">
        <f>H46-G46</f>
        <v>62.599999999999994</v>
      </c>
      <c r="J48" s="40">
        <f>J46-H46</f>
        <v>17.400000000000006</v>
      </c>
    </row>
    <row r="49">
      <c r="B49" s="7" t="s">
        <v>166</v>
      </c>
      <c r="C49" s="30">
        <f>C38-C46</f>
        <v>429.071</v>
      </c>
      <c r="D49" s="30">
        <f>D38-D46</f>
        <v>534.647</v>
      </c>
      <c r="E49" s="30">
        <f>E38-E46</f>
        <v>640.507</v>
      </c>
      <c r="F49" s="30">
        <f>F38-F46</f>
        <v>756.8710000000003</v>
      </c>
      <c r="G49" s="30">
        <f>G38-G46</f>
        <v>734.71</v>
      </c>
      <c r="H49" s="30">
        <f>H38-H46</f>
        <v>836.389</v>
      </c>
      <c r="I49" s="30">
        <f>I38-I46</f>
        <v>2361.096</v>
      </c>
      <c r="J49" s="40">
        <f>J38-J46</f>
        <v>930.7686900000001</v>
      </c>
    </row>
    <row r="50">
      <c r="B50" s="7" t="s">
        <v>87</v>
      </c>
      <c r="C50" s="30">
        <f>C49-C43</f>
        <v>77.06400000000002</v>
      </c>
      <c r="D50" s="30">
        <f>D49-D43</f>
        <v>176.03600000000006</v>
      </c>
      <c r="E50" s="30">
        <f>E49-E43</f>
        <v>266.7579999999999</v>
      </c>
      <c r="F50" s="30">
        <f>F49-F43</f>
        <v>341.3660000000002</v>
      </c>
      <c r="G50" s="30">
        <f>G49-G43</f>
        <v>305.639</v>
      </c>
      <c r="H50" s="30">
        <f>H49-H43</f>
        <v>301.74199999999996</v>
      </c>
      <c r="I50" s="30">
        <f>I49-I43</f>
        <v>861.2239999999999</v>
      </c>
      <c r="J50" s="40">
        <f>J49-J43</f>
        <v>290.26169000000016</v>
      </c>
    </row>
    <row r="51">
      <c r="B51" s="7" t="s">
        <v>78</v>
      </c>
      <c r="D51" s="30">
        <f>D49-C49</f>
        <v>105.57600000000002</v>
      </c>
      <c r="E51" s="30">
        <f>E49-D49</f>
        <v>105.8599999999999</v>
      </c>
      <c r="F51" s="30">
        <f>F49-E49</f>
        <v>116.36400000000037</v>
      </c>
      <c r="G51" s="30">
        <f>G49-F49</f>
        <v>-22.161000000000286</v>
      </c>
      <c r="H51" s="30">
        <f>H49-G49</f>
        <v>101.67899999999997</v>
      </c>
      <c r="J51" s="40">
        <f>J49-H49</f>
        <v>94.3796900000001</v>
      </c>
    </row>
    <row r="52">
      <c r="B52" s="28" t="s">
        <v>91</v>
      </c>
      <c r="C52" s="16">
        <f>C46/C43</f>
        <v>0</v>
      </c>
      <c r="D52" s="16">
        <f>D46/D43</f>
        <v>0</v>
      </c>
      <c r="E52" s="16">
        <f>E46/E43</f>
        <v>0</v>
      </c>
      <c r="F52" s="16">
        <f>F46/F43</f>
        <v>0.160768221802385</v>
      </c>
      <c r="G52" s="16">
        <f>G46/G43</f>
        <v>0.16314316278657842</v>
      </c>
      <c r="H52" s="16">
        <f>H46/H43</f>
        <v>0.2480141102447035</v>
      </c>
      <c r="I52" s="16">
        <f>I46/I43</f>
        <v>0.04453713383542062</v>
      </c>
      <c r="J52" s="59">
        <f>J46/J43</f>
        <v>0.23418947802287876</v>
      </c>
    </row>
    <row r="53">
      <c r="B53" s="28" t="s">
        <v>92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65">
        <v>0</v>
      </c>
      <c r="L53" s="31" t="s">
        <v>167</v>
      </c>
    </row>
    <row r="54">
      <c r="B54" s="28" t="s">
        <v>95</v>
      </c>
      <c r="C54" s="16">
        <f>C56-C52-C53</f>
        <v>0.21892746451064893</v>
      </c>
      <c r="D54" s="16">
        <f>D56-D52-D53</f>
        <v>0.4908828786623949</v>
      </c>
      <c r="E54" s="16">
        <f>E56-E52-E53</f>
        <v>0.71373568892492</v>
      </c>
      <c r="F54" s="16">
        <f>F56-F52-F53</f>
        <v>0.8215689341885178</v>
      </c>
      <c r="G54" s="16">
        <f>G56-G52-G53</f>
        <v>0.712327330441815</v>
      </c>
      <c r="H54" s="16">
        <f>H56-H52-H53</f>
        <v>0.5643761210667972</v>
      </c>
      <c r="I54" s="16">
        <f>I56-I52-I53</f>
        <v>0.5741983315909625</v>
      </c>
      <c r="J54" s="59">
        <f>J56-J52-J53</f>
        <v>0.45317489114092463</v>
      </c>
      <c r="L54" s="31" t="s">
        <v>168</v>
      </c>
    </row>
    <row r="55">
      <c r="B55" s="28" t="s">
        <v>169</v>
      </c>
      <c r="C55" s="16">
        <f>(C49-C43)/C43</f>
        <v>0.21892746451064898</v>
      </c>
      <c r="D55" s="16">
        <f>(D49-D43)/D43</f>
        <v>0.49088287866239483</v>
      </c>
      <c r="E55" s="16">
        <f>(E49-E43)/E43</f>
        <v>0.71373568892492</v>
      </c>
      <c r="F55" s="16">
        <f>(F49-F43)/F43</f>
        <v>0.8215689341885178</v>
      </c>
      <c r="G55" s="16">
        <f>(G49-G43)/G43</f>
        <v>0.712327330441815</v>
      </c>
      <c r="H55" s="16">
        <f>(H49-H43)/H43</f>
        <v>0.5643761210667972</v>
      </c>
      <c r="I55" s="16">
        <f>(I49-I43)/I43</f>
        <v>0.5741983315909623</v>
      </c>
      <c r="J55" s="59">
        <f>(J49-J43)/J43</f>
        <v>0.4531748911409246</v>
      </c>
      <c r="L55" s="31" t="s">
        <v>170</v>
      </c>
    </row>
    <row r="56">
      <c r="B56" s="76" t="s">
        <v>94</v>
      </c>
      <c r="C56" s="68">
        <f>C38/C43-1</f>
        <v>0.21892746451064893</v>
      </c>
      <c r="D56" s="68">
        <f>D38/D43-1</f>
        <v>0.4908828786623949</v>
      </c>
      <c r="E56" s="68">
        <f>E38/E43-1</f>
        <v>0.71373568892492</v>
      </c>
      <c r="F56" s="68">
        <f>F38/F43-1</f>
        <v>0.9823371559909029</v>
      </c>
      <c r="G56" s="68">
        <f>G38/G43-1</f>
        <v>0.8754704932283934</v>
      </c>
      <c r="H56" s="68">
        <f>H38/H43-1</f>
        <v>0.8123902313115008</v>
      </c>
      <c r="I56" s="68">
        <f>I38/I43-1</f>
        <v>0.618735465426383</v>
      </c>
      <c r="J56" s="74">
        <f>J38/J43-1</f>
        <v>0.6873643691638034</v>
      </c>
    </row>
    <row r="57">
      <c r="J57" s="51"/>
    </row>
    <row r="58">
      <c r="B58" s="5" t="s">
        <v>171</v>
      </c>
      <c r="J58" s="51"/>
    </row>
    <row r="59">
      <c r="B59" s="7" t="s">
        <v>172</v>
      </c>
      <c r="C59" s="18">
        <v>330.174</v>
      </c>
      <c r="D59" s="18">
        <v>399.356</v>
      </c>
      <c r="E59" s="18">
        <v>472.411</v>
      </c>
      <c r="F59" s="30">
        <f>I59-SUM(C59:E59)</f>
        <v>602.452</v>
      </c>
      <c r="G59" s="18">
        <v>604.575</v>
      </c>
      <c r="H59" s="18">
        <v>713.271</v>
      </c>
      <c r="I59" s="18">
        <v>1804.393</v>
      </c>
      <c r="J59" s="40">
        <f>J38-J62</f>
        <v>797.6072932200001</v>
      </c>
    </row>
    <row r="60">
      <c r="B60" s="28" t="s">
        <v>73</v>
      </c>
      <c r="G60" s="16">
        <f>G59/C59-1</f>
        <v>0.8310799760126482</v>
      </c>
      <c r="H60" s="16">
        <f>H59/D59-1</f>
        <v>0.786053045403099</v>
      </c>
      <c r="J60" s="59">
        <f>J59/E59-1</f>
        <v>0.6883757855342065</v>
      </c>
    </row>
    <row r="61">
      <c r="B61" s="7" t="s">
        <v>78</v>
      </c>
      <c r="D61" s="30">
        <f>D59-C59</f>
        <v>69.18200000000002</v>
      </c>
      <c r="E61" s="30">
        <f>E59-D59</f>
        <v>73.055</v>
      </c>
      <c r="F61" s="30">
        <f>F59-E59</f>
        <v>130.041</v>
      </c>
      <c r="G61" s="30">
        <f>G59-F59</f>
        <v>2.1230000000000473</v>
      </c>
      <c r="H61" s="30">
        <f>H59-G59</f>
        <v>108.69599999999991</v>
      </c>
      <c r="J61" s="40">
        <f>J59-H59</f>
        <v>84.33629322000013</v>
      </c>
    </row>
    <row r="62">
      <c r="B62" s="5" t="s">
        <v>173</v>
      </c>
      <c r="C62" s="17">
        <f>C38-C59</f>
        <v>98.89700000000005</v>
      </c>
      <c r="D62" s="17">
        <f>D38-D59</f>
        <v>135.29100000000005</v>
      </c>
      <c r="E62" s="17">
        <f>E38-E59</f>
        <v>168.09599999999995</v>
      </c>
      <c r="F62" s="17">
        <f>F38-F59</f>
        <v>221.21900000000028</v>
      </c>
      <c r="G62" s="17">
        <f>G38-G59</f>
        <v>200.135</v>
      </c>
      <c r="H62" s="17">
        <f>H38-H59</f>
        <v>255.71800000000007</v>
      </c>
      <c r="I62" s="17">
        <f>I38-I59</f>
        <v>623.5030000000002</v>
      </c>
      <c r="J62" s="63">
        <f>J38*J65</f>
        <v>283.16139678</v>
      </c>
    </row>
    <row r="63">
      <c r="B63" s="28" t="s">
        <v>73</v>
      </c>
      <c r="G63" s="16">
        <f>G62/C62-1</f>
        <v>1.0236710921463734</v>
      </c>
      <c r="H63" s="16">
        <f>H62/D62-1</f>
        <v>0.8901331204588625</v>
      </c>
      <c r="J63" s="59">
        <f>J62/E62-1</f>
        <v>0.6845219206881787</v>
      </c>
    </row>
    <row r="64">
      <c r="B64" s="7" t="s">
        <v>78</v>
      </c>
      <c r="D64" s="30">
        <f>D62-C62</f>
        <v>36.394000000000005</v>
      </c>
      <c r="E64" s="30">
        <f>E62-D62</f>
        <v>32.80499999999989</v>
      </c>
      <c r="F64" s="30">
        <f>F62-E62</f>
        <v>53.12300000000033</v>
      </c>
      <c r="G64" s="30">
        <f>G62-F62</f>
        <v>-21.084000000000287</v>
      </c>
      <c r="H64" s="30">
        <f>H62-G62</f>
        <v>55.583000000000084</v>
      </c>
      <c r="J64" s="40">
        <f>J62-H62</f>
        <v>27.443396779999944</v>
      </c>
    </row>
    <row r="65">
      <c r="B65" s="28" t="s">
        <v>174</v>
      </c>
      <c r="C65" s="16">
        <f>C62/C38</f>
        <v>0.23049099100148937</v>
      </c>
      <c r="D65" s="16">
        <f>D62/D38</f>
        <v>0.25304733777614025</v>
      </c>
      <c r="E65" s="16">
        <f>E62/E38</f>
        <v>0.26244209665155876</v>
      </c>
      <c r="F65" s="16">
        <f>F62/F38</f>
        <v>0.26857689538662916</v>
      </c>
      <c r="G65" s="16">
        <f>G62/G38</f>
        <v>0.24870450224304405</v>
      </c>
      <c r="H65" s="16">
        <f>H62/H38</f>
        <v>0.2639018605990368</v>
      </c>
      <c r="I65" s="16">
        <f>I62/I38</f>
        <v>0.2568079522351864</v>
      </c>
      <c r="J65" s="65">
        <v>0.262</v>
      </c>
      <c r="L65" s="31" t="s">
        <v>198</v>
      </c>
    </row>
    <row r="66">
      <c r="B66" s="7" t="s">
        <v>156</v>
      </c>
      <c r="G66" s="42">
        <f>(G65-C65)*10000</f>
        <v>182.1351124155468</v>
      </c>
      <c r="H66" s="42">
        <f>(H65-D65)*10000</f>
        <v>108.54522822896561</v>
      </c>
      <c r="J66" s="54">
        <f>(J65-E65)*10000</f>
        <v>-4.420966515587543</v>
      </c>
    </row>
    <row r="67">
      <c r="B67" s="7" t="s">
        <v>157</v>
      </c>
      <c r="D67" s="42">
        <f>(D65-C65)*10000</f>
        <v>225.56346774650876</v>
      </c>
      <c r="E67" s="42">
        <f>(E65-D65)*10000</f>
        <v>93.94758875418519</v>
      </c>
      <c r="F67" s="42">
        <f>(F65-E65)*10000</f>
        <v>61.3479873507039</v>
      </c>
      <c r="G67" s="42">
        <f>(G65-F65)*10000</f>
        <v>-198.72393143585103</v>
      </c>
      <c r="H67" s="42">
        <f>(H65-G65)*10000</f>
        <v>151.97358355992756</v>
      </c>
      <c r="J67" s="54">
        <f>(J65-H65)*10000</f>
        <v>-19.018605990367977</v>
      </c>
    </row>
    <row r="68">
      <c r="B68" s="7" t="s">
        <v>176</v>
      </c>
      <c r="C68" s="18">
        <v>44.046</v>
      </c>
      <c r="D68" s="18">
        <v>55.235</v>
      </c>
      <c r="E68" s="18">
        <v>60.021</v>
      </c>
      <c r="F68" s="30">
        <f>I68-SUM(C68:E68)</f>
        <v>77.27800000000002</v>
      </c>
      <c r="G68" s="18">
        <v>79.854</v>
      </c>
      <c r="H68" s="18">
        <v>101.825</v>
      </c>
      <c r="I68" s="18">
        <v>236.58</v>
      </c>
      <c r="J68" s="40">
        <f>J38*J71</f>
        <v>111.31917507</v>
      </c>
    </row>
    <row r="69">
      <c r="B69" s="28" t="s">
        <v>73</v>
      </c>
      <c r="G69" s="16">
        <f>G68/C68-1</f>
        <v>0.8129682604549788</v>
      </c>
      <c r="H69" s="16">
        <f>H68/D68-1</f>
        <v>0.8434869195256631</v>
      </c>
      <c r="J69" s="59">
        <f>J68/E68-1</f>
        <v>0.854670449842555</v>
      </c>
    </row>
    <row r="70">
      <c r="B70" s="7" t="s">
        <v>78</v>
      </c>
      <c r="D70" s="30">
        <f>D68-C68</f>
        <v>11.189</v>
      </c>
      <c r="E70" s="30">
        <f>E68-D68</f>
        <v>4.786000000000001</v>
      </c>
      <c r="F70" s="30">
        <f>F68-E68</f>
        <v>17.25700000000002</v>
      </c>
      <c r="G70" s="30">
        <f>G68-F68</f>
        <v>2.575999999999979</v>
      </c>
      <c r="H70" s="30">
        <f>H68-G68</f>
        <v>21.971000000000004</v>
      </c>
      <c r="J70" s="40">
        <f>J68-H68</f>
        <v>9.494175069999997</v>
      </c>
    </row>
    <row r="71">
      <c r="B71" s="28" t="s">
        <v>177</v>
      </c>
      <c r="C71" s="16">
        <f>C68/C38</f>
        <v>0.10265433925853762</v>
      </c>
      <c r="D71" s="16">
        <f>D68/D38</f>
        <v>0.10331115670713573</v>
      </c>
      <c r="E71" s="16">
        <f>E68/E38</f>
        <v>0.09370857773607472</v>
      </c>
      <c r="F71" s="16">
        <f>F68/F38</f>
        <v>0.09382144084227804</v>
      </c>
      <c r="G71" s="16">
        <f>G68/G38</f>
        <v>0.09923326415727404</v>
      </c>
      <c r="H71" s="16">
        <f>H68/H38</f>
        <v>0.10508375224073752</v>
      </c>
      <c r="I71" s="16">
        <f>I68/I38</f>
        <v>0.09744239456714784</v>
      </c>
      <c r="J71" s="65">
        <v>0.103</v>
      </c>
      <c r="L71" s="31" t="s">
        <v>199</v>
      </c>
    </row>
    <row r="72">
      <c r="B72" s="7" t="s">
        <v>156</v>
      </c>
      <c r="G72" s="42">
        <f>(G71-C71)*10000</f>
        <v>-34.21075101263577</v>
      </c>
      <c r="H72" s="42">
        <f>(H71-D71)*10000</f>
        <v>17.725955336017897</v>
      </c>
      <c r="J72" s="54">
        <f>(J71-E71)*10000</f>
        <v>92.91422263925278</v>
      </c>
    </row>
    <row r="73">
      <c r="B73" s="7" t="s">
        <v>157</v>
      </c>
      <c r="D73" s="42">
        <f>(D71-C71)*10000</f>
        <v>6.568174485981071</v>
      </c>
      <c r="E73" s="42">
        <f>(E71-D71)*10000</f>
        <v>-96.0257897106101</v>
      </c>
      <c r="F73" s="42">
        <f>(F71-E71)*10000</f>
        <v>1.1286310620332862</v>
      </c>
      <c r="G73" s="42">
        <f>(G71-F71)*10000</f>
        <v>54.11823314995998</v>
      </c>
      <c r="H73" s="42">
        <f>(H71-G71)*10000</f>
        <v>58.50488083463473</v>
      </c>
      <c r="J73" s="54">
        <f>(J71-H71)*10000</f>
        <v>-20.837522407375214</v>
      </c>
    </row>
    <row r="74">
      <c r="B74" s="7" t="s">
        <v>179</v>
      </c>
      <c r="C74" s="18">
        <v>0.204</v>
      </c>
      <c r="D74" s="18">
        <v>0.071</v>
      </c>
      <c r="E74" s="18">
        <v>0.164</v>
      </c>
      <c r="F74" s="30">
        <f>I74-SUM(C74:E74)</f>
        <v>0.10200000000000004</v>
      </c>
      <c r="G74" s="18">
        <v>-0.045</v>
      </c>
      <c r="H74" s="18">
        <v>0.159</v>
      </c>
      <c r="I74" s="18">
        <v>0.541</v>
      </c>
      <c r="J74" s="48">
        <v>0.1</v>
      </c>
      <c r="L74" s="31" t="s">
        <v>180</v>
      </c>
    </row>
    <row r="75">
      <c r="B75" s="7" t="s">
        <v>87</v>
      </c>
      <c r="G75" s="30">
        <f>G74-C74</f>
        <v>-0.249</v>
      </c>
      <c r="H75" s="30">
        <f>H74-D74</f>
        <v>0.08800000000000001</v>
      </c>
      <c r="J75" s="40">
        <f>J74-E74</f>
        <v>-0.064</v>
      </c>
    </row>
    <row r="76">
      <c r="B76" s="7" t="s">
        <v>78</v>
      </c>
      <c r="D76" s="30">
        <f>D74-C74</f>
        <v>-0.133</v>
      </c>
      <c r="E76" s="30">
        <f>E74-D74</f>
        <v>0.09300000000000001</v>
      </c>
      <c r="F76" s="30">
        <f>F74-E74</f>
        <v>-0.06199999999999997</v>
      </c>
      <c r="G76" s="30">
        <f>G74-F74</f>
        <v>-0.14700000000000002</v>
      </c>
      <c r="H76" s="30">
        <f>H74-G74</f>
        <v>0.20400000000000001</v>
      </c>
      <c r="J76" s="40">
        <f>J74-H74</f>
        <v>-0.059</v>
      </c>
    </row>
    <row r="77">
      <c r="B77" s="5" t="s">
        <v>181</v>
      </c>
      <c r="C77" s="17">
        <f>C62-C68+C74</f>
        <v>55.05500000000005</v>
      </c>
      <c r="D77" s="17">
        <f>D62-D68+D74</f>
        <v>80.12700000000005</v>
      </c>
      <c r="E77" s="17">
        <f>E62-E68+E74</f>
        <v>108.23899999999995</v>
      </c>
      <c r="F77" s="17">
        <f>F62-F68+F74</f>
        <v>144.04300000000026</v>
      </c>
      <c r="G77" s="17">
        <f>G62-G68+G74</f>
        <v>120.23599999999999</v>
      </c>
      <c r="H77" s="17">
        <f>H62-H68+H74</f>
        <v>154.05200000000008</v>
      </c>
      <c r="I77" s="17">
        <f>I62-I68+I74</f>
        <v>387.4640000000001</v>
      </c>
      <c r="J77" s="63">
        <f>J62-J68+J74</f>
        <v>171.94222171</v>
      </c>
    </row>
    <row r="78">
      <c r="B78" s="28" t="s">
        <v>73</v>
      </c>
      <c r="G78" s="16">
        <f>G77/C77-1</f>
        <v>1.1839251657433456</v>
      </c>
      <c r="H78" s="16">
        <f>H77/D77-1</f>
        <v>0.9225978758720528</v>
      </c>
      <c r="J78" s="59">
        <f>J77/E77-1</f>
        <v>0.5885422233206155</v>
      </c>
    </row>
    <row r="79">
      <c r="B79" s="7" t="s">
        <v>78</v>
      </c>
      <c r="D79" s="30">
        <f>D77-C77</f>
        <v>25.072000000000003</v>
      </c>
      <c r="E79" s="30">
        <f>E77-D77</f>
        <v>28.111999999999895</v>
      </c>
      <c r="F79" s="30">
        <f>F77-E77</f>
        <v>35.804000000000315</v>
      </c>
      <c r="G79" s="30">
        <f>G77-F77</f>
        <v>-23.807000000000272</v>
      </c>
      <c r="H79" s="30">
        <f>H77-G77</f>
        <v>33.81600000000009</v>
      </c>
      <c r="J79" s="40">
        <f>J77-H77</f>
        <v>17.890221709999935</v>
      </c>
    </row>
    <row r="80">
      <c r="B80" s="28" t="s">
        <v>182</v>
      </c>
      <c r="C80" s="16">
        <f>C77/C38</f>
        <v>0.12831209753164405</v>
      </c>
      <c r="D80" s="16">
        <f>D77/D38</f>
        <v>0.1498689789711717</v>
      </c>
      <c r="E80" s="16">
        <f>E77/E38</f>
        <v>0.1689895660781224</v>
      </c>
      <c r="F80" s="16">
        <f>F77/F38</f>
        <v>0.17487929039628713</v>
      </c>
      <c r="G80" s="16">
        <f>G77/G38</f>
        <v>0.1494153173192827</v>
      </c>
      <c r="H80" s="16">
        <f>H77/H38</f>
        <v>0.1589821969083241</v>
      </c>
      <c r="I80" s="16">
        <f>I77/I38</f>
        <v>0.15958838434595224</v>
      </c>
      <c r="J80" s="59">
        <f>J77/J38</f>
        <v>0.15909252673668775</v>
      </c>
    </row>
    <row r="81">
      <c r="B81" s="7" t="s">
        <v>156</v>
      </c>
      <c r="G81" s="42">
        <f>(G80-C80)*10000</f>
        <v>211.03219787638656</v>
      </c>
      <c r="H81" s="42">
        <f>(H80-D80)*10000</f>
        <v>91.1321793715239</v>
      </c>
      <c r="J81" s="54">
        <f>(J80-E80)*10000</f>
        <v>-98.97039341434655</v>
      </c>
    </row>
    <row r="82">
      <c r="B82" s="7" t="s">
        <v>157</v>
      </c>
      <c r="D82" s="42">
        <f>(D80-C80)*10000</f>
        <v>215.56881439527663</v>
      </c>
      <c r="E82" s="42">
        <f>(E80-D80)*10000</f>
        <v>191.20587106950694</v>
      </c>
      <c r="F82" s="42">
        <f>(F80-E80)*10000</f>
        <v>58.8972431816473</v>
      </c>
      <c r="G82" s="42">
        <f>(G80-F80)*10000</f>
        <v>-254.6397307700443</v>
      </c>
      <c r="H82" s="42">
        <f>(H80-G80)*10000</f>
        <v>95.66879589041399</v>
      </c>
      <c r="J82" s="54">
        <f>(J80-H80)*10000</f>
        <v>1.103298283636478</v>
      </c>
    </row>
    <row r="83">
      <c r="J83" s="51"/>
    </row>
    <row r="84">
      <c r="B84" s="5" t="s">
        <v>183</v>
      </c>
      <c r="J84" s="51"/>
    </row>
    <row r="85">
      <c r="B85" s="7" t="s">
        <v>184</v>
      </c>
      <c r="C85" s="18">
        <v>5.525</v>
      </c>
      <c r="D85" s="18">
        <v>5.525</v>
      </c>
      <c r="E85" s="18">
        <v>5.525</v>
      </c>
      <c r="F85" s="30">
        <f>I85-SUM(C85:E85)</f>
        <v>8.842999999999996</v>
      </c>
      <c r="G85" s="18">
        <v>9.617</v>
      </c>
      <c r="H85" s="18">
        <v>12.845</v>
      </c>
      <c r="I85" s="18">
        <v>25.418</v>
      </c>
      <c r="J85" s="48">
        <v>12.8</v>
      </c>
      <c r="L85" s="31" t="s">
        <v>185</v>
      </c>
    </row>
    <row r="86">
      <c r="B86" s="7" t="s">
        <v>87</v>
      </c>
      <c r="G86" s="30">
        <f>G85-C85</f>
        <v>4.0920000000000005</v>
      </c>
      <c r="H86" s="30">
        <f>H85-D85</f>
        <v>7.32</v>
      </c>
      <c r="J86" s="40">
        <f>J85-E85</f>
        <v>7.275</v>
      </c>
    </row>
    <row r="87">
      <c r="B87" s="7" t="s">
        <v>78</v>
      </c>
      <c r="D87" s="30">
        <f>D85-C85</f>
        <v>0</v>
      </c>
      <c r="E87" s="30">
        <f>E85-D85</f>
        <v>0</v>
      </c>
      <c r="F87" s="30">
        <f>F85-E85</f>
        <v>3.317999999999996</v>
      </c>
      <c r="G87" s="30">
        <f>G85-F85</f>
        <v>0.7740000000000045</v>
      </c>
      <c r="H87" s="30">
        <f>H85-G85</f>
        <v>3.2279999999999998</v>
      </c>
      <c r="J87" s="40">
        <f>J85-H85</f>
        <v>-0.04499999999999993</v>
      </c>
    </row>
    <row r="88">
      <c r="B88" s="7" t="s">
        <v>186</v>
      </c>
      <c r="C88" s="18">
        <v>2.303</v>
      </c>
      <c r="D88" s="18">
        <v>2.458</v>
      </c>
      <c r="E88" s="18">
        <v>2.6</v>
      </c>
      <c r="F88" s="30">
        <f>I88-SUM(C88:E88)</f>
        <v>2.837999999999999</v>
      </c>
      <c r="G88" s="18">
        <v>2.958</v>
      </c>
      <c r="H88" s="18">
        <v>3.243</v>
      </c>
      <c r="I88" s="18">
        <v>10.199</v>
      </c>
      <c r="J88" s="48">
        <v>3.4</v>
      </c>
      <c r="L88" s="31" t="s">
        <v>187</v>
      </c>
    </row>
    <row r="89">
      <c r="B89" s="7" t="s">
        <v>87</v>
      </c>
      <c r="G89" s="30">
        <f>G88-C88</f>
        <v>0.6550000000000002</v>
      </c>
      <c r="H89" s="30">
        <f>H88-D88</f>
        <v>0.7849999999999997</v>
      </c>
      <c r="J89" s="40">
        <f>J88-E88</f>
        <v>0.7999999999999998</v>
      </c>
    </row>
    <row r="90">
      <c r="B90" s="7" t="s">
        <v>78</v>
      </c>
      <c r="D90" s="30">
        <f>D88-C88</f>
        <v>0.15500000000000025</v>
      </c>
      <c r="E90" s="30">
        <f>E88-D88</f>
        <v>0.1419999999999999</v>
      </c>
      <c r="F90" s="30">
        <f>F88-E88</f>
        <v>0.2379999999999991</v>
      </c>
      <c r="G90" s="30">
        <f>G88-F88</f>
        <v>0.120000000000001</v>
      </c>
      <c r="H90" s="30">
        <f>H88-G88</f>
        <v>0.2849999999999997</v>
      </c>
      <c r="J90" s="40">
        <f>J88-H88</f>
        <v>0.15700000000000003</v>
      </c>
    </row>
    <row r="91">
      <c r="B91" s="5" t="s">
        <v>188</v>
      </c>
      <c r="C91" s="17">
        <f>C77+C85+C88</f>
        <v>62.883000000000045</v>
      </c>
      <c r="D91" s="17">
        <f>D77+D85+D88</f>
        <v>88.11000000000006</v>
      </c>
      <c r="E91" s="17">
        <f>E77+E85+E88</f>
        <v>116.36399999999995</v>
      </c>
      <c r="F91" s="17">
        <f>F77+F85+F88</f>
        <v>155.72400000000025</v>
      </c>
      <c r="G91" s="17">
        <f>G77+G85+G88</f>
        <v>132.81099999999998</v>
      </c>
      <c r="H91" s="17">
        <f>H77+H85+H88</f>
        <v>170.14000000000007</v>
      </c>
      <c r="I91" s="17">
        <f>I77+I85+I88</f>
        <v>423.08100000000013</v>
      </c>
      <c r="J91" s="63">
        <f>J77+J85+J88</f>
        <v>188.14222171000003</v>
      </c>
    </row>
    <row r="92">
      <c r="B92" s="28" t="s">
        <v>189</v>
      </c>
      <c r="C92" s="16">
        <f>C91/C38</f>
        <v>0.146556164364406</v>
      </c>
      <c r="D92" s="16">
        <f>D91/D38</f>
        <v>0.16480032619653726</v>
      </c>
      <c r="E92" s="16">
        <f>E91/E38</f>
        <v>0.18167482947102837</v>
      </c>
      <c r="F92" s="16">
        <f>F91/F38</f>
        <v>0.1890609235969218</v>
      </c>
      <c r="G92" s="16">
        <f>G91/G38</f>
        <v>0.16504206484323541</v>
      </c>
      <c r="H92" s="16">
        <f>H91/H38</f>
        <v>0.1755850685611499</v>
      </c>
      <c r="I92" s="16">
        <f>I91/I38</f>
        <v>0.1742582878344048</v>
      </c>
      <c r="J92" s="59">
        <f>J91/J38</f>
        <v>0.1740818580801041</v>
      </c>
    </row>
    <row r="93">
      <c r="B93" s="7" t="s">
        <v>190</v>
      </c>
      <c r="G93" s="42">
        <f>(G92-C92)*10000</f>
        <v>184.85900478829421</v>
      </c>
      <c r="H93" s="42">
        <f>(H92-D92)*10000</f>
        <v>107.84742364612632</v>
      </c>
      <c r="J93" s="54">
        <f>(J92-E92)*10000</f>
        <v>-75.9297139092427</v>
      </c>
    </row>
    <row r="94">
      <c r="B94" s="7" t="s">
        <v>191</v>
      </c>
      <c r="D94" s="42">
        <f>(D92-C92)*10000</f>
        <v>182.4416183213126</v>
      </c>
      <c r="E94" s="42">
        <f>(E92-D92)*10000</f>
        <v>168.7450327449111</v>
      </c>
      <c r="F94" s="42">
        <f>(F92-E92)*10000</f>
        <v>73.86094125893445</v>
      </c>
      <c r="G94" s="42">
        <f>(G92-F92)*10000</f>
        <v>-240.18858753686396</v>
      </c>
      <c r="H94" s="42">
        <f>(H92-G92)*10000</f>
        <v>105.43003717914473</v>
      </c>
      <c r="J94" s="54">
        <f>(J92-H92)*10000</f>
        <v>-15.032104810457913</v>
      </c>
    </row>
    <row r="95">
      <c r="B95" s="7" t="s">
        <v>192</v>
      </c>
      <c r="C95" s="18">
        <v>3.539</v>
      </c>
      <c r="D95" s="18">
        <v>6.093</v>
      </c>
      <c r="E95" s="18">
        <v>5.787</v>
      </c>
      <c r="F95" s="30">
        <f>I95-SUM(C95:E95)</f>
        <v>11.137</v>
      </c>
      <c r="G95" s="18">
        <v>6.629</v>
      </c>
      <c r="H95" s="18">
        <v>9.185</v>
      </c>
      <c r="I95" s="18">
        <v>26.556</v>
      </c>
      <c r="J95" s="48">
        <v>12</v>
      </c>
      <c r="L95" s="31" t="s">
        <v>200</v>
      </c>
    </row>
    <row r="96">
      <c r="B96" s="28" t="s">
        <v>194</v>
      </c>
      <c r="C96" s="16">
        <f>C95/C38</f>
        <v>0.008248052187167159</v>
      </c>
      <c r="D96" s="16">
        <f>D95/D38</f>
        <v>0.011396304477533774</v>
      </c>
      <c r="E96" s="16">
        <f>E95/E38</f>
        <v>0.009035030062122662</v>
      </c>
      <c r="F96" s="16">
        <f>F95/F38</f>
        <v>0.013521175323642567</v>
      </c>
      <c r="G96" s="16">
        <f>G95/G38</f>
        <v>0.008237750245430029</v>
      </c>
      <c r="H96" s="16">
        <f>H95/H38</f>
        <v>0.009478951773446345</v>
      </c>
      <c r="I96" s="16">
        <f>I95/I38</f>
        <v>0.010937865542840385</v>
      </c>
      <c r="J96" s="59">
        <f>J95/J38</f>
        <v>0.01110320840253061</v>
      </c>
    </row>
    <row r="97">
      <c r="B97" s="7" t="s">
        <v>190</v>
      </c>
      <c r="G97" s="42">
        <f>(G96-C96)*10000</f>
        <v>-0.10301941737130005</v>
      </c>
      <c r="H97" s="42">
        <f>(H96-D96)*10000</f>
        <v>-19.173527040874298</v>
      </c>
      <c r="J97" s="54">
        <f>(J96-E96)*10000</f>
        <v>20.68178340407947</v>
      </c>
    </row>
    <row r="98">
      <c r="B98" s="7" t="s">
        <v>191</v>
      </c>
      <c r="D98" s="42">
        <f>(D96-C96)*10000</f>
        <v>31.48252290366615</v>
      </c>
      <c r="E98" s="42">
        <f>(E96-D96)*10000</f>
        <v>-23.612744154111116</v>
      </c>
      <c r="F98" s="42">
        <f>(F96-E96)*10000</f>
        <v>44.86145261519905</v>
      </c>
      <c r="G98" s="42">
        <f>(G96-F96)*10000</f>
        <v>-52.83425078212539</v>
      </c>
      <c r="H98" s="42">
        <f>(H96-G96)*10000</f>
        <v>12.412015280163155</v>
      </c>
      <c r="J98" s="54">
        <f>(J96-H96)*10000</f>
        <v>16.24256629084265</v>
      </c>
    </row>
    <row r="99">
      <c r="B99" s="7" t="s">
        <v>87</v>
      </c>
      <c r="G99" s="30">
        <f>G95-C95</f>
        <v>3.0899999999999994</v>
      </c>
      <c r="H99" s="30">
        <f>H95-D95</f>
        <v>3.0920000000000005</v>
      </c>
      <c r="J99" s="40">
        <f>J95-E95</f>
        <v>6.213</v>
      </c>
    </row>
    <row r="100">
      <c r="B100" s="7" t="s">
        <v>78</v>
      </c>
      <c r="D100" s="30">
        <f>D95-C95</f>
        <v>2.554</v>
      </c>
      <c r="E100" s="30">
        <f>E95-D95</f>
        <v>-0.30600000000000005</v>
      </c>
      <c r="F100" s="30">
        <f>F95-E95</f>
        <v>5.3500000000000005</v>
      </c>
      <c r="G100" s="30">
        <f>G95-F95</f>
        <v>-4.508000000000001</v>
      </c>
      <c r="H100" s="30">
        <f>H95-G95</f>
        <v>2.556000000000001</v>
      </c>
      <c r="J100" s="40">
        <f>J95-H95</f>
        <v>2.8149999999999995</v>
      </c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L10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2" customWidth="1"/>
    <col min="12" max="12" width="60" customWidth="1"/>
  </cols>
  <sheetData>
    <row r="1">
      <c r="B1" s="33" t="s">
        <v>0</v>
      </c>
    </row>
    <row r="2">
      <c r="B2" s="35" t="s">
        <v>201</v>
      </c>
    </row>
    <row r="3">
      <c r="B3" s="27" t="s">
        <v>2</v>
      </c>
    </row>
    <row r="4">
      <c r="B4" s="32" t="s">
        <v>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12" t="s">
        <v>70</v>
      </c>
      <c r="J4" s="12" t="s">
        <v>4</v>
      </c>
    </row>
    <row r="5">
      <c r="B5" s="19" t="s">
        <v>5</v>
      </c>
      <c r="C5" s="20">
        <f>DATE(2025,3,31)</f>
        <v>45747</v>
      </c>
      <c r="D5" s="20">
        <f>DATE(2025,6,30)</f>
        <v>45838</v>
      </c>
      <c r="E5" s="20">
        <f>DATE(2025,9,30)</f>
        <v>45930</v>
      </c>
      <c r="F5" s="20">
        <f>DATE(2025,12,31)</f>
        <v>46022</v>
      </c>
      <c r="G5" s="20">
        <f>DATE(2026,3,31)</f>
        <v>46112</v>
      </c>
      <c r="H5" s="20">
        <f>DATE(2026,6,30)</f>
        <v>46203</v>
      </c>
      <c r="I5" s="20">
        <f>DATE(2025,12,31)</f>
        <v>46022</v>
      </c>
      <c r="J5" s="20">
        <f>DATE(2026,9,30)</f>
        <v>46295</v>
      </c>
    </row>
    <row r="6">
      <c r="B6" s="29" t="s">
        <v>6</v>
      </c>
      <c r="C6" s="14">
        <f>C5-EOMONTH(C5,-3)</f>
        <v>90</v>
      </c>
      <c r="D6" s="14">
        <f>D5-EOMONTH(D5,-3)</f>
        <v>91</v>
      </c>
      <c r="E6" s="14">
        <f>E5-EOMONTH(E5,-3)</f>
        <v>92</v>
      </c>
      <c r="F6" s="14">
        <f>F5-EOMONTH(F5,-3)</f>
        <v>92</v>
      </c>
      <c r="G6" s="14">
        <f>G5-EOMONTH(G5,-3)</f>
        <v>90</v>
      </c>
      <c r="H6" s="14">
        <f>H5-EOMONTH(H5,-3)</f>
        <v>91</v>
      </c>
      <c r="I6" s="14">
        <f>I5-EOMONTH(I5,-12)</f>
        <v>365</v>
      </c>
      <c r="J6" s="14">
        <f>J5-EOMONTH(J5,-3)</f>
        <v>92</v>
      </c>
    </row>
    <row r="8">
      <c r="B8" s="5" t="s">
        <v>202</v>
      </c>
      <c r="J8" s="51"/>
    </row>
    <row r="9">
      <c r="B9" s="5" t="s">
        <v>203</v>
      </c>
      <c r="C9" s="72">
        <v>1831.286</v>
      </c>
      <c r="D9" s="72">
        <v>2173.319</v>
      </c>
      <c r="E9" s="72">
        <v>2450.969</v>
      </c>
      <c r="F9" s="62">
        <f>I9-SUM(C9:E9)</f>
        <v>2646.066999999999</v>
      </c>
      <c r="G9" s="72">
        <v>2865.332</v>
      </c>
      <c r="H9" s="72">
        <v>3265.656</v>
      </c>
      <c r="I9" s="72">
        <v>9101.641</v>
      </c>
      <c r="J9" s="82">
        <f>'Revenue summary'!J31</f>
        <v>3454.6129220000003</v>
      </c>
      <c r="L9" s="31" t="s">
        <v>204</v>
      </c>
    </row>
    <row r="10">
      <c r="B10" s="28" t="s">
        <v>73</v>
      </c>
      <c r="C10" s="16">
        <f>C9/C14-1</f>
        <v>0.19145539148584012</v>
      </c>
      <c r="D10" s="16">
        <f>D9/D14-1</f>
        <v>0.2005363781493572</v>
      </c>
      <c r="E10" s="16">
        <f>E9/E14-1</f>
        <v>0.3523587399013224</v>
      </c>
      <c r="F10" s="16">
        <f>F9/F14-1</f>
        <v>0.41667273439825614</v>
      </c>
      <c r="G10" s="16">
        <f>G9/C9-1</f>
        <v>0.5646556572812766</v>
      </c>
      <c r="H10" s="16">
        <f>H9/D9-1</f>
        <v>0.502612363854547</v>
      </c>
      <c r="I10" s="16">
        <f>I9/I14-1</f>
        <v>0.29515077675114076</v>
      </c>
      <c r="J10" s="59">
        <f>J9/E9-1</f>
        <v>0.40948862347912196</v>
      </c>
    </row>
    <row r="11">
      <c r="B11" s="28" t="s">
        <v>74</v>
      </c>
      <c r="D11" s="16">
        <f>D9/C9-1</f>
        <v>0.1867720279628633</v>
      </c>
      <c r="E11" s="16">
        <f>E9/D9-1</f>
        <v>0.1277539100334557</v>
      </c>
      <c r="F11" s="16">
        <f>F9/E9-1</f>
        <v>0.07960035398244503</v>
      </c>
      <c r="G11" s="16">
        <f>G9/F9-1</f>
        <v>0.08286449284919883</v>
      </c>
      <c r="H11" s="16">
        <f>H9/G9-1</f>
        <v>0.13971295472915535</v>
      </c>
      <c r="J11" s="59">
        <f>J9/H9-1</f>
        <v>0.0578618574644727</v>
      </c>
    </row>
    <row r="12">
      <c r="B12" s="7" t="s">
        <v>87</v>
      </c>
      <c r="C12" s="30">
        <f>C9-C14</f>
        <v>294.27</v>
      </c>
      <c r="D12" s="30">
        <f>D9-D14</f>
        <v>363.029</v>
      </c>
      <c r="E12" s="30">
        <f>E9-E14</f>
        <v>638.6030000000001</v>
      </c>
      <c r="F12" s="30">
        <f>F9-F14</f>
        <v>778.2629999999999</v>
      </c>
      <c r="G12" s="30">
        <f>G9-C9</f>
        <v>1034.0459999999998</v>
      </c>
      <c r="H12" s="30">
        <f>H9-D9</f>
        <v>1092.337</v>
      </c>
      <c r="I12" s="30">
        <f>I9-I14</f>
        <v>2074.165</v>
      </c>
      <c r="J12" s="40">
        <f>J9-E9</f>
        <v>1003.6439220000002</v>
      </c>
    </row>
    <row r="13">
      <c r="B13" s="7" t="s">
        <v>78</v>
      </c>
      <c r="D13" s="30">
        <f>D9-C9</f>
        <v>342.0329999999999</v>
      </c>
      <c r="E13" s="30">
        <f>E9-D9</f>
        <v>277.6500000000001</v>
      </c>
      <c r="F13" s="30">
        <f>F9-E9</f>
        <v>195.09799999999905</v>
      </c>
      <c r="G13" s="30">
        <f>G9-F9</f>
        <v>219.26500000000078</v>
      </c>
      <c r="H13" s="30">
        <f>H9-G9</f>
        <v>400.32400000000007</v>
      </c>
      <c r="J13" s="40">
        <f>J9-H9</f>
        <v>188.9569220000003</v>
      </c>
    </row>
    <row r="14">
      <c r="B14" s="7" t="s">
        <v>86</v>
      </c>
      <c r="C14" s="18">
        <v>1537.016</v>
      </c>
      <c r="D14" s="18">
        <v>1810.29</v>
      </c>
      <c r="E14" s="18">
        <v>1812.366</v>
      </c>
      <c r="F14" s="30">
        <f>I14-SUM(C14:E14)</f>
        <v>1867.8039999999992</v>
      </c>
      <c r="G14" s="30">
        <f>C9</f>
        <v>1831.286</v>
      </c>
      <c r="H14" s="30">
        <f>D9</f>
        <v>2173.319</v>
      </c>
      <c r="I14" s="18">
        <v>7027.476</v>
      </c>
      <c r="J14" s="40">
        <f>E9</f>
        <v>2450.969</v>
      </c>
    </row>
    <row r="15">
      <c r="B15" s="7" t="s">
        <v>172</v>
      </c>
      <c r="C15" s="18">
        <v>1427.87</v>
      </c>
      <c r="D15" s="18">
        <v>1663.422</v>
      </c>
      <c r="E15" s="18">
        <v>1843.098</v>
      </c>
      <c r="F15" s="30">
        <f>I15-SUM(C15:E15)</f>
        <v>1971.3520000000008</v>
      </c>
      <c r="G15" s="18">
        <v>2110.92</v>
      </c>
      <c r="H15" s="18">
        <v>2421.428</v>
      </c>
      <c r="I15" s="18">
        <v>6905.742</v>
      </c>
      <c r="J15" s="40">
        <f>J9-J16</f>
        <v>2563.747401828</v>
      </c>
    </row>
    <row r="16">
      <c r="B16" s="5" t="s">
        <v>173</v>
      </c>
      <c r="C16" s="17">
        <f>C9-C15</f>
        <v>403.41600000000017</v>
      </c>
      <c r="D16" s="17">
        <f>D9-D15</f>
        <v>509.89699999999993</v>
      </c>
      <c r="E16" s="17">
        <f>E9-E15</f>
        <v>607.8710000000001</v>
      </c>
      <c r="F16" s="17">
        <f>F9-F15</f>
        <v>674.7149999999983</v>
      </c>
      <c r="G16" s="17">
        <f>G9-G15</f>
        <v>754.4119999999998</v>
      </c>
      <c r="H16" s="17">
        <f>H9-H15</f>
        <v>844.2280000000001</v>
      </c>
      <c r="I16" s="17">
        <f>I9-I15</f>
        <v>2195.8989999999994</v>
      </c>
      <c r="J16" s="88">
        <f>'Segment - Mechanical'!J62+'Segment - Electrical'!J62</f>
        <v>890.8655201720001</v>
      </c>
    </row>
    <row r="17">
      <c r="B17" s="28" t="s">
        <v>73</v>
      </c>
      <c r="G17" s="16">
        <f>G16/C16-1</f>
        <v>0.8700596902453039</v>
      </c>
      <c r="H17" s="16">
        <f>H16/D16-1</f>
        <v>0.6556834027264333</v>
      </c>
      <c r="J17" s="59">
        <f>J16/E16-1</f>
        <v>0.46555028973581547</v>
      </c>
    </row>
    <row r="18">
      <c r="B18" s="28" t="s">
        <v>205</v>
      </c>
      <c r="C18" s="16">
        <f>C16/C9</f>
        <v>0.22029109598391522</v>
      </c>
      <c r="D18" s="16">
        <f>D16/D9</f>
        <v>0.2346167313680136</v>
      </c>
      <c r="E18" s="16">
        <f>E16/E9</f>
        <v>0.24801252076219654</v>
      </c>
      <c r="F18" s="16">
        <f>F16/F9</f>
        <v>0.25498787445669313</v>
      </c>
      <c r="G18" s="16">
        <f>G16/G9</f>
        <v>0.2632895594646623</v>
      </c>
      <c r="H18" s="16">
        <f>H16/H9</f>
        <v>0.25851712489006806</v>
      </c>
      <c r="I18" s="16">
        <f>I16/I9</f>
        <v>0.24126407534641275</v>
      </c>
      <c r="J18" s="59">
        <f>J16/J9</f>
        <v>0.2578770879072165</v>
      </c>
    </row>
    <row r="19">
      <c r="B19" s="7" t="s">
        <v>190</v>
      </c>
      <c r="G19" s="42">
        <f>(G18-C18)*10000</f>
        <v>429.98463480747097</v>
      </c>
      <c r="H19" s="42">
        <f>(H18-D18)*10000</f>
        <v>239.00393522054475</v>
      </c>
      <c r="J19" s="54">
        <f>(J18-E18)*10000</f>
        <v>98.64567145019932</v>
      </c>
    </row>
    <row r="20">
      <c r="B20" s="7" t="s">
        <v>191</v>
      </c>
      <c r="D20" s="42">
        <f>(D18-C18)*10000</f>
        <v>143.25635384098368</v>
      </c>
      <c r="E20" s="42">
        <f>(E18-D18)*10000</f>
        <v>133.95789394182955</v>
      </c>
      <c r="F20" s="42">
        <f>(F18-E18)*10000</f>
        <v>69.75353694496589</v>
      </c>
      <c r="G20" s="42">
        <f>(G18-F18)*10000</f>
        <v>83.01685007969184</v>
      </c>
      <c r="H20" s="42">
        <f>(H18-G18)*10000</f>
        <v>-47.72434574594253</v>
      </c>
      <c r="J20" s="54">
        <f>(J18-H18)*10000</f>
        <v>-6.400369828515884</v>
      </c>
    </row>
    <row r="21">
      <c r="B21" s="7" t="s">
        <v>206</v>
      </c>
      <c r="C21" s="4">
        <f>'Segment - Mechanical'!C62+'Segment - Electrical'!C62-C16</f>
        <v>0</v>
      </c>
      <c r="D21" s="4">
        <f>'Segment - Mechanical'!D62+'Segment - Electrical'!D62-D16</f>
        <v>0</v>
      </c>
      <c r="E21" s="4">
        <f>'Segment - Mechanical'!E62+'Segment - Electrical'!E62-E16</f>
        <v>0</v>
      </c>
      <c r="F21" s="4">
        <f>'Segment - Mechanical'!F62+'Segment - Electrical'!F62-F16</f>
        <v>0</v>
      </c>
      <c r="G21" s="4">
        <f>'Segment - Mechanical'!G62+'Segment - Electrical'!G62-G16</f>
        <v>0</v>
      </c>
      <c r="H21" s="4">
        <f>'Segment - Mechanical'!H62+'Segment - Electrical'!H62-H16</f>
        <v>0</v>
      </c>
      <c r="I21" s="4">
        <f>'Segment - Mechanical'!I62+'Segment - Electrical'!I62-I16</f>
        <v>0</v>
      </c>
      <c r="J21" s="64">
        <f>'Segment - Mechanical'!J62+'Segment - Electrical'!J62-J16</f>
        <v>0</v>
      </c>
    </row>
    <row r="22">
      <c r="B22" s="7" t="s">
        <v>176</v>
      </c>
      <c r="C22" s="18">
        <v>194.874</v>
      </c>
      <c r="D22" s="18">
        <v>210.466</v>
      </c>
      <c r="E22" s="18">
        <v>229.579</v>
      </c>
      <c r="F22" s="30">
        <f>I22-SUM(C22:E22)</f>
        <v>248.365</v>
      </c>
      <c r="G22" s="18">
        <v>268.996</v>
      </c>
      <c r="H22" s="18">
        <v>287.047</v>
      </c>
      <c r="I22" s="18">
        <v>883.284</v>
      </c>
      <c r="J22" s="64">
        <f>'Segment - Mechanical'!J68+'Segment - Electrical'!J68+J23</f>
        <v>299.48827131</v>
      </c>
    </row>
    <row r="23">
      <c r="B23" s="7" t="s">
        <v>207</v>
      </c>
      <c r="C23" s="18">
        <v>18.558</v>
      </c>
      <c r="D23" s="18">
        <v>18.157</v>
      </c>
      <c r="E23" s="18">
        <v>17.116</v>
      </c>
      <c r="F23" s="30">
        <f>I23-SUM(C23:E23)</f>
        <v>18.528999999999996</v>
      </c>
      <c r="G23" s="18">
        <v>32.628</v>
      </c>
      <c r="H23" s="18">
        <v>22.824</v>
      </c>
      <c r="I23" s="18">
        <v>72.36</v>
      </c>
      <c r="J23" s="48">
        <v>22</v>
      </c>
      <c r="L23" s="31" t="s">
        <v>208</v>
      </c>
    </row>
    <row r="24">
      <c r="B24" s="7" t="s">
        <v>209</v>
      </c>
      <c r="G24" s="30">
        <f>G23-C23</f>
        <v>14.07</v>
      </c>
      <c r="H24" s="30">
        <f>H23-D23</f>
        <v>4.667000000000002</v>
      </c>
      <c r="J24" s="40">
        <f>J23-E23</f>
        <v>4.884</v>
      </c>
    </row>
    <row r="25">
      <c r="B25" s="7" t="s">
        <v>210</v>
      </c>
      <c r="D25" s="30">
        <f>D23-C23</f>
        <v>-0.4009999999999998</v>
      </c>
      <c r="E25" s="30">
        <f>E23-D23</f>
        <v>-1.0410000000000004</v>
      </c>
      <c r="F25" s="30">
        <f>F23-E23</f>
        <v>1.4129999999999967</v>
      </c>
      <c r="G25" s="30">
        <f>G23-F23</f>
        <v>14.099000000000004</v>
      </c>
      <c r="H25" s="30">
        <f>H23-G23</f>
        <v>-9.803999999999998</v>
      </c>
      <c r="J25" s="40">
        <f>J23-H23</f>
        <v>-0.8240000000000016</v>
      </c>
    </row>
    <row r="26">
      <c r="B26" s="28" t="s">
        <v>211</v>
      </c>
      <c r="C26" s="16">
        <f>C22/C9</f>
        <v>0.106413744221274</v>
      </c>
      <c r="D26" s="16">
        <f>D22/D9</f>
        <v>0.09684082272321735</v>
      </c>
      <c r="E26" s="16">
        <f>E22/E9</f>
        <v>0.09366866737196594</v>
      </c>
      <c r="F26" s="16">
        <f>F22/F9</f>
        <v>0.09386194680633562</v>
      </c>
      <c r="G26" s="16">
        <f>G22/G9</f>
        <v>0.09387952251257446</v>
      </c>
      <c r="H26" s="16">
        <f>H22/H9</f>
        <v>0.08789872540157323</v>
      </c>
      <c r="I26" s="16">
        <f>I22/I9</f>
        <v>0.09704667542918909</v>
      </c>
      <c r="J26" s="59">
        <f>J22/J9</f>
        <v>0.08669228016915291</v>
      </c>
    </row>
    <row r="27">
      <c r="B27" s="7" t="s">
        <v>190</v>
      </c>
      <c r="G27" s="42">
        <f>(G26-C26)*10000</f>
        <v>-125.34221708699542</v>
      </c>
      <c r="H27" s="42">
        <f>(H26-D26)*10000</f>
        <v>-89.42097321644124</v>
      </c>
      <c r="J27" s="54">
        <f>(J26-E26)*10000</f>
        <v>-69.76387202813031</v>
      </c>
    </row>
    <row r="28">
      <c r="B28" s="7" t="s">
        <v>191</v>
      </c>
      <c r="D28" s="42">
        <f>(D26-C26)*10000</f>
        <v>-95.7292149805665</v>
      </c>
      <c r="E28" s="42">
        <f>(E26-D26)*10000</f>
        <v>-31.721553512514127</v>
      </c>
      <c r="F28" s="42">
        <f>(F26-E26)*10000</f>
        <v>1.9327943436968364</v>
      </c>
      <c r="G28" s="42">
        <f>(G26-F26)*10000</f>
        <v>0.17575706238837085</v>
      </c>
      <c r="H28" s="42">
        <f>(H26-G26)*10000</f>
        <v>-59.80797111001232</v>
      </c>
      <c r="J28" s="54">
        <f>(J26-H26)*10000</f>
        <v>-12.064452324203195</v>
      </c>
    </row>
    <row r="29">
      <c r="B29" s="7" t="s">
        <v>212</v>
      </c>
      <c r="C29" s="18">
        <v>0.556</v>
      </c>
      <c r="D29" s="18">
        <v>0.442</v>
      </c>
      <c r="E29" s="18">
        <v>0.582</v>
      </c>
      <c r="F29" s="30">
        <f>I29-SUM(C29:E29)</f>
        <v>0.3939999999999999</v>
      </c>
      <c r="G29" s="18">
        <v>0.302</v>
      </c>
      <c r="H29" s="18">
        <v>0.785</v>
      </c>
      <c r="I29" s="18">
        <v>1.974</v>
      </c>
      <c r="J29" s="64">
        <f>'Segment - Mechanical'!J74+'Segment - Electrical'!J74</f>
        <v>0.5</v>
      </c>
    </row>
    <row r="30">
      <c r="B30" s="5" t="s">
        <v>213</v>
      </c>
      <c r="C30" s="17">
        <f>C16-C22+C29</f>
        <v>209.09800000000018</v>
      </c>
      <c r="D30" s="17">
        <f>D16-D22+D29</f>
        <v>299.87299999999993</v>
      </c>
      <c r="E30" s="17">
        <f>E16-E22+E29</f>
        <v>378.8740000000001</v>
      </c>
      <c r="F30" s="17">
        <f>F16-F22+F29</f>
        <v>426.7439999999983</v>
      </c>
      <c r="G30" s="17">
        <f>G16-G22+G29</f>
        <v>485.71799999999985</v>
      </c>
      <c r="H30" s="17">
        <f>H16-H22+H29</f>
        <v>557.966</v>
      </c>
      <c r="I30" s="17">
        <f>I16-I22+I29</f>
        <v>1314.5889999999993</v>
      </c>
      <c r="J30" s="63">
        <f>J16-J22+J29</f>
        <v>591.877248862</v>
      </c>
    </row>
    <row r="31">
      <c r="B31" s="28" t="s">
        <v>73</v>
      </c>
      <c r="G31" s="16">
        <f>G30/C30-1</f>
        <v>1.3229203531358475</v>
      </c>
      <c r="H31" s="16">
        <f>H30/D30-1</f>
        <v>0.8606743521424074</v>
      </c>
      <c r="J31" s="59">
        <f>J30/E30-1</f>
        <v>0.5622007550320156</v>
      </c>
    </row>
    <row r="32">
      <c r="B32" s="28" t="s">
        <v>214</v>
      </c>
      <c r="C32" s="16">
        <f>C30/C9</f>
        <v>0.11418096354146767</v>
      </c>
      <c r="D32" s="16">
        <f>D30/D9</f>
        <v>0.13797928421920572</v>
      </c>
      <c r="E32" s="16">
        <f>E30/E9</f>
        <v>0.1545813104939312</v>
      </c>
      <c r="F32" s="16">
        <f>F30/F9</f>
        <v>0.16127482788606579</v>
      </c>
      <c r="G32" s="16">
        <f>G30/G9</f>
        <v>0.1695154348606025</v>
      </c>
      <c r="H32" s="16">
        <f>H30/H9</f>
        <v>0.17085877998172497</v>
      </c>
      <c r="I32" s="16">
        <f>I30/I9</f>
        <v>0.14443428388353258</v>
      </c>
      <c r="J32" s="59">
        <f>J30/J9</f>
        <v>0.17132954175350587</v>
      </c>
    </row>
    <row r="33">
      <c r="B33" s="7" t="s">
        <v>190</v>
      </c>
      <c r="G33" s="42">
        <f>(G32-C32)*10000</f>
        <v>553.3447131913482</v>
      </c>
      <c r="H33" s="42">
        <f>(H32-D32)*10000</f>
        <v>328.7949576251925</v>
      </c>
      <c r="J33" s="54">
        <f>(J32-E32)*10000</f>
        <v>167.4823125957467</v>
      </c>
    </row>
    <row r="34">
      <c r="B34" s="7" t="s">
        <v>191</v>
      </c>
      <c r="D34" s="42">
        <f>(D32-C32)*10000</f>
        <v>237.98320677738045</v>
      </c>
      <c r="E34" s="42">
        <f>(E32-D32)*10000</f>
        <v>166.02026274725483</v>
      </c>
      <c r="F34" s="42">
        <f>(F32-E32)*10000</f>
        <v>66.93517392134585</v>
      </c>
      <c r="G34" s="42">
        <f>(G32-F32)*10000</f>
        <v>82.40606974536713</v>
      </c>
      <c r="H34" s="42">
        <f>(H32-G32)*10000</f>
        <v>13.433451211224689</v>
      </c>
      <c r="J34" s="54">
        <f>(J32-H32)*10000</f>
        <v>4.707617717809032</v>
      </c>
    </row>
    <row r="35">
      <c r="B35" s="7" t="s">
        <v>215</v>
      </c>
      <c r="C35" s="4">
        <f>'Segment - Mechanical'!C77+'Segment - Electrical'!C77-C23-C30</f>
        <v>0</v>
      </c>
      <c r="D35" s="4">
        <f>'Segment - Mechanical'!D77+'Segment - Electrical'!D77-D23-D30</f>
        <v>0</v>
      </c>
      <c r="E35" s="4">
        <f>'Segment - Mechanical'!E77+'Segment - Electrical'!E77-E23-E30</f>
        <v>0</v>
      </c>
      <c r="F35" s="4">
        <f>'Segment - Mechanical'!F77+'Segment - Electrical'!F77-F23-F30</f>
        <v>0</v>
      </c>
      <c r="G35" s="4">
        <f>'Segment - Mechanical'!G77+'Segment - Electrical'!G77-G23-G30</f>
        <v>0</v>
      </c>
      <c r="H35" s="4">
        <f>'Segment - Mechanical'!H77+'Segment - Electrical'!H77-H23-H30</f>
        <v>0</v>
      </c>
      <c r="I35" s="4">
        <f>'Segment - Mechanical'!I77+'Segment - Electrical'!I77-I23-I30</f>
        <v>0</v>
      </c>
      <c r="J35" s="64">
        <f>'Segment - Mechanical'!J77+'Segment - Electrical'!J77-J23-J30</f>
        <v>0</v>
      </c>
    </row>
    <row r="36">
      <c r="B36" s="7" t="s">
        <v>216</v>
      </c>
      <c r="C36" s="18">
        <v>4.267</v>
      </c>
      <c r="D36" s="18">
        <v>2.819</v>
      </c>
      <c r="E36" s="18">
        <v>6.381</v>
      </c>
      <c r="F36" s="30">
        <f>I36-SUM(C36:E36)</f>
        <v>8.136999999999999</v>
      </c>
      <c r="G36" s="18">
        <v>8.512</v>
      </c>
      <c r="H36" s="18">
        <v>11.051</v>
      </c>
      <c r="I36" s="18">
        <v>21.604</v>
      </c>
      <c r="J36" s="48">
        <v>14</v>
      </c>
      <c r="L36" s="31" t="s">
        <v>217</v>
      </c>
    </row>
    <row r="37">
      <c r="B37" s="7" t="s">
        <v>87</v>
      </c>
      <c r="G37" s="30">
        <f>G36-C36</f>
        <v>4.245</v>
      </c>
      <c r="H37" s="30">
        <f>H36-D36</f>
        <v>8.232</v>
      </c>
      <c r="J37" s="40">
        <f>J36-E36</f>
        <v>7.619</v>
      </c>
    </row>
    <row r="38">
      <c r="B38" s="7" t="s">
        <v>78</v>
      </c>
      <c r="D38" s="30">
        <f>D36-C36</f>
        <v>-1.4480000000000004</v>
      </c>
      <c r="E38" s="30">
        <f>E36-D36</f>
        <v>3.5620000000000003</v>
      </c>
      <c r="F38" s="30">
        <f>F36-E36</f>
        <v>1.7559999999999985</v>
      </c>
      <c r="G38" s="30">
        <f>G36-F36</f>
        <v>0.3750000000000018</v>
      </c>
      <c r="H38" s="30">
        <f>H36-G36</f>
        <v>2.5389999999999997</v>
      </c>
      <c r="J38" s="40">
        <f>J36-H36</f>
        <v>2.949</v>
      </c>
    </row>
    <row r="39">
      <c r="B39" s="7" t="s">
        <v>218</v>
      </c>
      <c r="C39" s="18">
        <v>-1.619</v>
      </c>
      <c r="D39" s="18">
        <v>-1.605</v>
      </c>
      <c r="E39" s="18">
        <v>-2.974</v>
      </c>
      <c r="F39" s="30">
        <f>I39-SUM(C39:E39)</f>
        <v>-2.811</v>
      </c>
      <c r="G39" s="18">
        <v>-2.178</v>
      </c>
      <c r="H39" s="18">
        <v>-1.437</v>
      </c>
      <c r="I39" s="18">
        <v>-9.009</v>
      </c>
      <c r="J39" s="48">
        <v>-1.2</v>
      </c>
      <c r="L39" s="31" t="s">
        <v>219</v>
      </c>
    </row>
    <row r="40">
      <c r="B40" s="7" t="s">
        <v>87</v>
      </c>
      <c r="G40" s="30">
        <f>G39-C39</f>
        <v>-0.5589999999999999</v>
      </c>
      <c r="H40" s="30">
        <f>H39-D39</f>
        <v>0.16799999999999993</v>
      </c>
      <c r="J40" s="40">
        <f>J39-E39</f>
        <v>1.7740000000000002</v>
      </c>
    </row>
    <row r="41">
      <c r="B41" s="7" t="s">
        <v>78</v>
      </c>
      <c r="D41" s="30">
        <f>D39-C39</f>
        <v>0.014000000000000012</v>
      </c>
      <c r="E41" s="30">
        <f>E39-D39</f>
        <v>-1.3690000000000002</v>
      </c>
      <c r="F41" s="30">
        <f>F39-E39</f>
        <v>0.16300000000000026</v>
      </c>
      <c r="G41" s="30">
        <f>G39-F39</f>
        <v>0.633</v>
      </c>
      <c r="H41" s="30">
        <f>H39-G39</f>
        <v>0.7409999999999999</v>
      </c>
      <c r="J41" s="40">
        <f>J39-H39</f>
        <v>0.2370000000000001</v>
      </c>
    </row>
    <row r="42">
      <c r="B42" s="7" t="s">
        <v>220</v>
      </c>
      <c r="C42" s="18">
        <v>-3.758</v>
      </c>
      <c r="D42" s="18">
        <v>-4.073</v>
      </c>
      <c r="E42" s="18">
        <v>-12.103</v>
      </c>
      <c r="F42" s="30">
        <f>I42-SUM(C42:E42)</f>
        <v>-13.538999999999998</v>
      </c>
      <c r="G42" s="18">
        <v>-10.37</v>
      </c>
      <c r="H42" s="18">
        <v>-2.045</v>
      </c>
      <c r="I42" s="18">
        <v>-33.473</v>
      </c>
      <c r="J42" s="48">
        <v>-6</v>
      </c>
      <c r="L42" s="31" t="s">
        <v>221</v>
      </c>
    </row>
    <row r="43">
      <c r="B43" s="7" t="s">
        <v>87</v>
      </c>
      <c r="G43" s="30">
        <f>G42-C42</f>
        <v>-6.611999999999999</v>
      </c>
      <c r="H43" s="30">
        <f>H42-D42</f>
        <v>2.0280000000000005</v>
      </c>
      <c r="J43" s="40">
        <f>J42-E42</f>
        <v>6.103</v>
      </c>
    </row>
    <row r="44">
      <c r="B44" s="7" t="s">
        <v>78</v>
      </c>
      <c r="D44" s="30">
        <f>D42-C42</f>
        <v>-0.3150000000000004</v>
      </c>
      <c r="E44" s="30">
        <f>E42-D42</f>
        <v>-8.03</v>
      </c>
      <c r="F44" s="30">
        <f>F42-E42</f>
        <v>-1.4359999999999982</v>
      </c>
      <c r="G44" s="30">
        <f>G42-F42</f>
        <v>3.1689999999999987</v>
      </c>
      <c r="H44" s="30">
        <f>H42-G42</f>
        <v>8.325</v>
      </c>
      <c r="J44" s="40">
        <f>J42-H42</f>
        <v>-3.955</v>
      </c>
    </row>
    <row r="45">
      <c r="B45" s="7" t="s">
        <v>222</v>
      </c>
      <c r="C45" s="18">
        <v>0.024</v>
      </c>
      <c r="D45" s="18">
        <v>-0.53</v>
      </c>
      <c r="E45" s="18">
        <v>0.28</v>
      </c>
      <c r="F45" s="30">
        <f>I45-SUM(C45:E45)</f>
        <v>-0.03200000000000003</v>
      </c>
      <c r="G45" s="18">
        <v>0.464</v>
      </c>
      <c r="H45" s="18">
        <v>0.708</v>
      </c>
      <c r="I45" s="18">
        <v>-0.258</v>
      </c>
      <c r="J45" s="48">
        <v>0.3</v>
      </c>
      <c r="L45" s="31" t="s">
        <v>223</v>
      </c>
    </row>
    <row r="46">
      <c r="B46" s="7" t="s">
        <v>87</v>
      </c>
      <c r="G46" s="30">
        <f>G45-C45</f>
        <v>0.44</v>
      </c>
      <c r="H46" s="30">
        <f>H45-D45</f>
        <v>1.238</v>
      </c>
      <c r="J46" s="40">
        <f>J45-E45</f>
        <v>0.019999999999999962</v>
      </c>
    </row>
    <row r="47">
      <c r="B47" s="7" t="s">
        <v>78</v>
      </c>
      <c r="D47" s="30">
        <f>D45-C45</f>
        <v>-0.554</v>
      </c>
      <c r="E47" s="30">
        <f>E45-D45</f>
        <v>0.81</v>
      </c>
      <c r="F47" s="30">
        <f>F45-E45</f>
        <v>-0.31200000000000006</v>
      </c>
      <c r="G47" s="30">
        <f>G45-F45</f>
        <v>0.49600000000000005</v>
      </c>
      <c r="H47" s="30">
        <f>H45-G45</f>
        <v>0.24399999999999994</v>
      </c>
      <c r="J47" s="40">
        <f>J45-H45</f>
        <v>-0.408</v>
      </c>
    </row>
    <row r="48">
      <c r="B48" s="5" t="s">
        <v>224</v>
      </c>
      <c r="C48" s="17">
        <f>C36+C39+C42+C45</f>
        <v>-1.0859999999999994</v>
      </c>
      <c r="D48" s="17">
        <f>D36+D39+D42+D45</f>
        <v>-3.3890000000000002</v>
      </c>
      <c r="E48" s="17">
        <f>E36+E39+E42+E45</f>
        <v>-8.416</v>
      </c>
      <c r="F48" s="17">
        <f>F36+F39+F42+F45</f>
        <v>-8.245</v>
      </c>
      <c r="G48" s="17">
        <f>G36+G39+G42+G45</f>
        <v>-3.5719999999999987</v>
      </c>
      <c r="H48" s="17">
        <f>H36+H39+H42+H45</f>
        <v>8.277000000000001</v>
      </c>
      <c r="I48" s="17">
        <f>I36+I39+I42+I45</f>
        <v>-21.136</v>
      </c>
      <c r="J48" s="63">
        <f>J36+J39+J42+J45</f>
        <v>7.1000000000000005</v>
      </c>
    </row>
    <row r="49">
      <c r="B49" s="5" t="s">
        <v>225</v>
      </c>
      <c r="C49" s="17">
        <f>C30+C48</f>
        <v>208.01200000000017</v>
      </c>
      <c r="D49" s="17">
        <f>D30+D48</f>
        <v>296.4839999999999</v>
      </c>
      <c r="E49" s="17">
        <f>E30+E48</f>
        <v>370.4580000000001</v>
      </c>
      <c r="F49" s="17">
        <f>F30+F48</f>
        <v>418.4989999999983</v>
      </c>
      <c r="G49" s="17">
        <f>G30+G48</f>
        <v>482.14599999999984</v>
      </c>
      <c r="H49" s="17">
        <f>H30+H48</f>
        <v>566.243</v>
      </c>
      <c r="I49" s="17">
        <f>I30+I48</f>
        <v>1293.4529999999993</v>
      </c>
      <c r="J49" s="63">
        <f>J30+J48</f>
        <v>598.977248862</v>
      </c>
    </row>
    <row r="50">
      <c r="B50" s="28" t="s">
        <v>73</v>
      </c>
      <c r="G50" s="16">
        <f>G49/C49-1</f>
        <v>1.317875891775472</v>
      </c>
      <c r="H50" s="16">
        <f>H49/D49-1</f>
        <v>0.9098602285452173</v>
      </c>
      <c r="J50" s="59">
        <f>J49/E49-1</f>
        <v>0.6168560237921705</v>
      </c>
    </row>
    <row r="51">
      <c r="B51" s="7" t="s">
        <v>226</v>
      </c>
      <c r="C51" s="18">
        <v>38.723</v>
      </c>
      <c r="D51" s="18">
        <v>65.636</v>
      </c>
      <c r="E51" s="18">
        <v>78.843</v>
      </c>
      <c r="F51" s="30">
        <f>I51-SUM(C51:E51)</f>
        <v>87.69299999999998</v>
      </c>
      <c r="G51" s="18">
        <v>111.768</v>
      </c>
      <c r="H51" s="18">
        <v>124.641</v>
      </c>
      <c r="I51" s="18">
        <v>270.895</v>
      </c>
      <c r="J51" s="40">
        <f>J49*J52</f>
        <v>137.76476723826002</v>
      </c>
    </row>
    <row r="52">
      <c r="B52" s="28" t="s">
        <v>227</v>
      </c>
      <c r="C52" s="16">
        <f>C51/C49</f>
        <v>0.18615752937330524</v>
      </c>
      <c r="D52" s="16">
        <f>D51/D49</f>
        <v>0.2213812549749734</v>
      </c>
      <c r="E52" s="16">
        <f>E51/E49</f>
        <v>0.21282574542863156</v>
      </c>
      <c r="F52" s="16">
        <f>F51/F49</f>
        <v>0.20954171933505297</v>
      </c>
      <c r="G52" s="16">
        <f>G51/G49</f>
        <v>0.23181360002986653</v>
      </c>
      <c r="H52" s="16">
        <f>H51/H49</f>
        <v>0.2201192774127009</v>
      </c>
      <c r="I52" s="16">
        <f>I51/I49</f>
        <v>0.20943551872391197</v>
      </c>
      <c r="J52" s="65">
        <v>0.23</v>
      </c>
      <c r="L52" s="31" t="s">
        <v>228</v>
      </c>
    </row>
    <row r="53">
      <c r="B53" s="7" t="s">
        <v>190</v>
      </c>
      <c r="G53" s="42">
        <f>(G52-C52)*10000</f>
        <v>456.560706565613</v>
      </c>
      <c r="H53" s="42">
        <f>(H52-D52)*10000</f>
        <v>-12.619775622725038</v>
      </c>
      <c r="J53" s="54">
        <f>(J52-E52)*10000</f>
        <v>171.74254571368454</v>
      </c>
    </row>
    <row r="54">
      <c r="B54" s="7" t="s">
        <v>191</v>
      </c>
      <c r="D54" s="42">
        <f>(D52-C52)*10000</f>
        <v>352.2372560166817</v>
      </c>
      <c r="E54" s="42">
        <f>(E52-D52)*10000</f>
        <v>-85.5550954634185</v>
      </c>
      <c r="F54" s="42">
        <f>(F52-E52)*10000</f>
        <v>-32.84026093578585</v>
      </c>
      <c r="G54" s="42">
        <f>(G52-F52)*10000</f>
        <v>222.7188069481356</v>
      </c>
      <c r="H54" s="42">
        <f>(H52-G52)*10000</f>
        <v>-116.9432261716563</v>
      </c>
      <c r="J54" s="54">
        <f>(J52-H52)*10000</f>
        <v>98.80722587299107</v>
      </c>
    </row>
    <row r="55">
      <c r="B55" s="5" t="s">
        <v>229</v>
      </c>
      <c r="C55" s="17">
        <f>C49-C51</f>
        <v>169.28900000000016</v>
      </c>
      <c r="D55" s="17">
        <f>D49-D51</f>
        <v>230.84799999999993</v>
      </c>
      <c r="E55" s="17">
        <f>E49-E51</f>
        <v>291.61500000000007</v>
      </c>
      <c r="F55" s="17">
        <f>F49-F51</f>
        <v>330.80599999999833</v>
      </c>
      <c r="G55" s="17">
        <f>G49-G51</f>
        <v>370.3779999999998</v>
      </c>
      <c r="H55" s="17">
        <f>H49-H51</f>
        <v>441.60200000000003</v>
      </c>
      <c r="I55" s="17">
        <f>I49-I51</f>
        <v>1022.5579999999993</v>
      </c>
      <c r="J55" s="63">
        <f>J49-J51</f>
        <v>461.21248162374</v>
      </c>
    </row>
    <row r="56">
      <c r="B56" s="28" t="s">
        <v>73</v>
      </c>
      <c r="G56" s="16">
        <f>G55/C55-1</f>
        <v>1.187844455339682</v>
      </c>
      <c r="H56" s="16">
        <f>H55/D55-1</f>
        <v>0.9129557111172728</v>
      </c>
      <c r="J56" s="59">
        <f>J55/E55-1</f>
        <v>0.581580102613857</v>
      </c>
    </row>
    <row r="57">
      <c r="B57" s="28" t="s">
        <v>230</v>
      </c>
      <c r="C57" s="16">
        <f>C55/C9</f>
        <v>0.09244268781610308</v>
      </c>
      <c r="D57" s="16">
        <f>D55/D9</f>
        <v>0.10621910543275052</v>
      </c>
      <c r="E57" s="16">
        <f>E55/E9</f>
        <v>0.1189794730165906</v>
      </c>
      <c r="F57" s="16">
        <f>F55/F9</f>
        <v>0.1250179984104705</v>
      </c>
      <c r="G57" s="16">
        <f>G55/G9</f>
        <v>0.12926180980074903</v>
      </c>
      <c r="H57" s="16">
        <f>H55/H9</f>
        <v>0.13522612302091833</v>
      </c>
      <c r="I57" s="16">
        <f>I55/I9</f>
        <v>0.11234875117574944</v>
      </c>
      <c r="J57" s="59">
        <f>J55/J9</f>
        <v>0.1335062688750459</v>
      </c>
    </row>
    <row r="58">
      <c r="B58" s="7" t="s">
        <v>190</v>
      </c>
      <c r="G58" s="42">
        <f>(G57-C57)*10000</f>
        <v>368.19121984645943</v>
      </c>
      <c r="H58" s="42">
        <f>(H57-D57)*10000</f>
        <v>290.07017588167804</v>
      </c>
      <c r="J58" s="54">
        <f>(J57-E57)*10000</f>
        <v>145.267958584553</v>
      </c>
    </row>
    <row r="59">
      <c r="B59" s="7" t="s">
        <v>191</v>
      </c>
      <c r="D59" s="42">
        <f>(D57-C57)*10000</f>
        <v>137.7641761664744</v>
      </c>
      <c r="E59" s="42">
        <f>(E57-D57)*10000</f>
        <v>127.60367583840082</v>
      </c>
      <c r="F59" s="42">
        <f>(F57-E57)*10000</f>
        <v>60.38525393879904</v>
      </c>
      <c r="G59" s="42">
        <f>(G57-F57)*10000</f>
        <v>42.438113902785176</v>
      </c>
      <c r="H59" s="42">
        <f>(H57-G57)*10000</f>
        <v>59.643132201692985</v>
      </c>
      <c r="J59" s="54">
        <f>(J57-H57)*10000</f>
        <v>-17.198541458724183</v>
      </c>
    </row>
    <row r="60">
      <c r="B60" s="7" t="s">
        <v>231</v>
      </c>
      <c r="C60" s="4">
        <f>'Cash Flow Statement'!C9</f>
        <v>169.289</v>
      </c>
      <c r="D60" s="4">
        <f>'Cash Flow Statement'!D9</f>
        <v>230.848</v>
      </c>
      <c r="E60" s="4">
        <f>'Cash Flow Statement'!E9</f>
        <v>291.61499999999995</v>
      </c>
      <c r="F60" s="4">
        <f>'Cash Flow Statement'!F9</f>
        <v>330.80600000000004</v>
      </c>
      <c r="G60" s="4">
        <f>'Cash Flow Statement'!G9</f>
        <v>370.378</v>
      </c>
      <c r="H60" s="4">
        <f>'Cash Flow Statement'!H9</f>
        <v>441.60200000000003</v>
      </c>
      <c r="I60" s="4">
        <f>'Cash Flow Statement'!I9</f>
        <v>1022.558</v>
      </c>
      <c r="J60" s="64">
        <f>'Cash Flow Statement'!J9</f>
        <v>461.21248162374</v>
      </c>
      <c r="L60" s="31" t="s">
        <v>232</v>
      </c>
    </row>
    <row r="61">
      <c r="B61" s="7" t="s">
        <v>233</v>
      </c>
      <c r="C61" s="30">
        <f>C55-C60</f>
        <v>0</v>
      </c>
      <c r="D61" s="30">
        <f>D55-D60</f>
        <v>0</v>
      </c>
      <c r="E61" s="30">
        <f>E55-E60</f>
        <v>0</v>
      </c>
      <c r="F61" s="30">
        <f>F55-F60</f>
        <v>0</v>
      </c>
      <c r="G61" s="30">
        <f>G55-G60</f>
        <v>0</v>
      </c>
      <c r="H61" s="30">
        <f>H55-H60</f>
        <v>0</v>
      </c>
      <c r="I61" s="30">
        <f>I55-I60</f>
        <v>0</v>
      </c>
      <c r="J61" s="51"/>
    </row>
    <row r="62">
      <c r="J62" s="51"/>
    </row>
    <row r="63">
      <c r="B63" s="5" t="s">
        <v>234</v>
      </c>
      <c r="J63" s="51"/>
    </row>
    <row r="64">
      <c r="B64" s="7" t="s">
        <v>235</v>
      </c>
      <c r="C64" s="70">
        <f>'Share Count'!C27</f>
        <v>35.524</v>
      </c>
      <c r="D64" s="70">
        <f>'Share Count'!D27</f>
        <v>35.307</v>
      </c>
      <c r="E64" s="70">
        <f>'Share Count'!E27</f>
        <v>35.307</v>
      </c>
      <c r="F64" s="70">
        <f>'Share Count'!F27</f>
        <v>35.26</v>
      </c>
      <c r="G64" s="70">
        <f>'Share Count'!G27</f>
        <v>35.207</v>
      </c>
      <c r="H64" s="70">
        <f>'Share Count'!H27</f>
        <v>35.221</v>
      </c>
      <c r="I64" s="70">
        <f>'Share Count'!I27</f>
        <v>35.349</v>
      </c>
      <c r="J64" s="80">
        <f>'Share Count'!J27</f>
        <v>35.205</v>
      </c>
    </row>
    <row r="65">
      <c r="B65" s="7" t="s">
        <v>236</v>
      </c>
      <c r="C65" s="70">
        <f>'Share Count'!C37</f>
        <v>35.605</v>
      </c>
      <c r="D65" s="70">
        <f>'Share Count'!D37</f>
        <v>35.369</v>
      </c>
      <c r="E65" s="70">
        <f>'Share Count'!E37</f>
        <v>35.365</v>
      </c>
      <c r="F65" s="70">
        <f>'Share Count'!F37</f>
        <v>35.318</v>
      </c>
      <c r="G65" s="70">
        <f>'Share Count'!G37</f>
        <v>35.251</v>
      </c>
      <c r="H65" s="70">
        <f>'Share Count'!H37</f>
        <v>35.254</v>
      </c>
      <c r="I65" s="70">
        <f>'Share Count'!I37</f>
        <v>35.413</v>
      </c>
      <c r="J65" s="80">
        <f>'Share Count'!J37</f>
        <v>35.239999999999995</v>
      </c>
    </row>
    <row r="66">
      <c r="B66" s="7" t="s">
        <v>237</v>
      </c>
      <c r="C66" s="26">
        <f>C55/C64</f>
        <v>4.76548249071051</v>
      </c>
      <c r="D66" s="26">
        <f>D55/D64</f>
        <v>6.538306851332594</v>
      </c>
      <c r="E66" s="26">
        <f>E55/E64</f>
        <v>8.259410315234941</v>
      </c>
      <c r="F66" s="26">
        <f>F55/F64</f>
        <v>9.38190584231419</v>
      </c>
      <c r="G66" s="26">
        <f>G55/G64</f>
        <v>10.520010225239293</v>
      </c>
      <c r="H66" s="26">
        <f>H55/H64</f>
        <v>12.538031288151958</v>
      </c>
      <c r="I66" s="26">
        <f>I55/I64</f>
        <v>28.92749441285466</v>
      </c>
      <c r="J66" s="52">
        <f>J55/J64</f>
        <v>13.100766414536004</v>
      </c>
    </row>
    <row r="67">
      <c r="B67" s="5" t="s">
        <v>238</v>
      </c>
      <c r="C67" s="75">
        <f>C55/C65</f>
        <v>4.754641202078365</v>
      </c>
      <c r="D67" s="75">
        <f>D55/D65</f>
        <v>6.526845542706888</v>
      </c>
      <c r="E67" s="75">
        <f>E55/E65</f>
        <v>8.245864555351337</v>
      </c>
      <c r="F67" s="75">
        <f>F55/F65</f>
        <v>9.366498669233772</v>
      </c>
      <c r="G67" s="75">
        <f>G55/G65</f>
        <v>10.506879237468436</v>
      </c>
      <c r="H67" s="75">
        <f>H55/H65</f>
        <v>12.52629488852329</v>
      </c>
      <c r="I67" s="75">
        <f>I55/I65</f>
        <v>28.87521531640921</v>
      </c>
      <c r="J67" s="73">
        <f>J55/J65</f>
        <v>13.087754870140184</v>
      </c>
    </row>
    <row r="68">
      <c r="B68" s="28" t="s">
        <v>73</v>
      </c>
      <c r="G68" s="16">
        <f>G67/C67-1</f>
        <v>1.2098153763685962</v>
      </c>
      <c r="H68" s="16">
        <f>H67/D67-1</f>
        <v>0.9191958514354919</v>
      </c>
      <c r="J68" s="59">
        <f>J67/E67-1</f>
        <v>0.5871901341923684</v>
      </c>
    </row>
    <row r="69">
      <c r="B69" s="7" t="s">
        <v>239</v>
      </c>
      <c r="C69" s="3">
        <f>Inputs!C14</f>
        <v>4.75</v>
      </c>
      <c r="D69" s="3">
        <f>Inputs!D14</f>
        <v>6.53</v>
      </c>
      <c r="E69" s="3">
        <f>Inputs!E14</f>
        <v>8.25</v>
      </c>
      <c r="F69" s="3">
        <f>Inputs!F14</f>
        <v>9.37</v>
      </c>
      <c r="G69" s="3">
        <f>Inputs!G14</f>
        <v>10.51</v>
      </c>
      <c r="H69" s="3">
        <f>Inputs!H14</f>
        <v>12.53</v>
      </c>
      <c r="I69" s="6">
        <v>28.88</v>
      </c>
      <c r="J69" s="51"/>
      <c r="L69" s="31" t="s">
        <v>240</v>
      </c>
    </row>
    <row r="70">
      <c r="B70" s="7" t="s">
        <v>241</v>
      </c>
      <c r="C70" s="58" t="b">
        <f>ABS(C67-C69)&lt;0.005</f>
        <v>1</v>
      </c>
      <c r="D70" s="58" t="b">
        <f>ABS(D67-D69)&lt;0.005</f>
        <v>1</v>
      </c>
      <c r="E70" s="58" t="b">
        <f>ABS(E67-E69)&lt;0.005</f>
        <v>1</v>
      </c>
      <c r="F70" s="58" t="b">
        <f>ABS(F67-F69)&lt;0.005</f>
        <v>1</v>
      </c>
      <c r="G70" s="58" t="b">
        <f>ABS(G67-G69)&lt;0.005</f>
        <v>1</v>
      </c>
      <c r="H70" s="58" t="b">
        <f>ABS(H67-H69)&lt;0.005</f>
        <v>1</v>
      </c>
      <c r="I70" s="58" t="b">
        <f>ABS(I67-I69)&lt;0.005</f>
        <v>1</v>
      </c>
      <c r="J70" s="51"/>
    </row>
    <row r="71">
      <c r="B71" s="7" t="s">
        <v>242</v>
      </c>
      <c r="C71" s="58" t="b">
        <f>ABS(C67-C55/C65)&lt;0.000001</f>
        <v>1</v>
      </c>
      <c r="D71" s="58" t="b">
        <f>ABS(D67-D55/D65)&lt;0.000001</f>
        <v>1</v>
      </c>
      <c r="E71" s="58" t="b">
        <f>ABS(E67-E55/E65)&lt;0.000001</f>
        <v>1</v>
      </c>
      <c r="F71" s="58" t="b">
        <f>ABS(F67-F55/F65)&lt;0.000001</f>
        <v>1</v>
      </c>
      <c r="G71" s="58" t="b">
        <f>ABS(G67-G55/G65)&lt;0.000001</f>
        <v>1</v>
      </c>
      <c r="H71" s="58" t="b">
        <f>ABS(H67-H55/H65)&lt;0.000001</f>
        <v>1</v>
      </c>
      <c r="I71" s="58" t="b">
        <f>ABS(I67-I55/I65)&lt;0.000001</f>
        <v>1</v>
      </c>
      <c r="J71" s="83" t="b">
        <f>ABS(J67-J55/J65)&lt;0.000001</f>
        <v>1</v>
      </c>
    </row>
    <row r="72">
      <c r="J72" s="51"/>
    </row>
    <row r="73">
      <c r="B73" s="5" t="s">
        <v>243</v>
      </c>
      <c r="J73" s="51"/>
    </row>
    <row r="74">
      <c r="B74" s="7" t="s">
        <v>244</v>
      </c>
      <c r="C74" s="30">
        <f>C55</f>
        <v>169.28900000000016</v>
      </c>
      <c r="D74" s="30">
        <f>D55</f>
        <v>230.84799999999993</v>
      </c>
      <c r="E74" s="30">
        <f>E55</f>
        <v>291.61500000000007</v>
      </c>
      <c r="F74" s="30">
        <f>F55</f>
        <v>330.80599999999833</v>
      </c>
      <c r="G74" s="30">
        <f>G55</f>
        <v>370.3779999999998</v>
      </c>
      <c r="H74" s="30">
        <f>H55</f>
        <v>441.60200000000003</v>
      </c>
      <c r="I74" s="30">
        <f>I55</f>
        <v>1022.5579999999993</v>
      </c>
      <c r="J74" s="40">
        <f>J55</f>
        <v>461.21248162374</v>
      </c>
    </row>
    <row r="75">
      <c r="B75" s="7" t="s">
        <v>245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48">
        <v>0</v>
      </c>
      <c r="L75" s="31" t="s">
        <v>246</v>
      </c>
    </row>
    <row r="76">
      <c r="B76" s="7" t="s">
        <v>247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48">
        <v>0</v>
      </c>
      <c r="L76" s="31" t="s">
        <v>246</v>
      </c>
    </row>
    <row r="77">
      <c r="B77" s="7" t="s">
        <v>248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48">
        <v>0</v>
      </c>
      <c r="L77" s="31" t="s">
        <v>246</v>
      </c>
    </row>
    <row r="78">
      <c r="B78" s="7" t="s">
        <v>249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48">
        <v>0</v>
      </c>
      <c r="L78" s="31" t="s">
        <v>246</v>
      </c>
    </row>
    <row r="79">
      <c r="B79" s="7" t="s">
        <v>250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48">
        <v>0</v>
      </c>
      <c r="L79" s="31" t="s">
        <v>246</v>
      </c>
    </row>
    <row r="80">
      <c r="B80" s="5" t="s">
        <v>251</v>
      </c>
      <c r="C80" s="17">
        <f>C74+C75+C76+C77+C78+C79</f>
        <v>169.28900000000016</v>
      </c>
      <c r="D80" s="17">
        <f>D74+D75+D76+D77+D78+D79</f>
        <v>230.84799999999993</v>
      </c>
      <c r="E80" s="17">
        <f>E74+E75+E76+E77+E78+E79</f>
        <v>291.61500000000007</v>
      </c>
      <c r="F80" s="17">
        <f>F74+F75+F76+F77+F78+F79</f>
        <v>330.80599999999833</v>
      </c>
      <c r="G80" s="17">
        <f>G74+G75+G76+G77+G78+G79</f>
        <v>370.3779999999998</v>
      </c>
      <c r="H80" s="17">
        <f>H74+H75+H76+H77+H78+H79</f>
        <v>441.60200000000003</v>
      </c>
      <c r="I80" s="17">
        <f>I74+I75+I76+I77+I78+I79</f>
        <v>1022.5579999999993</v>
      </c>
      <c r="J80" s="63">
        <f>J74+J75+J76+J77+J78+J79</f>
        <v>461.21248162374</v>
      </c>
    </row>
    <row r="81">
      <c r="B81" s="5" t="s">
        <v>252</v>
      </c>
      <c r="C81" s="77">
        <f>C80/C65</f>
        <v>4.754641202078365</v>
      </c>
      <c r="D81" s="77">
        <f>D80/D65</f>
        <v>6.526845542706888</v>
      </c>
      <c r="E81" s="77">
        <f>E80/E65</f>
        <v>8.245864555351337</v>
      </c>
      <c r="F81" s="77">
        <f>F80/F65</f>
        <v>9.366498669233772</v>
      </c>
      <c r="G81" s="77">
        <f>G80/G65</f>
        <v>10.506879237468436</v>
      </c>
      <c r="H81" s="77">
        <f>H80/H65</f>
        <v>12.52629488852329</v>
      </c>
      <c r="I81" s="77">
        <f>I80/I65</f>
        <v>28.87521531640921</v>
      </c>
      <c r="J81" s="87">
        <f>J80/J65</f>
        <v>13.087754870140184</v>
      </c>
    </row>
    <row r="82">
      <c r="B82" s="28" t="s">
        <v>73</v>
      </c>
      <c r="G82" s="16">
        <f>G81/C81-1</f>
        <v>1.2098153763685962</v>
      </c>
      <c r="H82" s="16">
        <f>H81/D81-1</f>
        <v>0.9191958514354919</v>
      </c>
      <c r="J82" s="59">
        <f>J81/E81-1</f>
        <v>0.5871901341923684</v>
      </c>
    </row>
    <row r="83">
      <c r="B83" s="7" t="s">
        <v>253</v>
      </c>
      <c r="C83" s="3">
        <f>Inputs!C12</f>
        <v>4.75</v>
      </c>
      <c r="D83" s="3">
        <f>Inputs!D12</f>
        <v>6.53</v>
      </c>
      <c r="E83" s="3">
        <f>Inputs!E12</f>
        <v>8.25</v>
      </c>
      <c r="F83" s="3">
        <f>Inputs!F12</f>
        <v>9.37</v>
      </c>
      <c r="G83" s="3">
        <f>Inputs!G12</f>
        <v>10.51</v>
      </c>
      <c r="H83" s="3">
        <f>Inputs!H12</f>
        <v>12.53</v>
      </c>
      <c r="J83" s="51"/>
    </row>
    <row r="84">
      <c r="B84" s="7" t="s">
        <v>254</v>
      </c>
      <c r="C84" s="3">
        <f>Inputs!C11</f>
        <v>3.71</v>
      </c>
      <c r="D84" s="3">
        <f>Inputs!D11</f>
        <v>4.84</v>
      </c>
      <c r="E84" s="3">
        <f>Inputs!E11</f>
        <v>6.29</v>
      </c>
      <c r="F84" s="3">
        <f>Inputs!F11</f>
        <v>6.75</v>
      </c>
      <c r="G84" s="3">
        <f>Inputs!G11</f>
        <v>6.81</v>
      </c>
      <c r="H84" s="3">
        <f>Inputs!H11</f>
        <v>10.46</v>
      </c>
      <c r="J84" s="71">
        <f>Inputs!J11</f>
        <v>12.85</v>
      </c>
    </row>
    <row r="85">
      <c r="B85" s="7" t="s">
        <v>255</v>
      </c>
      <c r="C85" s="58" t="b">
        <f>ABS(C81-C83)&lt;0.005</f>
        <v>1</v>
      </c>
      <c r="D85" s="58" t="b">
        <f>ABS(D81-D83)&lt;0.005</f>
        <v>1</v>
      </c>
      <c r="E85" s="58" t="b">
        <f>ABS(E81-E83)&lt;0.005</f>
        <v>1</v>
      </c>
      <c r="F85" s="58" t="b">
        <f>ABS(F81-F83)&lt;0.005</f>
        <v>1</v>
      </c>
      <c r="G85" s="58" t="b">
        <f>ABS(G81-G83)&lt;0.005</f>
        <v>1</v>
      </c>
      <c r="H85" s="58" t="b">
        <f>ABS(H81-H83)&lt;0.005</f>
        <v>1</v>
      </c>
      <c r="J85" s="51"/>
    </row>
    <row r="86">
      <c r="B86" s="7" t="s">
        <v>256</v>
      </c>
      <c r="C86" s="26">
        <f>C81-C84</f>
        <v>1.044641202078365</v>
      </c>
      <c r="D86" s="26">
        <f>D81-D84</f>
        <v>1.6868455427068882</v>
      </c>
      <c r="E86" s="26">
        <f>E81-E84</f>
        <v>1.9558645553513374</v>
      </c>
      <c r="F86" s="26">
        <f>F81-F84</f>
        <v>2.6164986692337724</v>
      </c>
      <c r="G86" s="26">
        <f>G81-G84</f>
        <v>3.696879237468436</v>
      </c>
      <c r="H86" s="26">
        <f>H81-H84</f>
        <v>2.0662948885232897</v>
      </c>
      <c r="J86" s="52">
        <f>J81-J84</f>
        <v>0.2377548701401846</v>
      </c>
    </row>
    <row r="87">
      <c r="B87" s="28" t="s">
        <v>257</v>
      </c>
      <c r="C87" s="16">
        <f>C81/C84-1</f>
        <v>0.2815744479995592</v>
      </c>
      <c r="D87" s="16">
        <f>D81/D84-1</f>
        <v>0.34852180634439844</v>
      </c>
      <c r="E87" s="16">
        <f>E81/E84-1</f>
        <v>0.3109482599922635</v>
      </c>
      <c r="F87" s="16">
        <f>F81/F84-1</f>
        <v>0.38762943247907744</v>
      </c>
      <c r="G87" s="16">
        <f>G81/G84-1</f>
        <v>0.5428603872934561</v>
      </c>
      <c r="H87" s="16">
        <f>H81/H84-1</f>
        <v>0.1975425323636033</v>
      </c>
      <c r="J87" s="59">
        <f>J81/J84-1</f>
        <v>0.018502324524527936</v>
      </c>
    </row>
    <row r="88">
      <c r="J88" s="51"/>
    </row>
    <row r="89">
      <c r="B89" s="5" t="s">
        <v>258</v>
      </c>
      <c r="J89" s="51"/>
    </row>
    <row r="90">
      <c r="B90" s="7" t="s">
        <v>259</v>
      </c>
      <c r="C90" s="30">
        <f>C55</f>
        <v>169.28900000000016</v>
      </c>
      <c r="D90" s="30">
        <f>D55</f>
        <v>230.84799999999993</v>
      </c>
      <c r="E90" s="30">
        <f>E55</f>
        <v>291.61500000000007</v>
      </c>
      <c r="F90" s="30">
        <f>F55</f>
        <v>330.80599999999833</v>
      </c>
      <c r="G90" s="30">
        <f>G55</f>
        <v>370.3779999999998</v>
      </c>
      <c r="H90" s="30">
        <f>H55</f>
        <v>441.60200000000003</v>
      </c>
      <c r="I90" s="30">
        <f>I55</f>
        <v>1022.5579999999993</v>
      </c>
      <c r="J90" s="40">
        <f>J55</f>
        <v>461.21248162374</v>
      </c>
    </row>
    <row r="91">
      <c r="B91" s="7" t="s">
        <v>260</v>
      </c>
      <c r="C91" s="30">
        <f>C51</f>
        <v>38.723</v>
      </c>
      <c r="D91" s="30">
        <f>D51</f>
        <v>65.636</v>
      </c>
      <c r="E91" s="30">
        <f>E51</f>
        <v>78.843</v>
      </c>
      <c r="F91" s="30">
        <f>F51</f>
        <v>87.69299999999998</v>
      </c>
      <c r="G91" s="30">
        <f>G51</f>
        <v>111.768</v>
      </c>
      <c r="H91" s="30">
        <f>H51</f>
        <v>124.641</v>
      </c>
      <c r="I91" s="30">
        <f>I51</f>
        <v>270.895</v>
      </c>
      <c r="J91" s="40">
        <f>J51</f>
        <v>137.76476723826002</v>
      </c>
    </row>
    <row r="92">
      <c r="B92" s="7" t="s">
        <v>261</v>
      </c>
      <c r="C92" s="30">
        <f>-C45</f>
        <v>-0.024</v>
      </c>
      <c r="D92" s="30">
        <f>-D45</f>
        <v>0.53</v>
      </c>
      <c r="E92" s="30">
        <f>-E45</f>
        <v>-0.28</v>
      </c>
      <c r="F92" s="30">
        <f>-F45</f>
        <v>0.03200000000000003</v>
      </c>
      <c r="G92" s="30">
        <f>-G45</f>
        <v>-0.464</v>
      </c>
      <c r="H92" s="30">
        <f>-H45</f>
        <v>-0.708</v>
      </c>
      <c r="I92" s="30">
        <f>-I45</f>
        <v>0.258</v>
      </c>
      <c r="J92" s="40">
        <f>-J45</f>
        <v>-0.3</v>
      </c>
    </row>
    <row r="93">
      <c r="B93" s="7" t="s">
        <v>262</v>
      </c>
      <c r="C93" s="30">
        <f>-C42</f>
        <v>3.758</v>
      </c>
      <c r="D93" s="30">
        <f>-D42</f>
        <v>4.073</v>
      </c>
      <c r="E93" s="30">
        <f>-E42</f>
        <v>12.103</v>
      </c>
      <c r="F93" s="30">
        <f>-F42</f>
        <v>13.538999999999998</v>
      </c>
      <c r="G93" s="30">
        <f>-G42</f>
        <v>10.37</v>
      </c>
      <c r="H93" s="30">
        <f>-H42</f>
        <v>2.045</v>
      </c>
      <c r="I93" s="30">
        <f>-I42</f>
        <v>33.473</v>
      </c>
      <c r="J93" s="40">
        <f>-J42</f>
        <v>6</v>
      </c>
    </row>
    <row r="94">
      <c r="B94" s="7" t="s">
        <v>263</v>
      </c>
      <c r="C94" s="30">
        <f>-(C36+C39)</f>
        <v>-2.6480000000000006</v>
      </c>
      <c r="D94" s="30">
        <f>-(D36+D39)</f>
        <v>-1.214</v>
      </c>
      <c r="E94" s="30">
        <f>-(E36+E39)</f>
        <v>-3.407</v>
      </c>
      <c r="F94" s="30">
        <f>-(F36+F39)</f>
        <v>-5.325999999999999</v>
      </c>
      <c r="G94" s="30">
        <f>-(G36+G39)</f>
        <v>-6.3340000000000005</v>
      </c>
      <c r="H94" s="30">
        <f>-(H36+H39)</f>
        <v>-9.614</v>
      </c>
      <c r="I94" s="30">
        <f>-(I36+I39)</f>
        <v>-12.594999999999999</v>
      </c>
      <c r="J94" s="40">
        <f>-(J36+J39)</f>
        <v>-12.8</v>
      </c>
    </row>
    <row r="95">
      <c r="B95" s="7" t="s">
        <v>264</v>
      </c>
      <c r="C95" s="30">
        <f>-C29</f>
        <v>-0.556</v>
      </c>
      <c r="D95" s="30">
        <f>-D29</f>
        <v>-0.442</v>
      </c>
      <c r="E95" s="30">
        <f>-E29</f>
        <v>-0.582</v>
      </c>
      <c r="F95" s="30">
        <f>-F29</f>
        <v>-0.3939999999999999</v>
      </c>
      <c r="G95" s="30">
        <f>-G29</f>
        <v>-0.302</v>
      </c>
      <c r="H95" s="30">
        <f>-H29</f>
        <v>-0.785</v>
      </c>
      <c r="I95" s="30">
        <f>-I29</f>
        <v>-1.974</v>
      </c>
      <c r="J95" s="40">
        <f>-J29</f>
        <v>-0.5</v>
      </c>
    </row>
    <row r="96">
      <c r="B96" s="7" t="s">
        <v>265</v>
      </c>
      <c r="C96" s="4">
        <f>'Segment - Mechanical'!C85+'Segment - Electrical'!C85</f>
        <v>20.115000000000002</v>
      </c>
      <c r="D96" s="4">
        <f>'Segment - Mechanical'!D85+'Segment - Electrical'!D85</f>
        <v>19.791</v>
      </c>
      <c r="E96" s="4">
        <f>'Segment - Mechanical'!E85+'Segment - Electrical'!E85</f>
        <v>19.526</v>
      </c>
      <c r="F96" s="4">
        <f>'Segment - Mechanical'!F85+'Segment - Electrical'!F85</f>
        <v>20.147999999999996</v>
      </c>
      <c r="G96" s="4">
        <f>'Segment - Mechanical'!G85+'Segment - Electrical'!G85</f>
        <v>20.394</v>
      </c>
      <c r="H96" s="4">
        <f>'Segment - Mechanical'!H85+'Segment - Electrical'!H85</f>
        <v>23.274</v>
      </c>
      <c r="I96" s="4">
        <f>'Segment - Mechanical'!I85+'Segment - Electrical'!I85</f>
        <v>79.58</v>
      </c>
      <c r="J96" s="64">
        <f>'Segment - Mechanical'!J85+'Segment - Electrical'!J85</f>
        <v>23.200000000000003</v>
      </c>
    </row>
    <row r="97">
      <c r="B97" s="7" t="s">
        <v>266</v>
      </c>
      <c r="C97" s="18">
        <v>0.303</v>
      </c>
      <c r="D97" s="18">
        <v>0.305</v>
      </c>
      <c r="E97" s="18">
        <v>0.4</v>
      </c>
      <c r="F97" s="30">
        <f>I97-SUM(C97:E97)</f>
        <v>0.4179999999999999</v>
      </c>
      <c r="G97" s="18">
        <v>0.372</v>
      </c>
      <c r="H97" s="18">
        <v>0.385</v>
      </c>
      <c r="I97" s="18">
        <v>1.426</v>
      </c>
      <c r="J97" s="48">
        <v>0.4</v>
      </c>
      <c r="L97" s="31" t="s">
        <v>267</v>
      </c>
    </row>
    <row r="98">
      <c r="B98" s="7" t="s">
        <v>209</v>
      </c>
      <c r="G98" s="30">
        <f>G97-C97</f>
        <v>0.069</v>
      </c>
      <c r="H98" s="30">
        <f>H97-D97</f>
        <v>0.08000000000000002</v>
      </c>
      <c r="J98" s="40">
        <f>J97-E97</f>
        <v>0</v>
      </c>
    </row>
    <row r="99">
      <c r="B99" s="7" t="s">
        <v>210</v>
      </c>
      <c r="D99" s="30">
        <f>D97-C97</f>
        <v>0.0020000000000000018</v>
      </c>
      <c r="E99" s="30">
        <f>E97-D97</f>
        <v>0.09500000000000003</v>
      </c>
      <c r="F99" s="30">
        <f>F97-E97</f>
        <v>0.017999999999999905</v>
      </c>
      <c r="G99" s="30">
        <f>G97-F97</f>
        <v>-0.04599999999999993</v>
      </c>
      <c r="H99" s="30">
        <f>H97-G97</f>
        <v>0.013000000000000012</v>
      </c>
      <c r="J99" s="40">
        <f>J97-H97</f>
        <v>0.015000000000000013</v>
      </c>
    </row>
    <row r="100">
      <c r="B100" s="7" t="s">
        <v>268</v>
      </c>
      <c r="C100" s="4">
        <f>'Segment - Mechanical'!C88+'Segment - Electrical'!C88+C97</f>
        <v>14.010000000000002</v>
      </c>
      <c r="D100" s="4">
        <f>'Segment - Mechanical'!D88+'Segment - Electrical'!D88+D97</f>
        <v>14.856</v>
      </c>
      <c r="E100" s="4">
        <f>'Segment - Mechanical'!E88+'Segment - Electrical'!E88+E97</f>
        <v>16.048</v>
      </c>
      <c r="F100" s="4">
        <f>'Segment - Mechanical'!F88+'Segment - Electrical'!F88+F97</f>
        <v>17.464999999999996</v>
      </c>
      <c r="G100" s="4">
        <f>'Segment - Mechanical'!G88+'Segment - Electrical'!G88+G97</f>
        <v>18.566000000000003</v>
      </c>
      <c r="H100" s="4">
        <f>'Segment - Mechanical'!H88+'Segment - Electrical'!H88+H97</f>
        <v>20.036</v>
      </c>
      <c r="I100" s="4">
        <f>'Segment - Mechanical'!I88+'Segment - Electrical'!I88+I97</f>
        <v>62.379</v>
      </c>
      <c r="J100" s="64">
        <f>'Segment - Mechanical'!J88+'Segment - Electrical'!J88+J97</f>
        <v>21.799999999999997</v>
      </c>
    </row>
    <row r="101">
      <c r="B101" s="5" t="s">
        <v>269</v>
      </c>
      <c r="C101" s="17">
        <f>C90+C91+C92+C93+C94+C95+C96+C100</f>
        <v>242.66700000000017</v>
      </c>
      <c r="D101" s="17">
        <f>D90+D91+D92+D93+D94+D95+D96+D100</f>
        <v>334.07799999999986</v>
      </c>
      <c r="E101" s="17">
        <f>E90+E91+E92+E93+E94+E95+E96+E100</f>
        <v>413.86600000000016</v>
      </c>
      <c r="F101" s="17">
        <f>F90+F91+F92+F93+F94+F95+F96+F100</f>
        <v>463.9629999999982</v>
      </c>
      <c r="G101" s="17">
        <f>G90+G91+G92+G93+G94+G95+G96+G100</f>
        <v>524.3759999999999</v>
      </c>
      <c r="H101" s="17">
        <f>H90+H91+H92+H93+H94+H95+H96+H100</f>
        <v>600.491</v>
      </c>
      <c r="I101" s="17">
        <f>I90+I91+I92+I93+I94+I95+I96+I100</f>
        <v>1454.5739999999992</v>
      </c>
      <c r="J101" s="63">
        <f>J90+J91+J92+J93+J94+J95+J96+J100</f>
        <v>636.3772488620001</v>
      </c>
    </row>
    <row r="102">
      <c r="B102" s="28" t="s">
        <v>270</v>
      </c>
      <c r="C102" s="16">
        <f>C101/C9</f>
        <v>0.13251179772029065</v>
      </c>
      <c r="D102" s="16">
        <f>D101/D9</f>
        <v>0.15371788494924116</v>
      </c>
      <c r="E102" s="16">
        <f>E101/E9</f>
        <v>0.1688581128525086</v>
      </c>
      <c r="F102" s="16">
        <f>F101/F9</f>
        <v>0.17534060928918216</v>
      </c>
      <c r="G102" s="16">
        <f>G101/G9</f>
        <v>0.18300706514986742</v>
      </c>
      <c r="H102" s="16">
        <f>H101/H9</f>
        <v>0.1838806659366449</v>
      </c>
      <c r="I102" s="16">
        <f>I101/I9</f>
        <v>0.15981447741127114</v>
      </c>
      <c r="J102" s="59">
        <f>J101/J9</f>
        <v>0.18421086912787274</v>
      </c>
    </row>
    <row r="103">
      <c r="B103" s="7" t="s">
        <v>190</v>
      </c>
      <c r="G103" s="42">
        <f>(G102-C102)*10000</f>
        <v>504.95267429576774</v>
      </c>
      <c r="H103" s="42">
        <f>(H102-D102)*10000</f>
        <v>301.62780987403744</v>
      </c>
      <c r="J103" s="54">
        <f>(J102-E102)*10000</f>
        <v>153.52756275364143</v>
      </c>
    </row>
    <row r="104">
      <c r="B104" s="7" t="s">
        <v>191</v>
      </c>
      <c r="D104" s="42">
        <f>(D102-C102)*10000</f>
        <v>212.06087228950508</v>
      </c>
      <c r="E104" s="42">
        <f>(E102-D102)*10000</f>
        <v>151.4022790326744</v>
      </c>
      <c r="F104" s="42">
        <f>(F102-E102)*10000</f>
        <v>64.82496436673563</v>
      </c>
      <c r="G104" s="42">
        <f>(G102-F102)*10000</f>
        <v>76.66455860685262</v>
      </c>
      <c r="H104" s="42">
        <f>(H102-G102)*10000</f>
        <v>8.736007867774786</v>
      </c>
      <c r="J104" s="54">
        <f>(J102-H102)*10000</f>
        <v>3.3020319122784025</v>
      </c>
    </row>
    <row r="105">
      <c r="B105" s="28" t="s">
        <v>73</v>
      </c>
      <c r="G105" s="16">
        <f>G101/C101-1</f>
        <v>1.1608871416385398</v>
      </c>
      <c r="H105" s="16">
        <f>H101/D101-1</f>
        <v>0.7974574799897036</v>
      </c>
      <c r="J105" s="59">
        <f>J101/E101-1</f>
        <v>0.5376408036949154</v>
      </c>
    </row>
    <row r="106">
      <c r="B106" s="7" t="s">
        <v>271</v>
      </c>
      <c r="D106" s="18">
        <v>334.078</v>
      </c>
      <c r="F106" s="18">
        <v>463.963</v>
      </c>
      <c r="H106" s="18">
        <v>600.491</v>
      </c>
      <c r="I106" s="18">
        <v>1454.574</v>
      </c>
      <c r="J106" s="51"/>
    </row>
    <row r="107">
      <c r="B107" s="7" t="s">
        <v>272</v>
      </c>
      <c r="D107" s="30">
        <f>D101-D106</f>
        <v>0</v>
      </c>
      <c r="F107" s="30">
        <f>F101-F106</f>
        <v>0</v>
      </c>
      <c r="H107" s="30">
        <f>H101-H106</f>
        <v>0</v>
      </c>
      <c r="I107" s="30">
        <f>I101-I106</f>
        <v>0</v>
      </c>
      <c r="J107" s="51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1:L7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2" customWidth="1"/>
    <col min="12" max="12" width="60" customWidth="1"/>
  </cols>
  <sheetData>
    <row r="1">
      <c r="B1" s="33" t="s">
        <v>0</v>
      </c>
    </row>
    <row r="2">
      <c r="B2" s="35" t="s">
        <v>273</v>
      </c>
    </row>
    <row r="3">
      <c r="B3" s="27" t="s">
        <v>2</v>
      </c>
    </row>
    <row r="4">
      <c r="B4" s="32" t="s">
        <v>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12" t="s">
        <v>70</v>
      </c>
      <c r="J4" s="12" t="s">
        <v>4</v>
      </c>
    </row>
    <row r="5">
      <c r="B5" s="19" t="s">
        <v>5</v>
      </c>
      <c r="C5" s="20">
        <f>DATE(2025,3,31)</f>
        <v>45747</v>
      </c>
      <c r="D5" s="20">
        <f>DATE(2025,6,30)</f>
        <v>45838</v>
      </c>
      <c r="E5" s="20">
        <f>DATE(2025,9,30)</f>
        <v>45930</v>
      </c>
      <c r="F5" s="20">
        <f>DATE(2025,12,31)</f>
        <v>46022</v>
      </c>
      <c r="G5" s="20">
        <f>DATE(2026,3,31)</f>
        <v>46112</v>
      </c>
      <c r="H5" s="20">
        <f>DATE(2026,6,30)</f>
        <v>46203</v>
      </c>
      <c r="I5" s="20">
        <f>DATE(2025,12,31)</f>
        <v>46022</v>
      </c>
      <c r="J5" s="20">
        <f>DATE(2026,9,30)</f>
        <v>46295</v>
      </c>
    </row>
    <row r="6">
      <c r="B6" s="29" t="s">
        <v>6</v>
      </c>
      <c r="C6" s="14">
        <f>C5-EOMONTH(C5,-3)</f>
        <v>90</v>
      </c>
      <c r="D6" s="14">
        <f>D5-EOMONTH(D5,-3)</f>
        <v>91</v>
      </c>
      <c r="E6" s="14">
        <f>E5-EOMONTH(E5,-3)</f>
        <v>92</v>
      </c>
      <c r="F6" s="14">
        <f>F5-EOMONTH(F5,-3)</f>
        <v>92</v>
      </c>
      <c r="G6" s="14">
        <f>G5-EOMONTH(G5,-3)</f>
        <v>90</v>
      </c>
      <c r="H6" s="14">
        <f>H5-EOMONTH(H5,-3)</f>
        <v>91</v>
      </c>
      <c r="I6" s="14">
        <f>I5-EOMONTH(I5,-12)</f>
        <v>365</v>
      </c>
      <c r="J6" s="14">
        <f>J5-EOMONTH(J5,-3)</f>
        <v>92</v>
      </c>
    </row>
    <row r="8">
      <c r="B8" s="5" t="s">
        <v>274</v>
      </c>
      <c r="J8" s="51"/>
    </row>
    <row r="9">
      <c r="B9" s="7" t="s">
        <v>275</v>
      </c>
      <c r="C9" s="18">
        <v>204.758</v>
      </c>
      <c r="D9" s="18">
        <v>331.71</v>
      </c>
      <c r="E9" s="18">
        <v>860.523</v>
      </c>
      <c r="F9" s="18">
        <v>981.898</v>
      </c>
      <c r="G9" s="18">
        <v>1050.164</v>
      </c>
      <c r="H9" s="18">
        <v>1854.794</v>
      </c>
      <c r="I9" s="30">
        <f>F9</f>
        <v>981.898</v>
      </c>
      <c r="J9" s="64">
        <f>'Cash Flow Statement'!J115</f>
        <v>2167.32198162374</v>
      </c>
      <c r="L9" s="31" t="s">
        <v>276</v>
      </c>
    </row>
    <row r="10">
      <c r="B10" s="7" t="s">
        <v>277</v>
      </c>
      <c r="C10" s="18">
        <v>1736.976</v>
      </c>
      <c r="D10" s="18">
        <v>2162.345</v>
      </c>
      <c r="E10" s="18">
        <v>2306.295</v>
      </c>
      <c r="F10" s="18">
        <v>2577.858</v>
      </c>
      <c r="G10" s="18">
        <v>2805.27</v>
      </c>
      <c r="H10" s="18">
        <v>3278.811</v>
      </c>
      <c r="I10" s="30">
        <f>F10</f>
        <v>2577.858</v>
      </c>
      <c r="J10" s="40">
        <f>H10</f>
        <v>3278.811</v>
      </c>
      <c r="L10" s="31" t="s">
        <v>278</v>
      </c>
    </row>
    <row r="11">
      <c r="B11" s="7" t="s">
        <v>87</v>
      </c>
      <c r="G11" s="30">
        <f>G10-C10</f>
        <v>1068.2939999999999</v>
      </c>
      <c r="H11" s="30">
        <f>H10-D10</f>
        <v>1116.4660000000003</v>
      </c>
      <c r="J11" s="40">
        <f>J10-E10</f>
        <v>972.5160000000001</v>
      </c>
    </row>
    <row r="12">
      <c r="B12" s="7" t="s">
        <v>78</v>
      </c>
      <c r="D12" s="30">
        <f>D10-C10</f>
        <v>425.3689999999997</v>
      </c>
      <c r="E12" s="30">
        <f>E10-D10</f>
        <v>143.95000000000027</v>
      </c>
      <c r="F12" s="30">
        <f>F10-E10</f>
        <v>271.5630000000001</v>
      </c>
      <c r="G12" s="30">
        <f>G10-F10</f>
        <v>227.4119999999998</v>
      </c>
      <c r="H12" s="30">
        <f>H10-G10</f>
        <v>473.54100000000017</v>
      </c>
      <c r="J12" s="40">
        <f>J10-H10</f>
        <v>0</v>
      </c>
    </row>
    <row r="13">
      <c r="B13" s="7" t="s">
        <v>279</v>
      </c>
      <c r="C13" s="18">
        <v>110.496</v>
      </c>
      <c r="D13" s="18">
        <v>149.721</v>
      </c>
      <c r="E13" s="18">
        <v>145.615</v>
      </c>
      <c r="F13" s="18">
        <v>123.197</v>
      </c>
      <c r="G13" s="18">
        <v>137.07</v>
      </c>
      <c r="H13" s="18">
        <v>136.617</v>
      </c>
      <c r="I13" s="30">
        <f>F13</f>
        <v>123.197</v>
      </c>
      <c r="J13" s="40">
        <f>H13</f>
        <v>136.617</v>
      </c>
    </row>
    <row r="14">
      <c r="B14" s="7" t="s">
        <v>87</v>
      </c>
      <c r="G14" s="30">
        <f>G13-C13</f>
        <v>26.573999999999998</v>
      </c>
      <c r="H14" s="30">
        <f>H13-D13</f>
        <v>-13.104000000000013</v>
      </c>
      <c r="J14" s="40">
        <f>J13-E13</f>
        <v>-8.998000000000019</v>
      </c>
    </row>
    <row r="15">
      <c r="B15" s="7" t="s">
        <v>78</v>
      </c>
      <c r="D15" s="30">
        <f>D13-C13</f>
        <v>39.22500000000001</v>
      </c>
      <c r="E15" s="30">
        <f>E13-D13</f>
        <v>-4.1059999999999945</v>
      </c>
      <c r="F15" s="30">
        <f>F13-E13</f>
        <v>-22.418000000000006</v>
      </c>
      <c r="G15" s="30">
        <f>G13-F13</f>
        <v>13.87299999999999</v>
      </c>
      <c r="H15" s="30">
        <f>H13-G13</f>
        <v>-0.45300000000000296</v>
      </c>
      <c r="J15" s="40">
        <f>J13-H13</f>
        <v>0</v>
      </c>
    </row>
    <row r="16">
      <c r="B16" s="7" t="s">
        <v>280</v>
      </c>
      <c r="C16" s="18">
        <v>203.687</v>
      </c>
      <c r="D16" s="18">
        <v>87.376</v>
      </c>
      <c r="E16" s="18">
        <v>85.755</v>
      </c>
      <c r="F16" s="18">
        <v>116.157</v>
      </c>
      <c r="G16" s="18">
        <v>108.885</v>
      </c>
      <c r="H16" s="18">
        <v>122.1</v>
      </c>
      <c r="I16" s="30">
        <f>F16</f>
        <v>116.157</v>
      </c>
      <c r="J16" s="40">
        <f>H16</f>
        <v>122.1</v>
      </c>
    </row>
    <row r="17">
      <c r="B17" s="7" t="s">
        <v>87</v>
      </c>
      <c r="G17" s="30">
        <f>G16-C16</f>
        <v>-94.802</v>
      </c>
      <c r="H17" s="30">
        <f>H16-D16</f>
        <v>34.72399999999999</v>
      </c>
      <c r="J17" s="40">
        <f>J16-E16</f>
        <v>36.345</v>
      </c>
    </row>
    <row r="18">
      <c r="B18" s="7" t="s">
        <v>78</v>
      </c>
      <c r="D18" s="30">
        <f>D16-C16</f>
        <v>-116.311</v>
      </c>
      <c r="E18" s="30">
        <f>E16-D16</f>
        <v>-1.6210000000000093</v>
      </c>
      <c r="F18" s="30">
        <f>F16-E16</f>
        <v>30.402</v>
      </c>
      <c r="G18" s="30">
        <f>G16-F16</f>
        <v>-7.271999999999991</v>
      </c>
      <c r="H18" s="30">
        <f>H16-G16</f>
        <v>13.21499999999999</v>
      </c>
      <c r="J18" s="40">
        <f>J16-H16</f>
        <v>0</v>
      </c>
    </row>
    <row r="19">
      <c r="B19" s="7" t="s">
        <v>281</v>
      </c>
      <c r="C19" s="18">
        <v>63.045</v>
      </c>
      <c r="D19" s="18">
        <v>70.732</v>
      </c>
      <c r="E19" s="18">
        <v>78.83</v>
      </c>
      <c r="F19" s="18">
        <v>84.066</v>
      </c>
      <c r="G19" s="18">
        <v>93.947</v>
      </c>
      <c r="H19" s="18">
        <v>104.804</v>
      </c>
      <c r="I19" s="30">
        <f>F19</f>
        <v>84.066</v>
      </c>
      <c r="J19" s="40">
        <f>H19</f>
        <v>104.804</v>
      </c>
    </row>
    <row r="20">
      <c r="B20" s="7" t="s">
        <v>87</v>
      </c>
      <c r="G20" s="30">
        <f>G19-C19</f>
        <v>30.902</v>
      </c>
      <c r="H20" s="30">
        <f>H19-D19</f>
        <v>34.072</v>
      </c>
      <c r="J20" s="40">
        <f>J19-E19</f>
        <v>25.974000000000004</v>
      </c>
    </row>
    <row r="21">
      <c r="B21" s="7" t="s">
        <v>78</v>
      </c>
      <c r="D21" s="30">
        <f>D19-C19</f>
        <v>7.686999999999998</v>
      </c>
      <c r="E21" s="30">
        <f>E19-D19</f>
        <v>8.097999999999999</v>
      </c>
      <c r="F21" s="30">
        <f>F19-E19</f>
        <v>5.236000000000004</v>
      </c>
      <c r="G21" s="30">
        <f>G19-F19</f>
        <v>9.881</v>
      </c>
      <c r="H21" s="30">
        <f>H19-G19</f>
        <v>10.857</v>
      </c>
      <c r="J21" s="40">
        <f>J19-H19</f>
        <v>0</v>
      </c>
    </row>
    <row r="22">
      <c r="B22" s="7" t="s">
        <v>282</v>
      </c>
      <c r="C22" s="18">
        <v>50.859</v>
      </c>
      <c r="D22" s="18">
        <v>37.991</v>
      </c>
      <c r="E22" s="18">
        <v>63.16</v>
      </c>
      <c r="F22" s="18">
        <v>138.56</v>
      </c>
      <c r="G22" s="18">
        <v>177.588</v>
      </c>
      <c r="H22" s="18">
        <v>146.723</v>
      </c>
      <c r="I22" s="30">
        <f>F22</f>
        <v>138.56</v>
      </c>
      <c r="J22" s="40">
        <f>H22</f>
        <v>146.723</v>
      </c>
    </row>
    <row r="23">
      <c r="B23" s="7" t="s">
        <v>87</v>
      </c>
      <c r="G23" s="30">
        <f>G22-C22</f>
        <v>126.72899999999998</v>
      </c>
      <c r="H23" s="30">
        <f>H22-D22</f>
        <v>108.73200000000001</v>
      </c>
      <c r="J23" s="40">
        <f>J22-E22</f>
        <v>83.56300000000002</v>
      </c>
    </row>
    <row r="24">
      <c r="B24" s="7" t="s">
        <v>78</v>
      </c>
      <c r="D24" s="30">
        <f>D22-C22</f>
        <v>-12.868000000000002</v>
      </c>
      <c r="E24" s="30">
        <f>E22-D22</f>
        <v>25.168999999999997</v>
      </c>
      <c r="F24" s="30">
        <f>F22-E22</f>
        <v>75.4</v>
      </c>
      <c r="G24" s="30">
        <f>G22-F22</f>
        <v>39.02799999999999</v>
      </c>
      <c r="H24" s="30">
        <f>H22-G22</f>
        <v>-30.86499999999998</v>
      </c>
      <c r="J24" s="40">
        <f>J22-H22</f>
        <v>0</v>
      </c>
    </row>
    <row r="25">
      <c r="B25" s="7" t="s">
        <v>283</v>
      </c>
      <c r="C25" s="18">
        <v>227.678</v>
      </c>
      <c r="D25" s="18">
        <v>203.404</v>
      </c>
      <c r="E25" s="18">
        <v>163.35</v>
      </c>
      <c r="F25" s="18">
        <v>88.817</v>
      </c>
      <c r="G25" s="18">
        <v>128.007</v>
      </c>
      <c r="H25" s="18">
        <v>144.553</v>
      </c>
      <c r="I25" s="30">
        <f>F25</f>
        <v>88.817</v>
      </c>
      <c r="J25" s="40">
        <f>H25</f>
        <v>144.553</v>
      </c>
    </row>
    <row r="26">
      <c r="B26" s="7" t="s">
        <v>87</v>
      </c>
      <c r="G26" s="30">
        <f>G25-C25</f>
        <v>-99.67099999999999</v>
      </c>
      <c r="H26" s="30">
        <f>H25-D25</f>
        <v>-58.851</v>
      </c>
      <c r="J26" s="40">
        <f>J25-E25</f>
        <v>-18.796999999999997</v>
      </c>
    </row>
    <row r="27">
      <c r="B27" s="7" t="s">
        <v>78</v>
      </c>
      <c r="D27" s="30">
        <f>D25-C25</f>
        <v>-24.274</v>
      </c>
      <c r="E27" s="30">
        <f>E25-D25</f>
        <v>-40.054</v>
      </c>
      <c r="F27" s="30">
        <f>F25-E25</f>
        <v>-74.533</v>
      </c>
      <c r="G27" s="30">
        <f>G25-F25</f>
        <v>39.19000000000001</v>
      </c>
      <c r="H27" s="30">
        <f>H25-G25</f>
        <v>16.545999999999992</v>
      </c>
      <c r="J27" s="40">
        <f>J25-H25</f>
        <v>0</v>
      </c>
    </row>
    <row r="28">
      <c r="B28" s="5" t="s">
        <v>284</v>
      </c>
      <c r="C28" s="17">
        <f>C9+C10+C13+C16+C19+C22+C25</f>
        <v>2597.499</v>
      </c>
      <c r="D28" s="17">
        <f>D9+D10+D13+D16+D19+D22+D25</f>
        <v>3043.279</v>
      </c>
      <c r="E28" s="17">
        <f>E9+E10+E13+E16+E19+E22+E25</f>
        <v>3703.528</v>
      </c>
      <c r="F28" s="17">
        <f>F9+F10+F13+F16+F19+F22+F25</f>
        <v>4110.553</v>
      </c>
      <c r="G28" s="17">
        <f>G9+G10+G13+G16+G19+G22+G25</f>
        <v>4500.931</v>
      </c>
      <c r="H28" s="17">
        <f>H9+H10+H13+H16+H19+H22+H25</f>
        <v>5788.402000000001</v>
      </c>
      <c r="I28" s="17">
        <f>I9+I10+I13+I16+I19+I22+I25</f>
        <v>4110.553</v>
      </c>
      <c r="J28" s="63">
        <f>J9+J10+J13+J16+J19+J22+J25</f>
        <v>6100.929981623741</v>
      </c>
    </row>
    <row r="29">
      <c r="B29" s="7" t="s">
        <v>285</v>
      </c>
      <c r="C29" s="18">
        <v>295.098</v>
      </c>
      <c r="D29" s="18">
        <v>311.249</v>
      </c>
      <c r="E29" s="18">
        <v>337.452</v>
      </c>
      <c r="F29" s="18">
        <v>387.952</v>
      </c>
      <c r="G29" s="18">
        <v>515.796</v>
      </c>
      <c r="H29" s="18">
        <v>653.873</v>
      </c>
      <c r="I29" s="30">
        <f>F29</f>
        <v>387.952</v>
      </c>
      <c r="J29" s="64">
        <f>H29-'Cash Flow Statement'!J66-'Cash Flow Statement'!J15-('Cash Flow Statement'!J69+'Cash Flow Statement'!J30)</f>
        <v>804.0730000000001</v>
      </c>
      <c r="L29" s="31" t="s">
        <v>286</v>
      </c>
    </row>
    <row r="30">
      <c r="B30" s="7" t="s">
        <v>287</v>
      </c>
      <c r="C30" s="18">
        <v>226.62</v>
      </c>
      <c r="D30" s="18">
        <v>226.43</v>
      </c>
      <c r="E30" s="18">
        <v>274.697</v>
      </c>
      <c r="F30" s="18">
        <v>322.922</v>
      </c>
      <c r="G30" s="18">
        <v>321.652</v>
      </c>
      <c r="H30" s="18">
        <v>299.638</v>
      </c>
      <c r="I30" s="30">
        <f>F30</f>
        <v>322.922</v>
      </c>
      <c r="J30" s="40">
        <f>H30</f>
        <v>299.638</v>
      </c>
    </row>
    <row r="31">
      <c r="B31" s="7" t="s">
        <v>288</v>
      </c>
      <c r="C31" s="18">
        <v>905.843</v>
      </c>
      <c r="D31" s="18">
        <v>927.78</v>
      </c>
      <c r="E31" s="18">
        <v>928.168</v>
      </c>
      <c r="F31" s="18">
        <v>1025.515</v>
      </c>
      <c r="G31" s="18">
        <v>1025.515</v>
      </c>
      <c r="H31" s="18">
        <v>1101.475</v>
      </c>
      <c r="I31" s="30">
        <f>F31</f>
        <v>1025.515</v>
      </c>
      <c r="J31" s="40">
        <f>H31</f>
        <v>1101.475</v>
      </c>
    </row>
    <row r="32">
      <c r="B32" s="7" t="s">
        <v>289</v>
      </c>
      <c r="C32" s="18">
        <v>441.502</v>
      </c>
      <c r="D32" s="18">
        <v>451.446</v>
      </c>
      <c r="E32" s="18">
        <v>431.921</v>
      </c>
      <c r="F32" s="18">
        <v>485.168</v>
      </c>
      <c r="G32" s="18">
        <v>464.774</v>
      </c>
      <c r="H32" s="18">
        <v>534.58</v>
      </c>
      <c r="I32" s="30">
        <f>F32</f>
        <v>485.168</v>
      </c>
      <c r="J32" s="64">
        <f>H32-'Cash Flow Statement'!J12</f>
        <v>511.38000000000005</v>
      </c>
      <c r="L32" s="31" t="s">
        <v>290</v>
      </c>
    </row>
    <row r="33">
      <c r="B33" s="7" t="s">
        <v>291</v>
      </c>
      <c r="C33" s="18">
        <v>83.409</v>
      </c>
      <c r="D33" s="18">
        <v>84.344</v>
      </c>
      <c r="E33" s="18">
        <v>77.904</v>
      </c>
      <c r="F33" s="18">
        <v>84.139</v>
      </c>
      <c r="G33" s="18">
        <v>83.183</v>
      </c>
      <c r="H33" s="18">
        <v>80.92</v>
      </c>
      <c r="I33" s="30">
        <f>F33</f>
        <v>84.139</v>
      </c>
      <c r="J33" s="40">
        <f>H33</f>
        <v>80.92</v>
      </c>
    </row>
    <row r="34">
      <c r="B34" s="7" t="s">
        <v>292</v>
      </c>
      <c r="C34" s="18">
        <v>19.247</v>
      </c>
      <c r="D34" s="18">
        <v>19.201</v>
      </c>
      <c r="E34" s="18">
        <v>24.181</v>
      </c>
      <c r="F34" s="18">
        <v>24.92</v>
      </c>
      <c r="G34" s="18">
        <v>26.495</v>
      </c>
      <c r="H34" s="18">
        <v>28.918</v>
      </c>
      <c r="I34" s="30">
        <f>F34</f>
        <v>24.92</v>
      </c>
      <c r="J34" s="40">
        <f>H34</f>
        <v>28.918</v>
      </c>
    </row>
    <row r="35">
      <c r="B35" s="5" t="s">
        <v>293</v>
      </c>
      <c r="C35" s="17">
        <f>C28+C29+C30+C31+C32+C33+C34</f>
        <v>4569.218</v>
      </c>
      <c r="D35" s="17">
        <f>D28+D29+D30+D31+D32+D33+D34</f>
        <v>5063.729</v>
      </c>
      <c r="E35" s="17">
        <f>E28+E29+E30+E31+E32+E33+E34</f>
        <v>5777.851</v>
      </c>
      <c r="F35" s="17">
        <f>F28+F29+F30+F31+F32+F33+F34</f>
        <v>6441.169</v>
      </c>
      <c r="G35" s="17">
        <f>G28+G29+G30+G31+G32+G33+G34</f>
        <v>6938.3460000000005</v>
      </c>
      <c r="H35" s="17">
        <f>H28+H29+H30+H31+H32+H33+H34</f>
        <v>8487.806</v>
      </c>
      <c r="I35" s="17">
        <f>I28+I29+I30+I31+I32+I33+I34</f>
        <v>6441.169</v>
      </c>
      <c r="J35" s="63">
        <f>J28+J29+J30+J31+J32+J33+J34</f>
        <v>8927.33398162374</v>
      </c>
    </row>
    <row r="36">
      <c r="J36" s="51"/>
    </row>
    <row r="37">
      <c r="B37" s="5" t="s">
        <v>294</v>
      </c>
      <c r="J37" s="51"/>
    </row>
    <row r="38">
      <c r="B38" s="7" t="s">
        <v>295</v>
      </c>
      <c r="C38" s="18">
        <v>4.066</v>
      </c>
      <c r="D38" s="18">
        <v>11.689</v>
      </c>
      <c r="E38" s="18">
        <v>4.676</v>
      </c>
      <c r="F38" s="18">
        <v>6.163</v>
      </c>
      <c r="G38" s="18">
        <v>0.025</v>
      </c>
      <c r="H38" s="18">
        <v>0.215</v>
      </c>
      <c r="I38" s="30">
        <f>F38</f>
        <v>6.163</v>
      </c>
      <c r="J38" s="40">
        <f>H38</f>
        <v>0.215</v>
      </c>
    </row>
    <row r="39">
      <c r="B39" s="7" t="s">
        <v>296</v>
      </c>
      <c r="C39" s="18">
        <v>560.663</v>
      </c>
      <c r="D39" s="18">
        <v>573.267</v>
      </c>
      <c r="E39" s="18">
        <v>665.132</v>
      </c>
      <c r="F39" s="18">
        <v>696.348</v>
      </c>
      <c r="G39" s="18">
        <v>719.59</v>
      </c>
      <c r="H39" s="18">
        <v>771.906</v>
      </c>
      <c r="I39" s="30">
        <f>F39</f>
        <v>696.348</v>
      </c>
      <c r="J39" s="40">
        <f>H39</f>
        <v>771.906</v>
      </c>
    </row>
    <row r="40">
      <c r="B40" s="7" t="s">
        <v>87</v>
      </c>
      <c r="G40" s="30">
        <f>G39-C39</f>
        <v>158.92700000000002</v>
      </c>
      <c r="H40" s="30">
        <f>H39-D39</f>
        <v>198.6389999999999</v>
      </c>
      <c r="J40" s="40">
        <f>J39-E39</f>
        <v>106.774</v>
      </c>
    </row>
    <row r="41">
      <c r="B41" s="7" t="s">
        <v>78</v>
      </c>
      <c r="D41" s="30">
        <f>D39-C39</f>
        <v>12.604000000000042</v>
      </c>
      <c r="E41" s="30">
        <f>E39-D39</f>
        <v>91.8649999999999</v>
      </c>
      <c r="F41" s="30">
        <f>F39-E39</f>
        <v>31.216000000000008</v>
      </c>
      <c r="G41" s="30">
        <f>G39-F39</f>
        <v>23.242000000000075</v>
      </c>
      <c r="H41" s="30">
        <f>H39-G39</f>
        <v>52.31599999999992</v>
      </c>
      <c r="J41" s="40">
        <f>J39-H39</f>
        <v>0</v>
      </c>
    </row>
    <row r="42">
      <c r="B42" s="7" t="s">
        <v>297</v>
      </c>
      <c r="C42" s="18">
        <v>191.95</v>
      </c>
      <c r="D42" s="18">
        <v>264.495</v>
      </c>
      <c r="E42" s="18">
        <v>356.397</v>
      </c>
      <c r="F42" s="18">
        <v>291.722</v>
      </c>
      <c r="G42" s="18">
        <v>278.182</v>
      </c>
      <c r="H42" s="18">
        <v>403.471</v>
      </c>
      <c r="I42" s="30">
        <f>F42</f>
        <v>291.722</v>
      </c>
      <c r="J42" s="40">
        <f>H42</f>
        <v>403.471</v>
      </c>
    </row>
    <row r="43">
      <c r="B43" s="7" t="s">
        <v>87</v>
      </c>
      <c r="G43" s="30">
        <f>G42-C42</f>
        <v>86.23200000000003</v>
      </c>
      <c r="H43" s="30">
        <f>H42-D42</f>
        <v>138.976</v>
      </c>
      <c r="J43" s="40">
        <f>J42-E42</f>
        <v>47.07400000000001</v>
      </c>
    </row>
    <row r="44">
      <c r="B44" s="7" t="s">
        <v>78</v>
      </c>
      <c r="D44" s="30">
        <f>D42-C42</f>
        <v>72.54500000000002</v>
      </c>
      <c r="E44" s="30">
        <f>E42-D42</f>
        <v>91.90199999999999</v>
      </c>
      <c r="F44" s="30">
        <f>F42-E42</f>
        <v>-64.67500000000001</v>
      </c>
      <c r="G44" s="30">
        <f>G42-F42</f>
        <v>-13.539999999999964</v>
      </c>
      <c r="H44" s="30">
        <f>H42-G42</f>
        <v>125.28899999999999</v>
      </c>
      <c r="J44" s="40">
        <f>J42-H42</f>
        <v>0</v>
      </c>
    </row>
    <row r="45">
      <c r="B45" s="7" t="s">
        <v>298</v>
      </c>
      <c r="C45" s="18">
        <v>1267.373</v>
      </c>
      <c r="D45" s="18">
        <v>1546.306</v>
      </c>
      <c r="E45" s="18">
        <v>1734.272</v>
      </c>
      <c r="F45" s="18">
        <v>2120.262</v>
      </c>
      <c r="G45" s="18">
        <v>2345.279</v>
      </c>
      <c r="H45" s="18">
        <v>3231.104</v>
      </c>
      <c r="I45" s="30">
        <f>F45</f>
        <v>2120.262</v>
      </c>
      <c r="J45" s="40">
        <f>H45</f>
        <v>3231.104</v>
      </c>
    </row>
    <row r="46">
      <c r="B46" s="7" t="s">
        <v>87</v>
      </c>
      <c r="G46" s="30">
        <f>G45-C45</f>
        <v>1077.906</v>
      </c>
      <c r="H46" s="30">
        <f>H45-D45</f>
        <v>1684.7979999999998</v>
      </c>
      <c r="J46" s="40">
        <f>J45-E45</f>
        <v>1496.8319999999999</v>
      </c>
    </row>
    <row r="47">
      <c r="B47" s="7" t="s">
        <v>78</v>
      </c>
      <c r="D47" s="30">
        <f>D45-C45</f>
        <v>278.933</v>
      </c>
      <c r="E47" s="30">
        <f>E45-D45</f>
        <v>187.9659999999999</v>
      </c>
      <c r="F47" s="30">
        <f>F45-E45</f>
        <v>385.99000000000024</v>
      </c>
      <c r="G47" s="30">
        <f>G45-F45</f>
        <v>225.01699999999983</v>
      </c>
      <c r="H47" s="30">
        <f>H45-G45</f>
        <v>885.8249999999998</v>
      </c>
      <c r="J47" s="40">
        <f>J45-H45</f>
        <v>0</v>
      </c>
    </row>
    <row r="48">
      <c r="B48" s="7" t="s">
        <v>299</v>
      </c>
      <c r="C48" s="18">
        <v>35.413</v>
      </c>
      <c r="D48" s="18">
        <v>35.121</v>
      </c>
      <c r="E48" s="18">
        <v>41.99</v>
      </c>
      <c r="F48" s="18">
        <v>42.973</v>
      </c>
      <c r="G48" s="18">
        <v>37.933</v>
      </c>
      <c r="H48" s="18">
        <v>40.141</v>
      </c>
      <c r="I48" s="30">
        <f>F48</f>
        <v>42.973</v>
      </c>
      <c r="J48" s="40">
        <f>H48</f>
        <v>40.141</v>
      </c>
    </row>
    <row r="49">
      <c r="B49" s="7" t="s">
        <v>87</v>
      </c>
      <c r="G49" s="30">
        <f>G48-C48</f>
        <v>2.520000000000003</v>
      </c>
      <c r="H49" s="30">
        <f>H48-D48</f>
        <v>5.019999999999996</v>
      </c>
      <c r="J49" s="40">
        <f>J48-E48</f>
        <v>-1.8490000000000038</v>
      </c>
    </row>
    <row r="50">
      <c r="B50" s="7" t="s">
        <v>78</v>
      </c>
      <c r="D50" s="30">
        <f>D48-C48</f>
        <v>-0.2919999999999945</v>
      </c>
      <c r="E50" s="30">
        <f>E48-D48</f>
        <v>6.869</v>
      </c>
      <c r="F50" s="30">
        <f>F48-E48</f>
        <v>0.982999999999997</v>
      </c>
      <c r="G50" s="30">
        <f>G48-F48</f>
        <v>-5.039999999999999</v>
      </c>
      <c r="H50" s="30">
        <f>H48-G48</f>
        <v>2.2079999999999984</v>
      </c>
      <c r="J50" s="40">
        <f>J48-H48</f>
        <v>0</v>
      </c>
    </row>
    <row r="51">
      <c r="B51" s="7" t="s">
        <v>300</v>
      </c>
      <c r="C51" s="18">
        <v>351.779</v>
      </c>
      <c r="D51" s="18">
        <v>268.721</v>
      </c>
      <c r="E51" s="18">
        <v>229.756</v>
      </c>
      <c r="F51" s="18">
        <v>236.382</v>
      </c>
      <c r="G51" s="18">
        <v>249.784</v>
      </c>
      <c r="H51" s="18">
        <v>321.927</v>
      </c>
      <c r="I51" s="30">
        <f>F51</f>
        <v>236.382</v>
      </c>
      <c r="J51" s="40">
        <f>H51</f>
        <v>321.927</v>
      </c>
    </row>
    <row r="52">
      <c r="B52" s="7" t="s">
        <v>87</v>
      </c>
      <c r="G52" s="30">
        <f>G51-C51</f>
        <v>-101.995</v>
      </c>
      <c r="H52" s="30">
        <f>H51-D51</f>
        <v>53.20600000000002</v>
      </c>
      <c r="J52" s="40">
        <f>J51-E51</f>
        <v>92.17100000000002</v>
      </c>
    </row>
    <row r="53">
      <c r="B53" s="7" t="s">
        <v>78</v>
      </c>
      <c r="D53" s="30">
        <f>D51-C51</f>
        <v>-83.05799999999999</v>
      </c>
      <c r="E53" s="30">
        <f>E51-D51</f>
        <v>-38.965</v>
      </c>
      <c r="F53" s="30">
        <f>F51-E51</f>
        <v>6.626000000000005</v>
      </c>
      <c r="G53" s="30">
        <f>G51-F51</f>
        <v>13.401999999999987</v>
      </c>
      <c r="H53" s="30">
        <f>H51-G51</f>
        <v>72.14300000000003</v>
      </c>
      <c r="J53" s="40">
        <f>J51-H51</f>
        <v>0</v>
      </c>
    </row>
    <row r="54">
      <c r="B54" s="5" t="s">
        <v>301</v>
      </c>
      <c r="C54" s="17">
        <f>C38+C39+C42+C45+C48+C51</f>
        <v>2411.244</v>
      </c>
      <c r="D54" s="17">
        <f>D38+D39+D42+D45+D48+D51</f>
        <v>2699.599</v>
      </c>
      <c r="E54" s="17">
        <f>E38+E39+E42+E45+E48+E51</f>
        <v>3032.2229999999995</v>
      </c>
      <c r="F54" s="17">
        <f>F38+F39+F42+F45+F48+F51</f>
        <v>3393.85</v>
      </c>
      <c r="G54" s="17">
        <f>G38+G39+G42+G45+G48+G51</f>
        <v>3630.793</v>
      </c>
      <c r="H54" s="17">
        <f>H38+H39+H42+H45+H48+H51</f>
        <v>4768.763999999999</v>
      </c>
      <c r="I54" s="17">
        <f>I38+I39+I42+I45+I48+I51</f>
        <v>3393.85</v>
      </c>
      <c r="J54" s="63">
        <f>J38+J39+J42+J45+J48+J51</f>
        <v>4768.763999999999</v>
      </c>
    </row>
    <row r="55">
      <c r="B55" s="7" t="s">
        <v>302</v>
      </c>
      <c r="C55" s="18">
        <v>63.776</v>
      </c>
      <c r="D55" s="18">
        <v>61.331</v>
      </c>
      <c r="E55" s="18">
        <v>131.322</v>
      </c>
      <c r="F55" s="18">
        <v>139.063</v>
      </c>
      <c r="G55" s="18">
        <v>39.054</v>
      </c>
      <c r="H55" s="18">
        <v>53.849</v>
      </c>
      <c r="I55" s="30">
        <f>F55</f>
        <v>139.063</v>
      </c>
      <c r="J55" s="40">
        <f>H55</f>
        <v>53.849</v>
      </c>
    </row>
    <row r="56">
      <c r="B56" s="7" t="s">
        <v>303</v>
      </c>
      <c r="C56" s="18">
        <v>210.364</v>
      </c>
      <c r="D56" s="18">
        <v>210.63</v>
      </c>
      <c r="E56" s="18">
        <v>258.056</v>
      </c>
      <c r="F56" s="18">
        <v>302.59</v>
      </c>
      <c r="G56" s="18">
        <v>300.005</v>
      </c>
      <c r="H56" s="18">
        <v>273.969</v>
      </c>
      <c r="I56" s="30">
        <f>F56</f>
        <v>302.59</v>
      </c>
      <c r="J56" s="40">
        <f>H56</f>
        <v>273.969</v>
      </c>
    </row>
    <row r="57">
      <c r="B57" s="7" t="s">
        <v>304</v>
      </c>
      <c r="C57" s="18">
        <v>2.225</v>
      </c>
      <c r="D57" s="18">
        <v>2.225</v>
      </c>
      <c r="E57" s="18">
        <v>2.225</v>
      </c>
      <c r="F57" s="18">
        <v>3.892</v>
      </c>
      <c r="G57" s="18">
        <v>3.892</v>
      </c>
      <c r="H57" s="18">
        <v>3.892</v>
      </c>
      <c r="I57" s="30">
        <f>F57</f>
        <v>3.892</v>
      </c>
      <c r="J57" s="40">
        <f>H57</f>
        <v>3.892</v>
      </c>
    </row>
    <row r="58">
      <c r="B58" s="7" t="s">
        <v>305</v>
      </c>
      <c r="C58" s="18">
        <v>104.596</v>
      </c>
      <c r="D58" s="18">
        <v>118.735</v>
      </c>
      <c r="E58" s="18">
        <v>120.639</v>
      </c>
      <c r="F58" s="18">
        <v>153</v>
      </c>
      <c r="G58" s="18">
        <v>149.554</v>
      </c>
      <c r="H58" s="18">
        <v>170.063</v>
      </c>
      <c r="I58" s="30">
        <f>F58</f>
        <v>153</v>
      </c>
      <c r="J58" s="64">
        <f>H58+'Cash Flow Statement'!J33</f>
        <v>176.063</v>
      </c>
      <c r="L58" s="31" t="s">
        <v>306</v>
      </c>
    </row>
    <row r="59">
      <c r="B59" s="5" t="s">
        <v>307</v>
      </c>
      <c r="C59" s="17">
        <f>C54+C55+C56+C57+C58</f>
        <v>2792.205</v>
      </c>
      <c r="D59" s="17">
        <f>D54+D55+D56+D57+D58</f>
        <v>3092.5200000000004</v>
      </c>
      <c r="E59" s="17">
        <f>E54+E55+E56+E57+E58</f>
        <v>3544.4649999999997</v>
      </c>
      <c r="F59" s="17">
        <f>F54+F55+F56+F57+F58</f>
        <v>3992.395</v>
      </c>
      <c r="G59" s="17">
        <f>G54+G55+G56+G57+G58</f>
        <v>4123.298</v>
      </c>
      <c r="H59" s="17">
        <f>H54+H55+H56+H57+H58</f>
        <v>5270.536999999999</v>
      </c>
      <c r="I59" s="17">
        <f>I54+I55+I56+I57+I58</f>
        <v>3992.395</v>
      </c>
      <c r="J59" s="63">
        <f>J54+J55+J56+J57+J58</f>
        <v>5276.536999999999</v>
      </c>
    </row>
    <row r="60">
      <c r="J60" s="51"/>
    </row>
    <row r="61">
      <c r="B61" s="5" t="s">
        <v>308</v>
      </c>
      <c r="J61" s="51"/>
    </row>
    <row r="62">
      <c r="B62" s="7" t="s">
        <v>309</v>
      </c>
      <c r="C62" s="18">
        <v>0.411</v>
      </c>
      <c r="D62" s="18">
        <v>0.411</v>
      </c>
      <c r="E62" s="18">
        <v>0.411</v>
      </c>
      <c r="F62" s="18">
        <v>0.411</v>
      </c>
      <c r="G62" s="18">
        <v>0.411</v>
      </c>
      <c r="H62" s="18">
        <v>0.411</v>
      </c>
      <c r="I62" s="30">
        <f>F62</f>
        <v>0.411</v>
      </c>
      <c r="J62" s="40">
        <f>H62</f>
        <v>0.411</v>
      </c>
    </row>
    <row r="63">
      <c r="B63" s="7" t="s">
        <v>310</v>
      </c>
      <c r="C63" s="18">
        <v>-367.508</v>
      </c>
      <c r="D63" s="18">
        <v>-388.298</v>
      </c>
      <c r="E63" s="18">
        <v>-401.121</v>
      </c>
      <c r="F63" s="18">
        <v>-496.006</v>
      </c>
      <c r="G63" s="18">
        <v>-500.449</v>
      </c>
      <c r="H63" s="18">
        <v>-517.499</v>
      </c>
      <c r="I63" s="30">
        <f>F63</f>
        <v>-496.006</v>
      </c>
      <c r="J63" s="64">
        <f>H63+'Cash Flow Statement'!J99</f>
        <v>-522.499</v>
      </c>
      <c r="L63" s="31" t="s">
        <v>311</v>
      </c>
    </row>
    <row r="64">
      <c r="B64" s="7" t="s">
        <v>312</v>
      </c>
      <c r="C64" s="18">
        <v>361.653</v>
      </c>
      <c r="D64" s="18">
        <v>361.662</v>
      </c>
      <c r="E64" s="18">
        <v>362.688</v>
      </c>
      <c r="F64" s="18">
        <v>363.314</v>
      </c>
      <c r="G64" s="18">
        <v>388.276</v>
      </c>
      <c r="H64" s="18">
        <v>394.107</v>
      </c>
      <c r="I64" s="30">
        <f>F64</f>
        <v>363.314</v>
      </c>
      <c r="J64" s="64">
        <f>H64+'Cash Flow Statement'!J36</f>
        <v>403.107</v>
      </c>
      <c r="L64" s="31" t="s">
        <v>313</v>
      </c>
    </row>
    <row r="65">
      <c r="B65" s="7" t="s">
        <v>314</v>
      </c>
      <c r="C65" s="18">
        <v>1782.457</v>
      </c>
      <c r="D65" s="18">
        <v>1997.434</v>
      </c>
      <c r="E65" s="18">
        <v>2271.408</v>
      </c>
      <c r="F65" s="18">
        <v>2581.055</v>
      </c>
      <c r="G65" s="18">
        <v>2926.81</v>
      </c>
      <c r="H65" s="18">
        <v>3340.25</v>
      </c>
      <c r="I65" s="30">
        <f>F65</f>
        <v>2581.055</v>
      </c>
      <c r="J65" s="64">
        <f>H65+'Income Statement'!J55-'Share Count'!J46</f>
        <v>3769.7779816237403</v>
      </c>
      <c r="L65" s="31" t="s">
        <v>315</v>
      </c>
    </row>
    <row r="66">
      <c r="B66" s="5" t="s">
        <v>316</v>
      </c>
      <c r="C66" s="17">
        <f>C62+C63+C64+C65</f>
        <v>1777.0130000000001</v>
      </c>
      <c r="D66" s="17">
        <f>D62+D63+D64+D65</f>
        <v>1971.2089999999998</v>
      </c>
      <c r="E66" s="17">
        <f>E62+E63+E64+E65</f>
        <v>2233.386</v>
      </c>
      <c r="F66" s="17">
        <f>F62+F63+F64+F65</f>
        <v>2448.774</v>
      </c>
      <c r="G66" s="17">
        <f>G62+G63+G64+G65</f>
        <v>2815.048</v>
      </c>
      <c r="H66" s="17">
        <f>H62+H63+H64+H65</f>
        <v>3217.269</v>
      </c>
      <c r="I66" s="17">
        <f>I62+I63+I64+I65</f>
        <v>2448.774</v>
      </c>
      <c r="J66" s="63">
        <f>J62+J63+J64+J65</f>
        <v>3650.79698162374</v>
      </c>
    </row>
    <row r="67">
      <c r="B67" s="5" t="s">
        <v>317</v>
      </c>
      <c r="C67" s="17">
        <f>C59+C66</f>
        <v>4569.218</v>
      </c>
      <c r="D67" s="17">
        <f>D59+D66</f>
        <v>5063.729</v>
      </c>
      <c r="E67" s="17">
        <f>E59+E66</f>
        <v>5777.851</v>
      </c>
      <c r="F67" s="17">
        <f>F59+F66</f>
        <v>6441.169</v>
      </c>
      <c r="G67" s="17">
        <f>G59+G66</f>
        <v>6938.346</v>
      </c>
      <c r="H67" s="17">
        <f>H59+H66</f>
        <v>8487.805999999999</v>
      </c>
      <c r="I67" s="17">
        <f>I59+I66</f>
        <v>6441.169</v>
      </c>
      <c r="J67" s="63">
        <f>J59+J66</f>
        <v>8927.333981623739</v>
      </c>
    </row>
    <row r="68">
      <c r="B68" s="7" t="s">
        <v>318</v>
      </c>
      <c r="C68" s="30">
        <f>C35-C59-C66</f>
        <v>0</v>
      </c>
      <c r="D68" s="30">
        <f>D35-D59-D66</f>
        <v>0</v>
      </c>
      <c r="E68" s="30">
        <f>E35-E59-E66</f>
        <v>0</v>
      </c>
      <c r="F68" s="30">
        <f>F35-F59-F66</f>
        <v>0</v>
      </c>
      <c r="G68" s="30">
        <f>G35-G59-G66</f>
        <v>0</v>
      </c>
      <c r="H68" s="30">
        <f>H35-H59-H66</f>
        <v>0</v>
      </c>
      <c r="I68" s="30">
        <f>I35-I59-I66</f>
        <v>0</v>
      </c>
      <c r="J68" s="40">
        <f>J35-J59-J66</f>
        <v>0</v>
      </c>
    </row>
    <row r="69">
      <c r="B69" s="7" t="s">
        <v>319</v>
      </c>
      <c r="C69" s="18">
        <v>4569.218</v>
      </c>
      <c r="D69" s="18">
        <v>5063.729</v>
      </c>
      <c r="E69" s="18">
        <v>5777.851</v>
      </c>
      <c r="F69" s="18">
        <v>6441.169</v>
      </c>
      <c r="G69" s="18">
        <v>6938.346</v>
      </c>
      <c r="H69" s="18">
        <v>8487.806</v>
      </c>
      <c r="J69" s="51"/>
    </row>
    <row r="70">
      <c r="B70" s="7" t="s">
        <v>320</v>
      </c>
      <c r="C70" s="30">
        <f>C35-C69</f>
        <v>0</v>
      </c>
      <c r="D70" s="30">
        <f>D35-D69</f>
        <v>0</v>
      </c>
      <c r="E70" s="30">
        <f>E35-E69</f>
        <v>0</v>
      </c>
      <c r="F70" s="30">
        <f>F35-F69</f>
        <v>0</v>
      </c>
      <c r="G70" s="30">
        <f>G35-G69</f>
        <v>0</v>
      </c>
      <c r="H70" s="30">
        <f>H35-H69</f>
        <v>0</v>
      </c>
      <c r="J70" s="51"/>
    </row>
    <row r="71">
      <c r="J71" s="51"/>
    </row>
    <row r="72">
      <c r="B72" s="5" t="s">
        <v>321</v>
      </c>
      <c r="J72" s="51"/>
    </row>
    <row r="73">
      <c r="B73" s="7" t="s">
        <v>322</v>
      </c>
      <c r="D73" s="30">
        <f>D9-C9</f>
        <v>126.95199999999997</v>
      </c>
      <c r="E73" s="30">
        <f>E9-D9</f>
        <v>528.8130000000001</v>
      </c>
      <c r="F73" s="30">
        <f>F9-E9</f>
        <v>121.375</v>
      </c>
      <c r="G73" s="30">
        <f>G9-F9</f>
        <v>68.26599999999996</v>
      </c>
      <c r="H73" s="30">
        <f>H9-G9</f>
        <v>804.6300000000001</v>
      </c>
      <c r="J73" s="40">
        <f>J9-H9</f>
        <v>312.52798162374006</v>
      </c>
    </row>
    <row r="74">
      <c r="B74" s="5" t="s">
        <v>323</v>
      </c>
      <c r="C74" s="62">
        <f>C9-C38-C55</f>
        <v>136.916</v>
      </c>
      <c r="D74" s="62">
        <f>D9-D38-D55</f>
        <v>258.68999999999994</v>
      </c>
      <c r="E74" s="62">
        <f>E9-E38-E55</f>
        <v>724.525</v>
      </c>
      <c r="F74" s="62">
        <f>F9-F38-F55</f>
        <v>836.672</v>
      </c>
      <c r="G74" s="62">
        <f>G9-G38-G55</f>
        <v>1011.0849999999999</v>
      </c>
      <c r="H74" s="62">
        <f>H9-H38-H55</f>
        <v>1800.7300000000002</v>
      </c>
      <c r="I74" s="62">
        <f>I9-I38-I55</f>
        <v>836.672</v>
      </c>
      <c r="J74" s="81">
        <f>J9-J38-J55</f>
        <v>2113.25798162374</v>
      </c>
    </row>
    <row r="75">
      <c r="B75" s="7" t="s">
        <v>78</v>
      </c>
      <c r="D75" s="30">
        <f>D74-C74</f>
        <v>121.77399999999994</v>
      </c>
      <c r="E75" s="30">
        <f>E74-D74</f>
        <v>465.83500000000004</v>
      </c>
      <c r="F75" s="30">
        <f>F74-E74</f>
        <v>112.14700000000005</v>
      </c>
      <c r="G75" s="30">
        <f>G74-F74</f>
        <v>174.4129999999999</v>
      </c>
      <c r="H75" s="30">
        <f>H74-G74</f>
        <v>789.6450000000003</v>
      </c>
      <c r="J75" s="40">
        <f>J74-H74</f>
        <v>312.5279816237396</v>
      </c>
    </row>
    <row r="76">
      <c r="B76" s="7" t="s">
        <v>324</v>
      </c>
      <c r="C76" s="30">
        <f>(C28-C9)-(C54-C38)</f>
        <v>-14.437000000000353</v>
      </c>
      <c r="D76" s="30">
        <f>(D28-D9)-(D54-D38)</f>
        <v>23.65899999999965</v>
      </c>
      <c r="E76" s="30">
        <f>(E28-E9)-(E54-E38)</f>
        <v>-184.54199999999992</v>
      </c>
      <c r="F76" s="30">
        <f>(F28-F9)-(F54-F38)</f>
        <v>-259.03200000000015</v>
      </c>
      <c r="G76" s="30">
        <f>(G28-G9)-(G54-G38)</f>
        <v>-180.0010000000002</v>
      </c>
      <c r="H76" s="30">
        <f>(H28-H9)-(H54-H38)</f>
        <v>-834.940999999998</v>
      </c>
      <c r="I76" s="30">
        <f>(I28-I9)-(I54-I38)</f>
        <v>-259.03200000000015</v>
      </c>
      <c r="J76" s="40">
        <f>(J28-J9)-(J54-J38)</f>
        <v>-834.9409999999984</v>
      </c>
    </row>
    <row r="77">
      <c r="B77" s="7" t="s">
        <v>78</v>
      </c>
      <c r="D77" s="30">
        <f>D76-C76</f>
        <v>38.096000000000004</v>
      </c>
      <c r="E77" s="30">
        <f>E76-D76</f>
        <v>-208.20099999999957</v>
      </c>
      <c r="F77" s="30">
        <f>F76-E76</f>
        <v>-74.49000000000024</v>
      </c>
      <c r="G77" s="30">
        <f>G76-F76</f>
        <v>79.03099999999995</v>
      </c>
      <c r="H77" s="30">
        <f>H76-G76</f>
        <v>-654.9399999999978</v>
      </c>
      <c r="J77" s="40">
        <f>J76-H76</f>
        <v>0</v>
      </c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B1:L18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2" customWidth="1"/>
    <col min="12" max="12" width="60" customWidth="1"/>
  </cols>
  <sheetData>
    <row r="1">
      <c r="B1" s="33" t="s">
        <v>0</v>
      </c>
    </row>
    <row r="2">
      <c r="B2" s="35" t="s">
        <v>325</v>
      </c>
    </row>
    <row r="3">
      <c r="B3" s="27" t="s">
        <v>2</v>
      </c>
    </row>
    <row r="4">
      <c r="B4" s="32" t="s">
        <v>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12" t="s">
        <v>70</v>
      </c>
      <c r="J4" s="12" t="s">
        <v>4</v>
      </c>
    </row>
    <row r="5">
      <c r="B5" s="19" t="s">
        <v>5</v>
      </c>
      <c r="C5" s="20">
        <f>DATE(2025,3,31)</f>
        <v>45747</v>
      </c>
      <c r="D5" s="20">
        <f>DATE(2025,6,30)</f>
        <v>45838</v>
      </c>
      <c r="E5" s="20">
        <f>DATE(2025,9,30)</f>
        <v>45930</v>
      </c>
      <c r="F5" s="20">
        <f>DATE(2025,12,31)</f>
        <v>46022</v>
      </c>
      <c r="G5" s="20">
        <f>DATE(2026,3,31)</f>
        <v>46112</v>
      </c>
      <c r="H5" s="20">
        <f>DATE(2026,6,30)</f>
        <v>46203</v>
      </c>
      <c r="I5" s="20">
        <f>DATE(2025,12,31)</f>
        <v>46022</v>
      </c>
      <c r="J5" s="20">
        <f>DATE(2026,9,30)</f>
        <v>46295</v>
      </c>
    </row>
    <row r="6">
      <c r="B6" s="29" t="s">
        <v>6</v>
      </c>
      <c r="C6" s="14">
        <f>C5-EOMONTH(C5,-3)</f>
        <v>90</v>
      </c>
      <c r="D6" s="14">
        <f>D5-EOMONTH(D5,-3)</f>
        <v>91</v>
      </c>
      <c r="E6" s="14">
        <f>E5-EOMONTH(E5,-3)</f>
        <v>92</v>
      </c>
      <c r="F6" s="14">
        <f>F5-EOMONTH(F5,-3)</f>
        <v>92</v>
      </c>
      <c r="G6" s="14">
        <f>G5-EOMONTH(G5,-3)</f>
        <v>90</v>
      </c>
      <c r="H6" s="14">
        <f>H5-EOMONTH(H5,-3)</f>
        <v>91</v>
      </c>
      <c r="I6" s="14">
        <f>I5-EOMONTH(I5,-12)</f>
        <v>365</v>
      </c>
      <c r="J6" s="14">
        <f>J5-EOMONTH(J5,-3)</f>
        <v>92</v>
      </c>
    </row>
    <row r="8">
      <c r="B8" s="5" t="s">
        <v>326</v>
      </c>
      <c r="J8" s="51"/>
    </row>
    <row r="9">
      <c r="B9" s="7" t="s">
        <v>259</v>
      </c>
      <c r="C9" s="30">
        <f>C145</f>
        <v>169.289</v>
      </c>
      <c r="D9" s="30">
        <f>D145-C145</f>
        <v>230.848</v>
      </c>
      <c r="E9" s="30">
        <f>E145-D145</f>
        <v>291.61499999999995</v>
      </c>
      <c r="F9" s="30">
        <f>F145-E145</f>
        <v>330.80600000000004</v>
      </c>
      <c r="G9" s="30">
        <f>G145</f>
        <v>370.378</v>
      </c>
      <c r="H9" s="30">
        <f>H145-G145</f>
        <v>441.60200000000003</v>
      </c>
      <c r="I9" s="30">
        <f>SUM(C9:F9)</f>
        <v>1022.558</v>
      </c>
      <c r="J9" s="64">
        <f>'Income Statement'!J55</f>
        <v>461.21248162374</v>
      </c>
    </row>
    <row r="10">
      <c r="B10" s="7" t="s">
        <v>87</v>
      </c>
      <c r="G10" s="30">
        <f>G9-C9</f>
        <v>201.089</v>
      </c>
      <c r="H10" s="30">
        <f>H9-D9</f>
        <v>210.75400000000002</v>
      </c>
      <c r="J10" s="40">
        <f>J9-E9</f>
        <v>169.59748162374007</v>
      </c>
    </row>
    <row r="11">
      <c r="B11" s="7" t="s">
        <v>78</v>
      </c>
      <c r="D11" s="30">
        <f>D9-C9</f>
        <v>61.559000000000026</v>
      </c>
      <c r="E11" s="30">
        <f>E9-D9</f>
        <v>60.76699999999994</v>
      </c>
      <c r="F11" s="30">
        <f>F9-E9</f>
        <v>39.19100000000009</v>
      </c>
      <c r="G11" s="30">
        <f>G9-F9</f>
        <v>39.571999999999946</v>
      </c>
      <c r="H11" s="30">
        <f>H9-G9</f>
        <v>71.22400000000005</v>
      </c>
      <c r="J11" s="40">
        <f>J9-H9</f>
        <v>19.610481623739986</v>
      </c>
    </row>
    <row r="12">
      <c r="B12" s="7" t="s">
        <v>327</v>
      </c>
      <c r="C12" s="30">
        <f>C146</f>
        <v>20.115</v>
      </c>
      <c r="D12" s="30">
        <f>D146-C146</f>
        <v>19.791</v>
      </c>
      <c r="E12" s="30">
        <f>E146-D146</f>
        <v>19.526000000000003</v>
      </c>
      <c r="F12" s="30">
        <f>F146-E146</f>
        <v>20.147999999999996</v>
      </c>
      <c r="G12" s="30">
        <f>G146</f>
        <v>20.394</v>
      </c>
      <c r="H12" s="30">
        <f>H146-G146</f>
        <v>23.274</v>
      </c>
      <c r="I12" s="30">
        <f>SUM(C12:F12)</f>
        <v>79.58</v>
      </c>
      <c r="J12" s="64">
        <f>'Income Statement'!J96</f>
        <v>23.200000000000003</v>
      </c>
    </row>
    <row r="13">
      <c r="B13" s="7" t="s">
        <v>87</v>
      </c>
      <c r="G13" s="30">
        <f>G12-C12</f>
        <v>0.2789999999999999</v>
      </c>
      <c r="H13" s="30">
        <f>H12-D12</f>
        <v>3.4830000000000005</v>
      </c>
      <c r="J13" s="40">
        <f>J12-E12</f>
        <v>3.6739999999999995</v>
      </c>
    </row>
    <row r="14">
      <c r="B14" s="7" t="s">
        <v>78</v>
      </c>
      <c r="D14" s="30">
        <f>D12-C12</f>
        <v>-0.32399999999999807</v>
      </c>
      <c r="E14" s="30">
        <f>E12-D12</f>
        <v>-0.264999999999997</v>
      </c>
      <c r="F14" s="30">
        <f>F12-E12</f>
        <v>0.6219999999999928</v>
      </c>
      <c r="G14" s="30">
        <f>G12-F12</f>
        <v>0.24600000000000222</v>
      </c>
      <c r="H14" s="30">
        <f>H12-G12</f>
        <v>2.8800000000000026</v>
      </c>
      <c r="J14" s="40">
        <f>J12-H12</f>
        <v>-0.07399999999999807</v>
      </c>
    </row>
    <row r="15">
      <c r="B15" s="7" t="s">
        <v>328</v>
      </c>
      <c r="C15" s="30">
        <f>C147</f>
        <v>14.01</v>
      </c>
      <c r="D15" s="30">
        <f>D147-C147</f>
        <v>14.856</v>
      </c>
      <c r="E15" s="30">
        <f>E147-D147</f>
        <v>16.048000000000002</v>
      </c>
      <c r="F15" s="30">
        <f>F147-E147</f>
        <v>17.464999999999996</v>
      </c>
      <c r="G15" s="30">
        <f>G147</f>
        <v>18.566</v>
      </c>
      <c r="H15" s="30">
        <f>H147-G147</f>
        <v>20.035999999999998</v>
      </c>
      <c r="I15" s="30">
        <f>SUM(C15:F15)</f>
        <v>62.379</v>
      </c>
      <c r="J15" s="64">
        <f>'Income Statement'!J100</f>
        <v>21.799999999999997</v>
      </c>
    </row>
    <row r="16">
      <c r="B16" s="7" t="s">
        <v>87</v>
      </c>
      <c r="G16" s="30">
        <f>G15-C15</f>
        <v>4.555999999999999</v>
      </c>
      <c r="H16" s="30">
        <f>H15-D15</f>
        <v>5.179999999999998</v>
      </c>
      <c r="J16" s="40">
        <f>J15-E15</f>
        <v>5.751999999999995</v>
      </c>
    </row>
    <row r="17">
      <c r="B17" s="7" t="s">
        <v>78</v>
      </c>
      <c r="D17" s="30">
        <f>D15-C15</f>
        <v>0.8460000000000001</v>
      </c>
      <c r="E17" s="30">
        <f>E15-D15</f>
        <v>1.192000000000002</v>
      </c>
      <c r="F17" s="30">
        <f>F15-E15</f>
        <v>1.4169999999999945</v>
      </c>
      <c r="G17" s="30">
        <f>G15-F15</f>
        <v>1.1010000000000026</v>
      </c>
      <c r="H17" s="30">
        <f>H15-G15</f>
        <v>1.4699999999999989</v>
      </c>
      <c r="J17" s="40">
        <f>J15-H15</f>
        <v>1.7639999999999993</v>
      </c>
    </row>
    <row r="18">
      <c r="B18" s="7" t="s">
        <v>329</v>
      </c>
      <c r="C18" s="30">
        <f>C148</f>
        <v>7.658</v>
      </c>
      <c r="D18" s="30">
        <f>D148-C148</f>
        <v>7.31</v>
      </c>
      <c r="E18" s="30">
        <f>E148-D148</f>
        <v>7.567</v>
      </c>
      <c r="F18" s="30">
        <f>F148-E148</f>
        <v>11.312999999999999</v>
      </c>
      <c r="G18" s="30">
        <f>G148</f>
        <v>12.668</v>
      </c>
      <c r="H18" s="30">
        <f>H148-G148</f>
        <v>11.051000000000002</v>
      </c>
      <c r="I18" s="30">
        <f>SUM(C18:F18)</f>
        <v>33.848</v>
      </c>
      <c r="J18" s="48">
        <v>0</v>
      </c>
      <c r="L18" s="31" t="s">
        <v>330</v>
      </c>
    </row>
    <row r="19">
      <c r="B19" s="7" t="s">
        <v>87</v>
      </c>
      <c r="G19" s="30">
        <f>G18-C18</f>
        <v>5.009999999999999</v>
      </c>
      <c r="H19" s="30">
        <f>H18-D18</f>
        <v>3.7410000000000023</v>
      </c>
      <c r="J19" s="40">
        <f>J18-E18</f>
        <v>-7.567</v>
      </c>
    </row>
    <row r="20">
      <c r="B20" s="7" t="s">
        <v>78</v>
      </c>
      <c r="D20" s="30">
        <f>D18-C18</f>
        <v>-0.34800000000000075</v>
      </c>
      <c r="E20" s="30">
        <f>E18-D18</f>
        <v>0.25700000000000056</v>
      </c>
      <c r="F20" s="30">
        <f>F18-E18</f>
        <v>3.7459999999999987</v>
      </c>
      <c r="G20" s="30">
        <f>G18-F18</f>
        <v>1.3550000000000004</v>
      </c>
      <c r="H20" s="30">
        <f>H18-G18</f>
        <v>-1.6169999999999973</v>
      </c>
      <c r="J20" s="40">
        <f>J18-H18</f>
        <v>-11.051000000000002</v>
      </c>
    </row>
    <row r="21">
      <c r="B21" s="7" t="s">
        <v>331</v>
      </c>
      <c r="C21" s="30">
        <f>C149</f>
        <v>1.38</v>
      </c>
      <c r="D21" s="30">
        <f>D149-C149</f>
        <v>2.3080000000000003</v>
      </c>
      <c r="E21" s="30">
        <f>E149-D149</f>
        <v>1.9289999999999998</v>
      </c>
      <c r="F21" s="30">
        <f>F149-E149</f>
        <v>0.992</v>
      </c>
      <c r="G21" s="30">
        <f>G149</f>
        <v>0.838</v>
      </c>
      <c r="H21" s="30">
        <f>H149-G149</f>
        <v>3.49</v>
      </c>
      <c r="I21" s="30">
        <f>SUM(C21:F21)</f>
        <v>6.609</v>
      </c>
      <c r="J21" s="48">
        <v>0</v>
      </c>
    </row>
    <row r="22">
      <c r="B22" s="7" t="s">
        <v>87</v>
      </c>
      <c r="G22" s="30">
        <f>G21-C21</f>
        <v>-0.5419999999999999</v>
      </c>
      <c r="H22" s="30">
        <f>H21-D21</f>
        <v>1.182</v>
      </c>
      <c r="J22" s="40">
        <f>J21-E21</f>
        <v>-1.9289999999999998</v>
      </c>
    </row>
    <row r="23">
      <c r="B23" s="7" t="s">
        <v>78</v>
      </c>
      <c r="D23" s="30">
        <f>D21-C21</f>
        <v>0.9280000000000004</v>
      </c>
      <c r="E23" s="30">
        <f>E21-D21</f>
        <v>-0.37900000000000045</v>
      </c>
      <c r="F23" s="30">
        <f>F21-E21</f>
        <v>-0.9369999999999998</v>
      </c>
      <c r="G23" s="30">
        <f>G21-F21</f>
        <v>-0.15400000000000003</v>
      </c>
      <c r="H23" s="30">
        <f>H21-G21</f>
        <v>2.652</v>
      </c>
      <c r="J23" s="40">
        <f>J21-H21</f>
        <v>-3.49</v>
      </c>
    </row>
    <row r="24">
      <c r="B24" s="7" t="s">
        <v>332</v>
      </c>
      <c r="C24" s="30">
        <f>C150</f>
        <v>2.032</v>
      </c>
      <c r="D24" s="30">
        <f>D150-C150</f>
        <v>-0.935</v>
      </c>
      <c r="E24" s="30">
        <f>E150-D150</f>
        <v>6.4399999999999995</v>
      </c>
      <c r="F24" s="30">
        <f>F150-E150</f>
        <v>-12.814</v>
      </c>
      <c r="G24" s="30">
        <f>G150</f>
        <v>0.956</v>
      </c>
      <c r="H24" s="30">
        <f>H150-G150</f>
        <v>2.263</v>
      </c>
      <c r="I24" s="30">
        <f>SUM(C24:F24)</f>
        <v>-5.277000000000001</v>
      </c>
      <c r="J24" s="48">
        <v>0</v>
      </c>
    </row>
    <row r="25">
      <c r="B25" s="7" t="s">
        <v>87</v>
      </c>
      <c r="G25" s="30">
        <f>G24-C24</f>
        <v>-1.076</v>
      </c>
      <c r="H25" s="30">
        <f>H24-D24</f>
        <v>3.198</v>
      </c>
      <c r="J25" s="40">
        <f>J24-E24</f>
        <v>-6.4399999999999995</v>
      </c>
    </row>
    <row r="26">
      <c r="B26" s="7" t="s">
        <v>78</v>
      </c>
      <c r="D26" s="30">
        <f>D24-C24</f>
        <v>-2.967</v>
      </c>
      <c r="E26" s="30">
        <f>E24-D24</f>
        <v>7.375</v>
      </c>
      <c r="F26" s="30">
        <f>F24-E24</f>
        <v>-19.253999999999998</v>
      </c>
      <c r="G26" s="30">
        <f>G24-F24</f>
        <v>13.77</v>
      </c>
      <c r="H26" s="30">
        <f>H24-G24</f>
        <v>1.307</v>
      </c>
      <c r="J26" s="40">
        <f>J24-H24</f>
        <v>-2.263</v>
      </c>
    </row>
    <row r="27">
      <c r="B27" s="7" t="s">
        <v>333</v>
      </c>
      <c r="C27" s="30">
        <f>C151</f>
        <v>0.169</v>
      </c>
      <c r="D27" s="30">
        <f>D151-C151</f>
        <v>0.171</v>
      </c>
      <c r="E27" s="30">
        <f>E151-D151</f>
        <v>0.446</v>
      </c>
      <c r="F27" s="30">
        <f>F151-E151</f>
        <v>0.23199999999999998</v>
      </c>
      <c r="G27" s="30">
        <f>G151</f>
        <v>0.232</v>
      </c>
      <c r="H27" s="30">
        <f>H151-G151</f>
        <v>0.232</v>
      </c>
      <c r="I27" s="30">
        <f>SUM(C27:F27)</f>
        <v>1.018</v>
      </c>
      <c r="J27" s="48">
        <v>0</v>
      </c>
    </row>
    <row r="28">
      <c r="B28" s="7" t="s">
        <v>87</v>
      </c>
      <c r="G28" s="30">
        <f>G27-C27</f>
        <v>0.063</v>
      </c>
      <c r="H28" s="30">
        <f>H27-D27</f>
        <v>0.061</v>
      </c>
      <c r="J28" s="40">
        <f>J27-E27</f>
        <v>-0.446</v>
      </c>
    </row>
    <row r="29">
      <c r="B29" s="7" t="s">
        <v>78</v>
      </c>
      <c r="D29" s="30">
        <f>D27-C27</f>
        <v>0.0020000000000000018</v>
      </c>
      <c r="E29" s="30">
        <f>E27-D27</f>
        <v>0.275</v>
      </c>
      <c r="F29" s="30">
        <f>F27-E27</f>
        <v>-0.21400000000000002</v>
      </c>
      <c r="G29" s="30">
        <f>G27-F27</f>
        <v>0</v>
      </c>
      <c r="H29" s="30">
        <f>H27-G27</f>
        <v>0</v>
      </c>
      <c r="J29" s="40">
        <f>J27-H27</f>
        <v>-0.232</v>
      </c>
    </row>
    <row r="30">
      <c r="B30" s="7" t="s">
        <v>212</v>
      </c>
      <c r="C30" s="30">
        <f>C152</f>
        <v>-0.556</v>
      </c>
      <c r="D30" s="30">
        <f>D152-C152</f>
        <v>-0.44199999999999995</v>
      </c>
      <c r="E30" s="30">
        <f>E152-D152</f>
        <v>-0.5820000000000001</v>
      </c>
      <c r="F30" s="30">
        <f>F152-E152</f>
        <v>-0.3939999999999999</v>
      </c>
      <c r="G30" s="30">
        <f>G152</f>
        <v>-0.302</v>
      </c>
      <c r="H30" s="30">
        <f>H152-G152</f>
        <v>-0.7849999999999999</v>
      </c>
      <c r="I30" s="30">
        <f>SUM(C30:F30)</f>
        <v>-1.974</v>
      </c>
      <c r="J30" s="64">
        <f>-'Income Statement'!J29</f>
        <v>-0.5</v>
      </c>
    </row>
    <row r="31">
      <c r="B31" s="7" t="s">
        <v>87</v>
      </c>
      <c r="G31" s="30">
        <f>G30-C30</f>
        <v>0.25400000000000006</v>
      </c>
      <c r="H31" s="30">
        <f>H30-D30</f>
        <v>-0.34299999999999997</v>
      </c>
      <c r="J31" s="40">
        <f>J30-E30</f>
        <v>0.08200000000000007</v>
      </c>
    </row>
    <row r="32">
      <c r="B32" s="7" t="s">
        <v>78</v>
      </c>
      <c r="D32" s="30">
        <f>D30-C30</f>
        <v>0.1140000000000001</v>
      </c>
      <c r="E32" s="30">
        <f>E30-D30</f>
        <v>-0.14000000000000012</v>
      </c>
      <c r="F32" s="30">
        <f>F30-E30</f>
        <v>0.18800000000000017</v>
      </c>
      <c r="G32" s="30">
        <f>G30-F30</f>
        <v>0.09199999999999992</v>
      </c>
      <c r="H32" s="30">
        <f>H30-G30</f>
        <v>-0.48299999999999993</v>
      </c>
      <c r="J32" s="40">
        <f>J30-H30</f>
        <v>0.2849999999999999</v>
      </c>
    </row>
    <row r="33">
      <c r="B33" s="7" t="s">
        <v>334</v>
      </c>
      <c r="C33" s="30">
        <f>C153</f>
        <v>3.758</v>
      </c>
      <c r="D33" s="30">
        <f>D153-C153</f>
        <v>4.073</v>
      </c>
      <c r="E33" s="30">
        <f>E153-D153</f>
        <v>12.103000000000002</v>
      </c>
      <c r="F33" s="30">
        <f>F153-E153</f>
        <v>13.538999999999998</v>
      </c>
      <c r="G33" s="30">
        <f>G153</f>
        <v>10.37</v>
      </c>
      <c r="H33" s="30">
        <f>H153-G153</f>
        <v>2.045</v>
      </c>
      <c r="I33" s="30">
        <f>SUM(C33:F33)</f>
        <v>33.473</v>
      </c>
      <c r="J33" s="64">
        <f>-'Income Statement'!J42</f>
        <v>6</v>
      </c>
    </row>
    <row r="34">
      <c r="B34" s="7" t="s">
        <v>87</v>
      </c>
      <c r="G34" s="30">
        <f>G33-C33</f>
        <v>6.611999999999999</v>
      </c>
      <c r="H34" s="30">
        <f>H33-D33</f>
        <v>-2.0280000000000005</v>
      </c>
      <c r="J34" s="40">
        <f>J33-E33</f>
        <v>-6.1030000000000015</v>
      </c>
    </row>
    <row r="35">
      <c r="B35" s="7" t="s">
        <v>78</v>
      </c>
      <c r="D35" s="30">
        <f>D33-C33</f>
        <v>0.3150000000000004</v>
      </c>
      <c r="E35" s="30">
        <f>E33-D33</f>
        <v>8.030000000000001</v>
      </c>
      <c r="F35" s="30">
        <f>F33-E33</f>
        <v>1.4359999999999964</v>
      </c>
      <c r="G35" s="30">
        <f>G33-F33</f>
        <v>-3.1689999999999987</v>
      </c>
      <c r="H35" s="30">
        <f>H33-G33</f>
        <v>-8.325</v>
      </c>
      <c r="J35" s="40">
        <f>J33-H33</f>
        <v>3.955</v>
      </c>
    </row>
    <row r="36">
      <c r="B36" s="7" t="s">
        <v>335</v>
      </c>
      <c r="C36" s="30">
        <f>C154</f>
        <v>8.037</v>
      </c>
      <c r="D36" s="30">
        <f>D154-C154</f>
        <v>4.155999999999999</v>
      </c>
      <c r="E36" s="30">
        <f>E154-D154</f>
        <v>3.553000000000001</v>
      </c>
      <c r="F36" s="30">
        <f>F154-E154</f>
        <v>6.063000000000001</v>
      </c>
      <c r="G36" s="30">
        <f>G154</f>
        <v>19.406</v>
      </c>
      <c r="H36" s="30">
        <f>H154-G154</f>
        <v>9.206</v>
      </c>
      <c r="I36" s="30">
        <f>SUM(C36:F36)</f>
        <v>21.809</v>
      </c>
      <c r="J36" s="48">
        <v>9</v>
      </c>
      <c r="L36" s="31" t="s">
        <v>336</v>
      </c>
    </row>
    <row r="37">
      <c r="B37" s="7" t="s">
        <v>87</v>
      </c>
      <c r="G37" s="30">
        <f>G36-C36</f>
        <v>11.368999999999998</v>
      </c>
      <c r="H37" s="30">
        <f>H36-D36</f>
        <v>5.050000000000001</v>
      </c>
      <c r="J37" s="40">
        <f>J36-E36</f>
        <v>5.446999999999999</v>
      </c>
    </row>
    <row r="38">
      <c r="B38" s="7" t="s">
        <v>78</v>
      </c>
      <c r="D38" s="30">
        <f>D36-C36</f>
        <v>-3.881000000000002</v>
      </c>
      <c r="E38" s="30">
        <f>E36-D36</f>
        <v>-0.602999999999998</v>
      </c>
      <c r="F38" s="30">
        <f>F36-E36</f>
        <v>2.51</v>
      </c>
      <c r="G38" s="30">
        <f>G36-F36</f>
        <v>13.342999999999998</v>
      </c>
      <c r="H38" s="30">
        <f>H36-G36</f>
        <v>-10.2</v>
      </c>
      <c r="J38" s="40">
        <f>J36-H36</f>
        <v>-0.20599999999999952</v>
      </c>
    </row>
    <row r="39">
      <c r="B39" s="7" t="s">
        <v>337</v>
      </c>
      <c r="C39" s="30">
        <f>C155</f>
        <v>48.265</v>
      </c>
      <c r="D39" s="30">
        <f>D155-C155</f>
        <v>-287.945</v>
      </c>
      <c r="E39" s="30">
        <f>E155-D155</f>
        <v>-138.964</v>
      </c>
      <c r="F39" s="30">
        <f>F155-E155</f>
        <v>-215.654</v>
      </c>
      <c r="G39" s="30">
        <f>G155</f>
        <v>-214.734</v>
      </c>
      <c r="H39" s="30">
        <f>H155-G155</f>
        <v>-418.39699999999993</v>
      </c>
      <c r="I39" s="30">
        <f>SUM(C39:F39)</f>
        <v>-594.298</v>
      </c>
      <c r="J39" s="48">
        <v>0</v>
      </c>
      <c r="L39" s="31" t="s">
        <v>338</v>
      </c>
    </row>
    <row r="40">
      <c r="B40" s="7" t="s">
        <v>87</v>
      </c>
      <c r="G40" s="30">
        <f>G39-C39</f>
        <v>-262.999</v>
      </c>
      <c r="H40" s="30">
        <f>H39-D39</f>
        <v>-130.45199999999994</v>
      </c>
      <c r="J40" s="40">
        <f>J39-E39</f>
        <v>138.964</v>
      </c>
    </row>
    <row r="41">
      <c r="B41" s="7" t="s">
        <v>78</v>
      </c>
      <c r="D41" s="30">
        <f>D39-C39</f>
        <v>-336.21</v>
      </c>
      <c r="E41" s="30">
        <f>E39-D39</f>
        <v>148.981</v>
      </c>
      <c r="F41" s="30">
        <f>F39-E39</f>
        <v>-76.69</v>
      </c>
      <c r="G41" s="30">
        <f>G39-F39</f>
        <v>0.9199999999999875</v>
      </c>
      <c r="H41" s="30">
        <f>H39-G39</f>
        <v>-203.66299999999993</v>
      </c>
      <c r="J41" s="40">
        <f>J39-H39</f>
        <v>418.39699999999993</v>
      </c>
    </row>
    <row r="42">
      <c r="B42" s="7" t="s">
        <v>281</v>
      </c>
      <c r="C42" s="30">
        <f>C156</f>
        <v>-3.821</v>
      </c>
      <c r="D42" s="30">
        <f>D156-C156</f>
        <v>-7.599</v>
      </c>
      <c r="E42" s="30">
        <f>E156-D156</f>
        <v>-8.098</v>
      </c>
      <c r="F42" s="30">
        <f>F156-E156</f>
        <v>-4.893000000000001</v>
      </c>
      <c r="G42" s="30">
        <f>G156</f>
        <v>-9.881</v>
      </c>
      <c r="H42" s="30">
        <f>H156-G156</f>
        <v>-10.857</v>
      </c>
      <c r="I42" s="30">
        <f>SUM(C42:F42)</f>
        <v>-24.411</v>
      </c>
      <c r="J42" s="48">
        <v>0</v>
      </c>
    </row>
    <row r="43">
      <c r="B43" s="7" t="s">
        <v>87</v>
      </c>
      <c r="G43" s="30">
        <f>G42-C42</f>
        <v>-6.0600000000000005</v>
      </c>
      <c r="H43" s="30">
        <f>H42-D42</f>
        <v>-3.257999999999999</v>
      </c>
      <c r="J43" s="40">
        <f>J42-E42</f>
        <v>8.098</v>
      </c>
    </row>
    <row r="44">
      <c r="B44" s="7" t="s">
        <v>78</v>
      </c>
      <c r="D44" s="30">
        <f>D42-C42</f>
        <v>-3.778</v>
      </c>
      <c r="E44" s="30">
        <f>E42-D42</f>
        <v>-0.49900000000000055</v>
      </c>
      <c r="F44" s="30">
        <f>F42-E42</f>
        <v>3.205</v>
      </c>
      <c r="G44" s="30">
        <f>G42-F42</f>
        <v>-4.9879999999999995</v>
      </c>
      <c r="H44" s="30">
        <f>H42-G42</f>
        <v>-0.9759999999999991</v>
      </c>
      <c r="J44" s="40">
        <f>J42-H42</f>
        <v>10.857</v>
      </c>
    </row>
    <row r="45">
      <c r="B45" s="7" t="s">
        <v>339</v>
      </c>
      <c r="C45" s="30">
        <f>C157</f>
        <v>-2.044</v>
      </c>
      <c r="D45" s="30">
        <f>D157-C157</f>
        <v>5.861000000000001</v>
      </c>
      <c r="E45" s="30">
        <f>E157-D157</f>
        <v>-17.045</v>
      </c>
      <c r="F45" s="30">
        <f>F157-E157</f>
        <v>-78.131</v>
      </c>
      <c r="G45" s="30">
        <f>G157</f>
        <v>-15.666</v>
      </c>
      <c r="H45" s="30">
        <f>H157-G157</f>
        <v>15.663</v>
      </c>
      <c r="I45" s="30">
        <f>SUM(C45:F45)</f>
        <v>-91.35900000000001</v>
      </c>
      <c r="J45" s="48">
        <v>0</v>
      </c>
    </row>
    <row r="46">
      <c r="B46" s="7" t="s">
        <v>87</v>
      </c>
      <c r="G46" s="30">
        <f>G45-C45</f>
        <v>-13.622</v>
      </c>
      <c r="H46" s="30">
        <f>H45-D45</f>
        <v>9.802</v>
      </c>
      <c r="J46" s="40">
        <f>J45-E45</f>
        <v>17.045</v>
      </c>
    </row>
    <row r="47">
      <c r="B47" s="7" t="s">
        <v>78</v>
      </c>
      <c r="D47" s="30">
        <f>D45-C45</f>
        <v>7.905000000000001</v>
      </c>
      <c r="E47" s="30">
        <f>E45-D45</f>
        <v>-22.906000000000002</v>
      </c>
      <c r="F47" s="30">
        <f>F45-E45</f>
        <v>-61.086</v>
      </c>
      <c r="G47" s="30">
        <f>G45-F45</f>
        <v>62.465</v>
      </c>
      <c r="H47" s="30">
        <f>H45-G45</f>
        <v>31.329</v>
      </c>
      <c r="J47" s="40">
        <f>J45-H45</f>
        <v>-15.663</v>
      </c>
    </row>
    <row r="48">
      <c r="B48" s="7" t="s">
        <v>340</v>
      </c>
      <c r="C48" s="30">
        <f>C158</f>
        <v>-150.1</v>
      </c>
      <c r="D48" s="30">
        <f>D158-C158</f>
        <v>-13.467000000000013</v>
      </c>
      <c r="E48" s="30">
        <f>E158-D158</f>
        <v>43.94800000000001</v>
      </c>
      <c r="F48" s="30">
        <f>F158-E158</f>
        <v>99.674</v>
      </c>
      <c r="G48" s="30">
        <f>G158</f>
        <v>-52.575</v>
      </c>
      <c r="H48" s="30">
        <f>H158-G158</f>
        <v>2.946000000000005</v>
      </c>
      <c r="I48" s="30">
        <f>SUM(C48:F48)</f>
        <v>-19.944999999999993</v>
      </c>
      <c r="J48" s="48">
        <v>0</v>
      </c>
    </row>
    <row r="49">
      <c r="B49" s="7" t="s">
        <v>87</v>
      </c>
      <c r="G49" s="30">
        <f>G48-C48</f>
        <v>97.52499999999999</v>
      </c>
      <c r="H49" s="30">
        <f>H48-D48</f>
        <v>16.413000000000018</v>
      </c>
      <c r="J49" s="40">
        <f>J48-E48</f>
        <v>-43.94800000000001</v>
      </c>
    </row>
    <row r="50">
      <c r="B50" s="7" t="s">
        <v>78</v>
      </c>
      <c r="D50" s="30">
        <f>D48-C48</f>
        <v>136.63299999999998</v>
      </c>
      <c r="E50" s="30">
        <f>E48-D48</f>
        <v>57.41500000000002</v>
      </c>
      <c r="F50" s="30">
        <f>F48-E48</f>
        <v>55.726</v>
      </c>
      <c r="G50" s="30">
        <f>G48-F48</f>
        <v>-152.24900000000002</v>
      </c>
      <c r="H50" s="30">
        <f>H48-G48</f>
        <v>55.52100000000001</v>
      </c>
      <c r="J50" s="40">
        <f>J48-H48</f>
        <v>-2.946000000000005</v>
      </c>
    </row>
    <row r="51">
      <c r="B51" s="7" t="s">
        <v>292</v>
      </c>
      <c r="C51" s="30">
        <f>C159</f>
        <v>0.024</v>
      </c>
      <c r="D51" s="30">
        <f>D159-C159</f>
        <v>0.11100000000000002</v>
      </c>
      <c r="E51" s="30">
        <f>E159-D159</f>
        <v>-0.702</v>
      </c>
      <c r="F51" s="30">
        <f>F159-E159</f>
        <v>0.18099999999999994</v>
      </c>
      <c r="G51" s="30">
        <f>G159</f>
        <v>-0.597</v>
      </c>
      <c r="H51" s="30">
        <f>H159-G159</f>
        <v>-2.532</v>
      </c>
      <c r="I51" s="30">
        <f>SUM(C51:F51)</f>
        <v>-0.386</v>
      </c>
      <c r="J51" s="48">
        <v>0</v>
      </c>
    </row>
    <row r="52">
      <c r="B52" s="7" t="s">
        <v>87</v>
      </c>
      <c r="G52" s="30">
        <f>G51-C51</f>
        <v>-0.621</v>
      </c>
      <c r="H52" s="30">
        <f>H51-D51</f>
        <v>-2.6430000000000002</v>
      </c>
      <c r="J52" s="40">
        <f>J51-E51</f>
        <v>0.702</v>
      </c>
    </row>
    <row r="53">
      <c r="B53" s="7" t="s">
        <v>78</v>
      </c>
      <c r="D53" s="30">
        <f>D51-C51</f>
        <v>0.08700000000000002</v>
      </c>
      <c r="E53" s="30">
        <f>E51-D51</f>
        <v>-0.813</v>
      </c>
      <c r="F53" s="30">
        <f>F51-E51</f>
        <v>0.8829999999999999</v>
      </c>
      <c r="G53" s="30">
        <f>G51-F51</f>
        <v>-0.7779999999999999</v>
      </c>
      <c r="H53" s="30">
        <f>H51-G51</f>
        <v>-1.935</v>
      </c>
      <c r="J53" s="40">
        <f>J51-H51</f>
        <v>2.532</v>
      </c>
    </row>
    <row r="54">
      <c r="B54" s="7" t="s">
        <v>341</v>
      </c>
      <c r="C54" s="30">
        <f>C160</f>
        <v>-312.499</v>
      </c>
      <c r="D54" s="30">
        <f>D160-C160</f>
        <v>-7.630999999999972</v>
      </c>
      <c r="E54" s="30">
        <f>E160-D160</f>
        <v>125.41499999999999</v>
      </c>
      <c r="F54" s="30">
        <f>F160-E160</f>
        <v>-81.33599999999998</v>
      </c>
      <c r="G54" s="30">
        <f>G160</f>
        <v>4.879</v>
      </c>
      <c r="H54" s="30">
        <f>H160-G160</f>
        <v>210.61800000000002</v>
      </c>
      <c r="I54" s="30">
        <f>SUM(C54:F54)</f>
        <v>-276.051</v>
      </c>
      <c r="J54" s="48">
        <v>0</v>
      </c>
    </row>
    <row r="55">
      <c r="B55" s="7" t="s">
        <v>87</v>
      </c>
      <c r="G55" s="30">
        <f>G54-C54</f>
        <v>317.37800000000004</v>
      </c>
      <c r="H55" s="30">
        <f>H54-D54</f>
        <v>218.249</v>
      </c>
      <c r="J55" s="40">
        <f>J54-E54</f>
        <v>-125.41499999999999</v>
      </c>
    </row>
    <row r="56">
      <c r="B56" s="7" t="s">
        <v>78</v>
      </c>
      <c r="D56" s="30">
        <f>D54-C54</f>
        <v>304.86800000000005</v>
      </c>
      <c r="E56" s="30">
        <f>E54-D54</f>
        <v>133.04599999999996</v>
      </c>
      <c r="F56" s="30">
        <f>F54-E54</f>
        <v>-206.75099999999998</v>
      </c>
      <c r="G56" s="30">
        <f>G54-F54</f>
        <v>86.21499999999999</v>
      </c>
      <c r="H56" s="30">
        <f>H54-G54</f>
        <v>205.73900000000003</v>
      </c>
      <c r="J56" s="40">
        <f>J54-H54</f>
        <v>-210.61800000000002</v>
      </c>
    </row>
    <row r="57">
      <c r="B57" s="7" t="s">
        <v>342</v>
      </c>
      <c r="C57" s="30">
        <f>C161</f>
        <v>103.063</v>
      </c>
      <c r="D57" s="30">
        <f>D161-C161</f>
        <v>273.717</v>
      </c>
      <c r="E57" s="30">
        <f>E161-D161</f>
        <v>187.966</v>
      </c>
      <c r="F57" s="30">
        <f>F161-E161</f>
        <v>345.33799999999997</v>
      </c>
      <c r="G57" s="30">
        <f>G161</f>
        <v>225.017</v>
      </c>
      <c r="H57" s="30">
        <f>H161-G161</f>
        <v>836.489</v>
      </c>
      <c r="I57" s="30">
        <f>SUM(C57:F57)</f>
        <v>910.084</v>
      </c>
      <c r="J57" s="48">
        <v>0</v>
      </c>
    </row>
    <row r="58">
      <c r="B58" s="7" t="s">
        <v>87</v>
      </c>
      <c r="G58" s="30">
        <f>G57-C57</f>
        <v>121.954</v>
      </c>
      <c r="H58" s="30">
        <f>H57-D57</f>
        <v>562.772</v>
      </c>
      <c r="J58" s="40">
        <f>J57-E57</f>
        <v>-187.966</v>
      </c>
    </row>
    <row r="59">
      <c r="B59" s="7" t="s">
        <v>78</v>
      </c>
      <c r="D59" s="30">
        <f>D57-C57</f>
        <v>170.654</v>
      </c>
      <c r="E59" s="30">
        <f>E57-D57</f>
        <v>-85.75099999999998</v>
      </c>
      <c r="F59" s="30">
        <f>F57-E57</f>
        <v>157.37199999999996</v>
      </c>
      <c r="G59" s="30">
        <f>G57-F57</f>
        <v>-120.32099999999997</v>
      </c>
      <c r="H59" s="30">
        <f>H57-G57</f>
        <v>611.472</v>
      </c>
      <c r="J59" s="40">
        <f>J57-H57</f>
        <v>-836.489</v>
      </c>
    </row>
    <row r="60">
      <c r="B60" s="7" t="s">
        <v>305</v>
      </c>
      <c r="C60" s="30">
        <f>C162</f>
        <v>3.27</v>
      </c>
      <c r="D60" s="30">
        <f>D162-C162</f>
        <v>7.312000000000001</v>
      </c>
      <c r="E60" s="30">
        <f>E162-D162</f>
        <v>2.106</v>
      </c>
      <c r="F60" s="30">
        <f>F162-E162</f>
        <v>16.011000000000003</v>
      </c>
      <c r="G60" s="30">
        <f>G162</f>
        <v>-1.121</v>
      </c>
      <c r="H60" s="30">
        <f>H162-G162</f>
        <v>-6.917999999999999</v>
      </c>
      <c r="I60" s="30">
        <f>SUM(C60:F60)</f>
        <v>28.699000000000005</v>
      </c>
      <c r="J60" s="48">
        <v>0</v>
      </c>
    </row>
    <row r="61">
      <c r="B61" s="7" t="s">
        <v>87</v>
      </c>
      <c r="G61" s="30">
        <f>G60-C60</f>
        <v>-4.391</v>
      </c>
      <c r="H61" s="30">
        <f>H60-D60</f>
        <v>-14.23</v>
      </c>
      <c r="J61" s="40">
        <f>J60-E60</f>
        <v>-2.106</v>
      </c>
    </row>
    <row r="62">
      <c r="B62" s="7" t="s">
        <v>78</v>
      </c>
      <c r="D62" s="30">
        <f>D60-C60</f>
        <v>4.042000000000002</v>
      </c>
      <c r="E62" s="30">
        <f>E60-D60</f>
        <v>-5.206000000000001</v>
      </c>
      <c r="F62" s="30">
        <f>F60-E60</f>
        <v>13.905000000000003</v>
      </c>
      <c r="G62" s="30">
        <f>G60-F60</f>
        <v>-17.132</v>
      </c>
      <c r="H62" s="30">
        <f>H60-G60</f>
        <v>-5.796999999999999</v>
      </c>
      <c r="J62" s="40">
        <f>J60-H60</f>
        <v>6.917999999999999</v>
      </c>
    </row>
    <row r="63">
      <c r="B63" s="5" t="s">
        <v>343</v>
      </c>
      <c r="C63" s="17">
        <f>C9+C12+C15+C18+C21+C24+C27+C30+C33+C36+C39+C42+C45+C48+C51+C54+C57+C60</f>
        <v>-87.95000000000005</v>
      </c>
      <c r="D63" s="17">
        <f>D9+D12+D15+D18+D21+D24+D27+D30+D33+D36+D39+D42+D45+D48+D51+D54+D57+D60</f>
        <v>252.49499999999998</v>
      </c>
      <c r="E63" s="17">
        <f>E9+E12+E15+E18+E21+E24+E27+E30+E33+E36+E39+E42+E45+E48+E51+E54+E57+E60</f>
        <v>553.271</v>
      </c>
      <c r="F63" s="17">
        <f>F9+F12+F15+F18+F21+F24+F27+F30+F33+F36+F39+F42+F45+F48+F51+F54+F57+F60</f>
        <v>468.54</v>
      </c>
      <c r="G63" s="17">
        <f>G9+G12+G15+G18+G21+G24+G27+G30+G33+G36+G39+G42+G45+G48+G51+G54+G57+G60</f>
        <v>388.82800000000003</v>
      </c>
      <c r="H63" s="17">
        <f>H9+H12+H15+H18+H21+H24+H27+H30+H33+H36+H39+H42+H45+H48+H51+H54+H57+H60</f>
        <v>1139.4260000000002</v>
      </c>
      <c r="I63" s="17">
        <f>I9+I12+I15+I18+I21+I24+I27+I30+I33+I36+I39+I42+I45+I48+I51+I54+I57+I60</f>
        <v>1186.3559999999995</v>
      </c>
      <c r="J63" s="63">
        <f>J9+J12+J15+J18+J21+J24+J27+J30+J33+J36+J39+J42+J45+J48+J51+J54+J57+J60</f>
        <v>520.71248162374</v>
      </c>
    </row>
    <row r="64">
      <c r="J64" s="51"/>
    </row>
    <row r="65">
      <c r="B65" s="5" t="s">
        <v>344</v>
      </c>
      <c r="J65" s="51"/>
    </row>
    <row r="66">
      <c r="B66" s="7" t="s">
        <v>345</v>
      </c>
      <c r="C66" s="30">
        <f>C165</f>
        <v>-22.208</v>
      </c>
      <c r="D66" s="30">
        <f>D165-C165</f>
        <v>-31.273000000000003</v>
      </c>
      <c r="E66" s="30">
        <f>E165-D165</f>
        <v>-35.332</v>
      </c>
      <c r="F66" s="30">
        <f>F165-E165</f>
        <v>-66.08999999999999</v>
      </c>
      <c r="G66" s="30">
        <f>G165</f>
        <v>-147.473</v>
      </c>
      <c r="H66" s="30">
        <f>H165-G165</f>
        <v>-141.36399999999998</v>
      </c>
      <c r="I66" s="30">
        <f>SUM(C66:F66)</f>
        <v>-154.903</v>
      </c>
      <c r="J66" s="40">
        <f>-J137</f>
        <v>-172.5</v>
      </c>
    </row>
    <row r="67">
      <c r="B67" s="7" t="s">
        <v>87</v>
      </c>
      <c r="G67" s="30">
        <f>G66-C66</f>
        <v>-125.26500000000001</v>
      </c>
      <c r="H67" s="30">
        <f>H66-D66</f>
        <v>-110.09099999999998</v>
      </c>
      <c r="J67" s="40">
        <f>J66-E66</f>
        <v>-137.168</v>
      </c>
    </row>
    <row r="68">
      <c r="B68" s="7" t="s">
        <v>78</v>
      </c>
      <c r="D68" s="30">
        <f>D66-C66</f>
        <v>-9.065000000000005</v>
      </c>
      <c r="E68" s="30">
        <f>E66-D66</f>
        <v>-4.0589999999999975</v>
      </c>
      <c r="F68" s="30">
        <f>F66-E66</f>
        <v>-30.75799999999999</v>
      </c>
      <c r="G68" s="30">
        <f>G66-F66</f>
        <v>-81.38300000000002</v>
      </c>
      <c r="H68" s="30">
        <f>H66-G66</f>
        <v>6.109000000000037</v>
      </c>
      <c r="J68" s="40">
        <f>J66-H66</f>
        <v>-31.136000000000024</v>
      </c>
    </row>
    <row r="69">
      <c r="B69" s="7" t="s">
        <v>346</v>
      </c>
      <c r="C69" s="30">
        <f>C166</f>
        <v>1.095</v>
      </c>
      <c r="D69" s="30">
        <f>D166-C166</f>
        <v>0.9690000000000001</v>
      </c>
      <c r="E69" s="30">
        <f>E166-D166</f>
        <v>1.088</v>
      </c>
      <c r="F69" s="30">
        <f>F166-E166</f>
        <v>0.5429999999999997</v>
      </c>
      <c r="G69" s="30">
        <f>G166</f>
        <v>0.874</v>
      </c>
      <c r="H69" s="30">
        <f>H166-G166</f>
        <v>1.258</v>
      </c>
      <c r="I69" s="30">
        <f>SUM(C69:F69)</f>
        <v>3.695</v>
      </c>
      <c r="J69" s="48">
        <v>1</v>
      </c>
      <c r="L69" s="31" t="s">
        <v>347</v>
      </c>
    </row>
    <row r="70">
      <c r="B70" s="7" t="s">
        <v>87</v>
      </c>
      <c r="G70" s="30">
        <f>G69-C69</f>
        <v>-0.22099999999999997</v>
      </c>
      <c r="H70" s="30">
        <f>H69-D69</f>
        <v>0.2889999999999999</v>
      </c>
      <c r="J70" s="40">
        <f>J69-E69</f>
        <v>-0.08800000000000008</v>
      </c>
    </row>
    <row r="71">
      <c r="B71" s="7" t="s">
        <v>78</v>
      </c>
      <c r="D71" s="30">
        <f>D69-C69</f>
        <v>-0.1259999999999999</v>
      </c>
      <c r="E71" s="30">
        <f>E69-D69</f>
        <v>0.119</v>
      </c>
      <c r="F71" s="30">
        <f>F69-E69</f>
        <v>-0.5450000000000004</v>
      </c>
      <c r="G71" s="30">
        <f>G69-F69</f>
        <v>0.3310000000000003</v>
      </c>
      <c r="H71" s="30">
        <f>H69-G69</f>
        <v>0.384</v>
      </c>
      <c r="J71" s="40">
        <f>J69-H69</f>
        <v>-0.258</v>
      </c>
    </row>
    <row r="72">
      <c r="B72" s="7" t="s">
        <v>348</v>
      </c>
      <c r="C72" s="30">
        <f>C167</f>
        <v>-68.412</v>
      </c>
      <c r="D72" s="30">
        <f>D167-C167</f>
        <v>-55.681</v>
      </c>
      <c r="E72" s="30">
        <f>E167-D167</f>
        <v>-4.500999999999991</v>
      </c>
      <c r="F72" s="30">
        <f>F167-E167</f>
        <v>-151.01600000000002</v>
      </c>
      <c r="G72" s="30">
        <f>G167</f>
        <v>-6.097</v>
      </c>
      <c r="H72" s="30">
        <f>H167-G167</f>
        <v>-156.748</v>
      </c>
      <c r="I72" s="30">
        <f>SUM(C72:F72)</f>
        <v>-279.61</v>
      </c>
      <c r="J72" s="48">
        <v>0</v>
      </c>
      <c r="L72" s="31" t="s">
        <v>349</v>
      </c>
    </row>
    <row r="73">
      <c r="B73" s="7" t="s">
        <v>87</v>
      </c>
      <c r="G73" s="30">
        <f>G72-C72</f>
        <v>62.315000000000005</v>
      </c>
      <c r="H73" s="30">
        <f>H72-D72</f>
        <v>-101.067</v>
      </c>
      <c r="J73" s="40">
        <f>J72-E72</f>
        <v>4.500999999999991</v>
      </c>
    </row>
    <row r="74">
      <c r="B74" s="7" t="s">
        <v>78</v>
      </c>
      <c r="D74" s="30">
        <f>D72-C72</f>
        <v>12.731000000000009</v>
      </c>
      <c r="E74" s="30">
        <f>E72-D72</f>
        <v>51.18000000000001</v>
      </c>
      <c r="F74" s="30">
        <f>F72-E72</f>
        <v>-146.51500000000004</v>
      </c>
      <c r="G74" s="30">
        <f>G72-F72</f>
        <v>144.919</v>
      </c>
      <c r="H74" s="30">
        <f>H72-G72</f>
        <v>-150.65099999999998</v>
      </c>
      <c r="J74" s="40">
        <f>J72-H72</f>
        <v>156.748</v>
      </c>
    </row>
    <row r="75">
      <c r="B75" s="7" t="s">
        <v>350</v>
      </c>
      <c r="C75" s="30">
        <f>C168</f>
        <v>-7.258</v>
      </c>
      <c r="D75" s="30">
        <f>D168-C168</f>
        <v>-0.21999999999999975</v>
      </c>
      <c r="E75" s="30">
        <f>E168-D168</f>
        <v>-21.521</v>
      </c>
      <c r="F75" s="30">
        <f>F168-E168</f>
        <v>-35.202</v>
      </c>
      <c r="G75" s="30">
        <f>G168</f>
        <v>-45.071</v>
      </c>
      <c r="H75" s="30">
        <f>H168-G168</f>
        <v>-21.052000000000007</v>
      </c>
      <c r="I75" s="30">
        <f>SUM(C75:F75)</f>
        <v>-64.201</v>
      </c>
      <c r="J75" s="48">
        <v>0</v>
      </c>
    </row>
    <row r="76">
      <c r="B76" s="7" t="s">
        <v>87</v>
      </c>
      <c r="G76" s="30">
        <f>G75-C75</f>
        <v>-37.812999999999995</v>
      </c>
      <c r="H76" s="30">
        <f>H75-D75</f>
        <v>-20.832000000000008</v>
      </c>
      <c r="J76" s="40">
        <f>J75-E75</f>
        <v>21.521</v>
      </c>
    </row>
    <row r="77">
      <c r="B77" s="7" t="s">
        <v>78</v>
      </c>
      <c r="D77" s="30">
        <f>D75-C75</f>
        <v>7.038</v>
      </c>
      <c r="E77" s="30">
        <f>E75-D75</f>
        <v>-21.301000000000002</v>
      </c>
      <c r="F77" s="30">
        <f>F75-E75</f>
        <v>-13.680999999999997</v>
      </c>
      <c r="G77" s="30">
        <f>G75-F75</f>
        <v>-9.869</v>
      </c>
      <c r="H77" s="30">
        <f>H75-G75</f>
        <v>24.01899999999999</v>
      </c>
      <c r="J77" s="40">
        <f>J75-H75</f>
        <v>21.052000000000007</v>
      </c>
    </row>
    <row r="78">
      <c r="B78" s="7" t="s">
        <v>351</v>
      </c>
      <c r="C78" s="30">
        <f>C169</f>
        <v>0</v>
      </c>
      <c r="D78" s="30">
        <f>D169-C169</f>
        <v>0</v>
      </c>
      <c r="E78" s="30">
        <f>E169-D169</f>
        <v>7.258</v>
      </c>
      <c r="F78" s="30">
        <f>F169-E169</f>
        <v>20.489</v>
      </c>
      <c r="G78" s="30">
        <f>G169</f>
        <v>13.766</v>
      </c>
      <c r="H78" s="30">
        <f>H169-G169</f>
        <v>34.443000000000005</v>
      </c>
      <c r="I78" s="30">
        <f>SUM(C78:F78)</f>
        <v>27.747</v>
      </c>
      <c r="J78" s="48">
        <v>0</v>
      </c>
    </row>
    <row r="79">
      <c r="B79" s="7" t="s">
        <v>87</v>
      </c>
      <c r="G79" s="30">
        <f>G78-C78</f>
        <v>13.766</v>
      </c>
      <c r="H79" s="30">
        <f>H78-D78</f>
        <v>34.443000000000005</v>
      </c>
      <c r="J79" s="40">
        <f>J78-E78</f>
        <v>-7.258</v>
      </c>
    </row>
    <row r="80">
      <c r="B80" s="7" t="s">
        <v>78</v>
      </c>
      <c r="D80" s="30">
        <f>D78-C78</f>
        <v>0</v>
      </c>
      <c r="E80" s="30">
        <f>E78-D78</f>
        <v>7.258</v>
      </c>
      <c r="F80" s="30">
        <f>F78-E78</f>
        <v>13.231000000000002</v>
      </c>
      <c r="G80" s="30">
        <f>G78-F78</f>
        <v>-6.723000000000001</v>
      </c>
      <c r="H80" s="30">
        <f>H78-G78</f>
        <v>20.677000000000007</v>
      </c>
      <c r="J80" s="40">
        <f>J78-H78</f>
        <v>-34.443000000000005</v>
      </c>
    </row>
    <row r="81">
      <c r="B81" s="5" t="s">
        <v>352</v>
      </c>
      <c r="C81" s="17">
        <f>C66+C69+C72+C75+C78</f>
        <v>-96.783</v>
      </c>
      <c r="D81" s="17">
        <f>D66+D69+D72+D75+D78</f>
        <v>-86.205</v>
      </c>
      <c r="E81" s="17">
        <f>E66+E69+E72+E75+E78</f>
        <v>-53.00799999999999</v>
      </c>
      <c r="F81" s="17">
        <f>F66+F69+F72+F75+F78</f>
        <v>-231.27599999999998</v>
      </c>
      <c r="G81" s="17">
        <f>G66+G69+G72+G75+G78</f>
        <v>-184.00100000000003</v>
      </c>
      <c r="H81" s="17">
        <f>H66+H69+H72+H75+H78</f>
        <v>-283.46299999999997</v>
      </c>
      <c r="I81" s="17">
        <f>I66+I69+I72+I75+I78</f>
        <v>-467.272</v>
      </c>
      <c r="J81" s="63">
        <f>J66+J69+J72+J75+J78</f>
        <v>-171.5</v>
      </c>
    </row>
    <row r="82">
      <c r="J82" s="51"/>
    </row>
    <row r="83">
      <c r="B83" s="5" t="s">
        <v>353</v>
      </c>
      <c r="J83" s="51"/>
    </row>
    <row r="84">
      <c r="B84" s="7" t="s">
        <v>354</v>
      </c>
      <c r="C84" s="30">
        <f>C172</f>
        <v>0</v>
      </c>
      <c r="D84" s="30">
        <f>D172-C172</f>
        <v>0</v>
      </c>
      <c r="E84" s="30">
        <f>E172-D172</f>
        <v>200</v>
      </c>
      <c r="F84" s="30">
        <f>F172-E172</f>
        <v>0</v>
      </c>
      <c r="G84" s="30">
        <f>G172</f>
        <v>0</v>
      </c>
      <c r="H84" s="30">
        <f>H172-G172</f>
        <v>0</v>
      </c>
      <c r="I84" s="30">
        <f>SUM(C84:F84)</f>
        <v>200</v>
      </c>
      <c r="J84" s="48">
        <v>0</v>
      </c>
    </row>
    <row r="85">
      <c r="B85" s="7" t="s">
        <v>87</v>
      </c>
      <c r="G85" s="30">
        <f>G84-C84</f>
        <v>0</v>
      </c>
      <c r="H85" s="30">
        <f>H84-D84</f>
        <v>0</v>
      </c>
      <c r="J85" s="40">
        <f>J84-E84</f>
        <v>-200</v>
      </c>
    </row>
    <row r="86">
      <c r="B86" s="7" t="s">
        <v>78</v>
      </c>
      <c r="D86" s="30">
        <f>D84-C84</f>
        <v>0</v>
      </c>
      <c r="E86" s="30">
        <f>E84-D84</f>
        <v>200</v>
      </c>
      <c r="F86" s="30">
        <f>F84-E84</f>
        <v>-200</v>
      </c>
      <c r="G86" s="30">
        <f>G84-F84</f>
        <v>0</v>
      </c>
      <c r="H86" s="30">
        <f>H84-G84</f>
        <v>0</v>
      </c>
      <c r="J86" s="40">
        <f>J84-H84</f>
        <v>0</v>
      </c>
    </row>
    <row r="87">
      <c r="B87" s="7" t="s">
        <v>355</v>
      </c>
      <c r="C87" s="30">
        <f>C173</f>
        <v>0</v>
      </c>
      <c r="D87" s="30">
        <f>D173-C173</f>
        <v>0</v>
      </c>
      <c r="E87" s="30">
        <f>E173-D173</f>
        <v>-100</v>
      </c>
      <c r="F87" s="30">
        <f>F173-E173</f>
        <v>0</v>
      </c>
      <c r="G87" s="30">
        <f>G173</f>
        <v>-100</v>
      </c>
      <c r="H87" s="30">
        <f>H173-G173</f>
        <v>0</v>
      </c>
      <c r="I87" s="30">
        <f>SUM(C87:F87)</f>
        <v>-100</v>
      </c>
      <c r="J87" s="48">
        <v>0</v>
      </c>
    </row>
    <row r="88">
      <c r="B88" s="7" t="s">
        <v>87</v>
      </c>
      <c r="G88" s="30">
        <f>G87-C87</f>
        <v>-100</v>
      </c>
      <c r="H88" s="30">
        <f>H87-D87</f>
        <v>0</v>
      </c>
      <c r="J88" s="40">
        <f>J87-E87</f>
        <v>100</v>
      </c>
    </row>
    <row r="89">
      <c r="B89" s="7" t="s">
        <v>78</v>
      </c>
      <c r="D89" s="30">
        <f>D87-C87</f>
        <v>0</v>
      </c>
      <c r="E89" s="30">
        <f>E87-D87</f>
        <v>-100</v>
      </c>
      <c r="F89" s="30">
        <f>F87-E87</f>
        <v>100</v>
      </c>
      <c r="G89" s="30">
        <f>G87-F87</f>
        <v>-100</v>
      </c>
      <c r="H89" s="30">
        <f>H87-G87</f>
        <v>100</v>
      </c>
      <c r="J89" s="40">
        <f>J87-H87</f>
        <v>0</v>
      </c>
    </row>
    <row r="90">
      <c r="B90" s="7" t="s">
        <v>356</v>
      </c>
      <c r="C90" s="30">
        <f>C174</f>
        <v>-5.993</v>
      </c>
      <c r="D90" s="30">
        <f>D174-C174</f>
        <v>-0.021999999999999353</v>
      </c>
      <c r="E90" s="30">
        <f>E174-D174</f>
        <v>-37.022</v>
      </c>
      <c r="F90" s="30">
        <f>F174-E174</f>
        <v>-0.021999999999998465</v>
      </c>
      <c r="G90" s="30">
        <f>G174</f>
        <v>-6.147</v>
      </c>
      <c r="H90" s="30">
        <f>H174-G174</f>
        <v>-3.9499999999999993</v>
      </c>
      <c r="I90" s="30">
        <f>SUM(C90:F90)</f>
        <v>-43.059</v>
      </c>
      <c r="J90" s="48">
        <v>0</v>
      </c>
    </row>
    <row r="91">
      <c r="B91" s="7" t="s">
        <v>87</v>
      </c>
      <c r="G91" s="30">
        <f>G90-C90</f>
        <v>-0.15399999999999991</v>
      </c>
      <c r="H91" s="30">
        <f>H90-D90</f>
        <v>-3.928</v>
      </c>
      <c r="J91" s="40">
        <f>J90-E90</f>
        <v>37.022</v>
      </c>
    </row>
    <row r="92">
      <c r="B92" s="7" t="s">
        <v>78</v>
      </c>
      <c r="D92" s="30">
        <f>D90-C90</f>
        <v>5.971000000000001</v>
      </c>
      <c r="E92" s="30">
        <f>E90-D90</f>
        <v>-37</v>
      </c>
      <c r="F92" s="30">
        <f>F90-E90</f>
        <v>37</v>
      </c>
      <c r="G92" s="30">
        <f>G90-F90</f>
        <v>-6.125000000000002</v>
      </c>
      <c r="H92" s="30">
        <f>H90-G90</f>
        <v>2.197000000000001</v>
      </c>
      <c r="J92" s="40">
        <f>J90-H90</f>
        <v>3.9499999999999993</v>
      </c>
    </row>
    <row r="93">
      <c r="B93" s="7" t="s">
        <v>357</v>
      </c>
      <c r="C93" s="30">
        <f>C175</f>
        <v>0</v>
      </c>
      <c r="D93" s="30">
        <f>D175-C175</f>
        <v>0</v>
      </c>
      <c r="E93" s="30">
        <f>E175-D175</f>
        <v>-3.709</v>
      </c>
      <c r="F93" s="30">
        <f>F175-E175</f>
        <v>0</v>
      </c>
      <c r="G93" s="30">
        <f>G175</f>
        <v>0</v>
      </c>
      <c r="H93" s="30">
        <f>H175-G175</f>
        <v>0</v>
      </c>
      <c r="I93" s="30">
        <f>SUM(C93:F93)</f>
        <v>-3.709</v>
      </c>
      <c r="J93" s="48">
        <v>0</v>
      </c>
    </row>
    <row r="94">
      <c r="B94" s="7" t="s">
        <v>87</v>
      </c>
      <c r="G94" s="30">
        <f>G93-C93</f>
        <v>0</v>
      </c>
      <c r="H94" s="30">
        <f>H93-D93</f>
        <v>0</v>
      </c>
      <c r="J94" s="40">
        <f>J93-E93</f>
        <v>3.709</v>
      </c>
    </row>
    <row r="95">
      <c r="B95" s="7" t="s">
        <v>78</v>
      </c>
      <c r="D95" s="30">
        <f>D93-C93</f>
        <v>0</v>
      </c>
      <c r="E95" s="30">
        <f>E93-D93</f>
        <v>-3.709</v>
      </c>
      <c r="F95" s="30">
        <f>F93-E93</f>
        <v>3.709</v>
      </c>
      <c r="G95" s="30">
        <f>G93-F93</f>
        <v>0</v>
      </c>
      <c r="H95" s="30">
        <f>H93-G93</f>
        <v>0</v>
      </c>
      <c r="J95" s="40">
        <f>J93-H93</f>
        <v>0</v>
      </c>
    </row>
    <row r="96">
      <c r="B96" s="7" t="s">
        <v>358</v>
      </c>
      <c r="C96" s="30">
        <f>C176</f>
        <v>-14.162</v>
      </c>
      <c r="D96" s="30">
        <f>D176-C176</f>
        <v>-15.871</v>
      </c>
      <c r="E96" s="30">
        <f>E176-D176</f>
        <v>-17.641</v>
      </c>
      <c r="F96" s="30">
        <f>F176-E176</f>
        <v>-21.159</v>
      </c>
      <c r="G96" s="30">
        <f>G176</f>
        <v>-24.623</v>
      </c>
      <c r="H96" s="30">
        <f>H176-G176</f>
        <v>-28.161999999999995</v>
      </c>
      <c r="I96" s="30">
        <f>SUM(C96:F96)</f>
        <v>-68.833</v>
      </c>
      <c r="J96" s="64">
        <f>-'Share Count'!J46</f>
        <v>-31.6845</v>
      </c>
    </row>
    <row r="97">
      <c r="B97" s="7" t="s">
        <v>87</v>
      </c>
      <c r="G97" s="30">
        <f>G96-C96</f>
        <v>-10.461</v>
      </c>
      <c r="H97" s="30">
        <f>H96-D96</f>
        <v>-12.290999999999995</v>
      </c>
      <c r="J97" s="40">
        <f>J96-E96</f>
        <v>-14.043500000000002</v>
      </c>
    </row>
    <row r="98">
      <c r="B98" s="7" t="s">
        <v>78</v>
      </c>
      <c r="D98" s="30">
        <f>D96-C96</f>
        <v>-1.7089999999999996</v>
      </c>
      <c r="E98" s="30">
        <f>E96-D96</f>
        <v>-1.7699999999999978</v>
      </c>
      <c r="F98" s="30">
        <f>F96-E96</f>
        <v>-3.5180000000000007</v>
      </c>
      <c r="G98" s="30">
        <f>G96-F96</f>
        <v>-3.464000000000002</v>
      </c>
      <c r="H98" s="30">
        <f>H96-G96</f>
        <v>-3.5389999999999944</v>
      </c>
      <c r="J98" s="40">
        <f>J96-H96</f>
        <v>-3.5225000000000044</v>
      </c>
    </row>
    <row r="99">
      <c r="B99" s="7" t="s">
        <v>359</v>
      </c>
      <c r="C99" s="30">
        <f>C177</f>
        <v>-91.369</v>
      </c>
      <c r="D99" s="30">
        <f>D177-C177</f>
        <v>-19.921000000000006</v>
      </c>
      <c r="E99" s="30">
        <f>E177-D177</f>
        <v>-13.135999999999996</v>
      </c>
      <c r="F99" s="30">
        <f>F177-E177</f>
        <v>-91.573</v>
      </c>
      <c r="G99" s="30">
        <f>G177</f>
        <v>-2.548</v>
      </c>
      <c r="H99" s="30">
        <f>H177-G177</f>
        <v>-5.683999999999999</v>
      </c>
      <c r="I99" s="30">
        <f>SUM(C99:F99)</f>
        <v>-215.999</v>
      </c>
      <c r="J99" s="64">
        <f>-'Share Count'!J19</f>
        <v>-5</v>
      </c>
    </row>
    <row r="100">
      <c r="B100" s="7" t="s">
        <v>87</v>
      </c>
      <c r="G100" s="30">
        <f>G99-C99</f>
        <v>88.821</v>
      </c>
      <c r="H100" s="30">
        <f>H99-D99</f>
        <v>14.237000000000007</v>
      </c>
      <c r="J100" s="40">
        <f>J99-E99</f>
        <v>8.135999999999996</v>
      </c>
    </row>
    <row r="101">
      <c r="B101" s="7" t="s">
        <v>78</v>
      </c>
      <c r="D101" s="30">
        <f>D99-C99</f>
        <v>71.448</v>
      </c>
      <c r="E101" s="30">
        <f>E99-D99</f>
        <v>6.785000000000011</v>
      </c>
      <c r="F101" s="30">
        <f>F99-E99</f>
        <v>-78.437</v>
      </c>
      <c r="G101" s="30">
        <f>G99-F99</f>
        <v>89.02499999999999</v>
      </c>
      <c r="H101" s="30">
        <f>H99-G99</f>
        <v>-3.1359999999999992</v>
      </c>
      <c r="J101" s="40">
        <f>J99-H99</f>
        <v>0.6839999999999993</v>
      </c>
    </row>
    <row r="102">
      <c r="B102" s="7" t="s">
        <v>360</v>
      </c>
      <c r="C102" s="30">
        <f>C178</f>
        <v>-2.622</v>
      </c>
      <c r="D102" s="30">
        <f>D178-C178</f>
        <v>-3.9770000000000003</v>
      </c>
      <c r="E102" s="30">
        <f>E178-D178</f>
        <v>-0.28200000000000003</v>
      </c>
      <c r="F102" s="30">
        <f>F178-E178</f>
        <v>-3.135</v>
      </c>
      <c r="G102" s="30">
        <f>G178</f>
        <v>-3.125</v>
      </c>
      <c r="H102" s="30">
        <f>H178-G178</f>
        <v>-13.536999999999999</v>
      </c>
      <c r="I102" s="30">
        <f>SUM(C102:F102)</f>
        <v>-10.016</v>
      </c>
      <c r="J102" s="48">
        <v>0</v>
      </c>
    </row>
    <row r="103">
      <c r="B103" s="7" t="s">
        <v>87</v>
      </c>
      <c r="G103" s="30">
        <f>G102-C102</f>
        <v>-0.5030000000000001</v>
      </c>
      <c r="H103" s="30">
        <f>H102-D102</f>
        <v>-9.559999999999999</v>
      </c>
      <c r="J103" s="40">
        <f>J102-E102</f>
        <v>0.28200000000000003</v>
      </c>
    </row>
    <row r="104">
      <c r="B104" s="7" t="s">
        <v>78</v>
      </c>
      <c r="D104" s="30">
        <f>D102-C102</f>
        <v>-1.3550000000000004</v>
      </c>
      <c r="E104" s="30">
        <f>E102-D102</f>
        <v>3.6950000000000003</v>
      </c>
      <c r="F104" s="30">
        <f>F102-E102</f>
        <v>-2.8529999999999998</v>
      </c>
      <c r="G104" s="30">
        <f>G102-F102</f>
        <v>0.009999999999999787</v>
      </c>
      <c r="H104" s="30">
        <f>H102-G102</f>
        <v>-10.411999999999999</v>
      </c>
      <c r="J104" s="40">
        <f>J102-H102</f>
        <v>13.536999999999999</v>
      </c>
    </row>
    <row r="105">
      <c r="B105" s="7" t="s">
        <v>361</v>
      </c>
      <c r="C105" s="30">
        <f>C179</f>
        <v>0</v>
      </c>
      <c r="D105" s="30">
        <f>D179-C179</f>
        <v>0.453</v>
      </c>
      <c r="E105" s="30">
        <f>E179-D179</f>
        <v>0.34</v>
      </c>
      <c r="F105" s="30">
        <f>F179-E179</f>
        <v>0</v>
      </c>
      <c r="G105" s="30">
        <f>G179</f>
        <v>0.383</v>
      </c>
      <c r="H105" s="30">
        <f>H179-G179</f>
        <v>0</v>
      </c>
      <c r="I105" s="30">
        <f>SUM(C105:F105)</f>
        <v>0.793</v>
      </c>
      <c r="J105" s="48">
        <v>0</v>
      </c>
    </row>
    <row r="106">
      <c r="B106" s="7" t="s">
        <v>87</v>
      </c>
      <c r="G106" s="30">
        <f>G105-C105</f>
        <v>0.383</v>
      </c>
      <c r="H106" s="30">
        <f>H105-D105</f>
        <v>-0.453</v>
      </c>
      <c r="J106" s="40">
        <f>J105-E105</f>
        <v>-0.34</v>
      </c>
    </row>
    <row r="107">
      <c r="B107" s="7" t="s">
        <v>78</v>
      </c>
      <c r="D107" s="30">
        <f>D105-C105</f>
        <v>0.453</v>
      </c>
      <c r="E107" s="30">
        <f>E105-D105</f>
        <v>-0.11299999999999999</v>
      </c>
      <c r="F107" s="30">
        <f>F105-E105</f>
        <v>-0.34</v>
      </c>
      <c r="G107" s="30">
        <f>G105-F105</f>
        <v>0.383</v>
      </c>
      <c r="H107" s="30">
        <f>H105-G105</f>
        <v>-0.383</v>
      </c>
      <c r="J107" s="40">
        <f>J105-H105</f>
        <v>0</v>
      </c>
    </row>
    <row r="108">
      <c r="B108" s="7" t="s">
        <v>362</v>
      </c>
      <c r="C108" s="30">
        <f>C180</f>
        <v>-46.302</v>
      </c>
      <c r="D108" s="30">
        <f>D180-C180</f>
        <v>0</v>
      </c>
      <c r="E108" s="30">
        <f>E180-D180</f>
        <v>0</v>
      </c>
      <c r="F108" s="30">
        <f>F180-E180</f>
        <v>0</v>
      </c>
      <c r="G108" s="30">
        <f>G180</f>
        <v>-0.501</v>
      </c>
      <c r="H108" s="30">
        <f>H180-G180</f>
        <v>0</v>
      </c>
      <c r="I108" s="30">
        <f>SUM(C108:F108)</f>
        <v>-46.302</v>
      </c>
      <c r="J108" s="48">
        <v>0</v>
      </c>
    </row>
    <row r="109">
      <c r="B109" s="7" t="s">
        <v>87</v>
      </c>
      <c r="G109" s="30">
        <f>G108-C108</f>
        <v>45.801</v>
      </c>
      <c r="H109" s="30">
        <f>H108-D108</f>
        <v>0</v>
      </c>
      <c r="J109" s="40">
        <f>J108-E108</f>
        <v>0</v>
      </c>
    </row>
    <row r="110">
      <c r="B110" s="7" t="s">
        <v>78</v>
      </c>
      <c r="D110" s="30">
        <f>D108-C108</f>
        <v>46.302</v>
      </c>
      <c r="E110" s="30">
        <f>E108-D108</f>
        <v>0</v>
      </c>
      <c r="F110" s="30">
        <f>F108-E108</f>
        <v>0</v>
      </c>
      <c r="G110" s="30">
        <f>G108-F108</f>
        <v>-0.501</v>
      </c>
      <c r="H110" s="30">
        <f>H108-G108</f>
        <v>0.501</v>
      </c>
      <c r="J110" s="40">
        <f>J108-H108</f>
        <v>0</v>
      </c>
    </row>
    <row r="111">
      <c r="B111" s="5" t="s">
        <v>363</v>
      </c>
      <c r="C111" s="17">
        <f>C84+C87+C90+C93+C96+C99+C102+C105+C108</f>
        <v>-160.448</v>
      </c>
      <c r="D111" s="17">
        <f>D84+D87+D90+D93+D96+D99+D102+D105+D108</f>
        <v>-39.33800000000001</v>
      </c>
      <c r="E111" s="17">
        <f>E84+E87+E90+E93+E96+E99+E102+E105+E108</f>
        <v>28.550000000000004</v>
      </c>
      <c r="F111" s="17">
        <f>F84+F87+F90+F93+F96+F99+F102+F105+F108</f>
        <v>-115.889</v>
      </c>
      <c r="G111" s="17">
        <f>G84+G87+G90+G93+G96+G99+G102+G105+G108</f>
        <v>-136.561</v>
      </c>
      <c r="H111" s="17">
        <f>H84+H87+H90+H93+H96+H99+H102+H105+H108</f>
        <v>-51.33299999999999</v>
      </c>
      <c r="I111" s="17">
        <f>I84+I87+I90+I93+I96+I99+I102+I105+I108</f>
        <v>-287.125</v>
      </c>
      <c r="J111" s="63">
        <f>J84+J87+J90+J93+J96+J99+J102+J105+J108</f>
        <v>-36.6845</v>
      </c>
    </row>
    <row r="112">
      <c r="J112" s="51"/>
    </row>
    <row r="113">
      <c r="B113" s="5" t="s">
        <v>364</v>
      </c>
      <c r="C113" s="17">
        <f>C63+C81+C111</f>
        <v>-345.18100000000004</v>
      </c>
      <c r="D113" s="17">
        <f>D63+D81+D111</f>
        <v>126.95199999999996</v>
      </c>
      <c r="E113" s="17">
        <f>E63+E81+E111</f>
        <v>528.813</v>
      </c>
      <c r="F113" s="17">
        <f>F63+F81+F111</f>
        <v>121.37500000000004</v>
      </c>
      <c r="G113" s="17">
        <f>G63+G81+G111</f>
        <v>68.26599999999999</v>
      </c>
      <c r="H113" s="17">
        <f>H63+H81+H111</f>
        <v>804.6300000000002</v>
      </c>
      <c r="I113" s="17">
        <f>I63+I81+I111</f>
        <v>431.9589999999996</v>
      </c>
      <c r="J113" s="63">
        <f>J63+J81+J111</f>
        <v>312.52798162374</v>
      </c>
    </row>
    <row r="114">
      <c r="B114" s="7" t="s">
        <v>365</v>
      </c>
      <c r="C114" s="18">
        <v>549.939</v>
      </c>
      <c r="D114" s="4">
        <f>'Balance Sheet'!C9</f>
        <v>204.758</v>
      </c>
      <c r="E114" s="4">
        <f>'Balance Sheet'!D9</f>
        <v>331.71</v>
      </c>
      <c r="F114" s="4">
        <f>'Balance Sheet'!E9</f>
        <v>860.523</v>
      </c>
      <c r="G114" s="4">
        <f>'Balance Sheet'!F9</f>
        <v>981.898</v>
      </c>
      <c r="H114" s="4">
        <f>'Balance Sheet'!G9</f>
        <v>1050.164</v>
      </c>
      <c r="I114" s="30">
        <f>C114</f>
        <v>549.939</v>
      </c>
      <c r="J114" s="64">
        <f>'Balance Sheet'!H9</f>
        <v>1854.794</v>
      </c>
    </row>
    <row r="115">
      <c r="B115" s="5" t="s">
        <v>366</v>
      </c>
      <c r="C115" s="17">
        <f>C114+C113</f>
        <v>204.75799999999992</v>
      </c>
      <c r="D115" s="17">
        <f>D114+D113</f>
        <v>331.71</v>
      </c>
      <c r="E115" s="17">
        <f>E114+E113</f>
        <v>860.5229999999999</v>
      </c>
      <c r="F115" s="17">
        <f>F114+F113</f>
        <v>981.898</v>
      </c>
      <c r="G115" s="17">
        <f>G114+G113</f>
        <v>1050.164</v>
      </c>
      <c r="H115" s="17">
        <f>H114+H113</f>
        <v>1854.7940000000003</v>
      </c>
      <c r="I115" s="17">
        <f>I114+I113</f>
        <v>981.8979999999996</v>
      </c>
      <c r="J115" s="63">
        <f>J114+J113</f>
        <v>2167.32198162374</v>
      </c>
    </row>
    <row r="116">
      <c r="B116" s="7" t="s">
        <v>367</v>
      </c>
      <c r="C116" s="4">
        <f>'Balance Sheet'!C9</f>
        <v>204.758</v>
      </c>
      <c r="D116" s="4">
        <f>'Balance Sheet'!D9</f>
        <v>331.71</v>
      </c>
      <c r="E116" s="4">
        <f>'Balance Sheet'!E9</f>
        <v>860.523</v>
      </c>
      <c r="F116" s="4">
        <f>'Balance Sheet'!F9</f>
        <v>981.898</v>
      </c>
      <c r="G116" s="4">
        <f>'Balance Sheet'!G9</f>
        <v>1050.164</v>
      </c>
      <c r="H116" s="4">
        <f>'Balance Sheet'!H9</f>
        <v>1854.794</v>
      </c>
      <c r="I116" s="4">
        <f>'Balance Sheet'!I9</f>
        <v>981.898</v>
      </c>
      <c r="J116" s="64">
        <f>'Balance Sheet'!J9</f>
        <v>2167.32198162374</v>
      </c>
    </row>
    <row r="117">
      <c r="B117" s="7" t="s">
        <v>368</v>
      </c>
      <c r="C117" s="30">
        <f>C115-C116</f>
        <v>0</v>
      </c>
      <c r="D117" s="30">
        <f>D115-D116</f>
        <v>0</v>
      </c>
      <c r="E117" s="30">
        <f>E115-E116</f>
        <v>0</v>
      </c>
      <c r="F117" s="30">
        <f>F115-F116</f>
        <v>0</v>
      </c>
      <c r="G117" s="30">
        <f>G115-G116</f>
        <v>0</v>
      </c>
      <c r="H117" s="30">
        <f>H115-H116</f>
        <v>0</v>
      </c>
      <c r="I117" s="30">
        <f>I115-I116</f>
        <v>0</v>
      </c>
      <c r="J117" s="40">
        <f>J115-J116</f>
        <v>0</v>
      </c>
    </row>
    <row r="118">
      <c r="J118" s="51"/>
    </row>
    <row r="119">
      <c r="B119" s="5" t="s">
        <v>369</v>
      </c>
      <c r="J119" s="51"/>
    </row>
    <row r="120">
      <c r="B120" s="7" t="s">
        <v>370</v>
      </c>
      <c r="C120" s="30">
        <f>C63</f>
        <v>-87.95000000000005</v>
      </c>
      <c r="D120" s="30">
        <f>D63</f>
        <v>252.49499999999998</v>
      </c>
      <c r="E120" s="30">
        <f>E63</f>
        <v>553.271</v>
      </c>
      <c r="F120" s="30">
        <f>F63</f>
        <v>468.54</v>
      </c>
      <c r="G120" s="30">
        <f>G63</f>
        <v>388.82800000000003</v>
      </c>
      <c r="H120" s="30">
        <f>H63</f>
        <v>1139.4260000000002</v>
      </c>
      <c r="I120" s="30">
        <f>I63</f>
        <v>1186.3559999999995</v>
      </c>
      <c r="J120" s="40">
        <f>J63</f>
        <v>520.71248162374</v>
      </c>
    </row>
    <row r="121">
      <c r="B121" s="7" t="s">
        <v>371</v>
      </c>
      <c r="C121" s="30">
        <f>C66</f>
        <v>-22.208</v>
      </c>
      <c r="D121" s="30">
        <f>D66</f>
        <v>-31.273000000000003</v>
      </c>
      <c r="E121" s="30">
        <f>E66</f>
        <v>-35.332</v>
      </c>
      <c r="F121" s="30">
        <f>F66</f>
        <v>-66.08999999999999</v>
      </c>
      <c r="G121" s="30">
        <f>G66</f>
        <v>-147.473</v>
      </c>
      <c r="H121" s="30">
        <f>H66</f>
        <v>-141.36399999999998</v>
      </c>
      <c r="I121" s="30">
        <f>I66</f>
        <v>-154.903</v>
      </c>
      <c r="J121" s="40">
        <f>J66</f>
        <v>-172.5</v>
      </c>
    </row>
    <row r="122">
      <c r="B122" s="7" t="s">
        <v>372</v>
      </c>
      <c r="C122" s="30">
        <f>C69</f>
        <v>1.095</v>
      </c>
      <c r="D122" s="30">
        <f>D69</f>
        <v>0.9690000000000001</v>
      </c>
      <c r="E122" s="30">
        <f>E69</f>
        <v>1.088</v>
      </c>
      <c r="F122" s="30">
        <f>F69</f>
        <v>0.5429999999999997</v>
      </c>
      <c r="G122" s="30">
        <f>G69</f>
        <v>0.874</v>
      </c>
      <c r="H122" s="30">
        <f>H69</f>
        <v>1.258</v>
      </c>
      <c r="I122" s="30">
        <f>I69</f>
        <v>3.695</v>
      </c>
      <c r="J122" s="40">
        <f>J69</f>
        <v>1</v>
      </c>
    </row>
    <row r="123">
      <c r="B123" s="5" t="s">
        <v>373</v>
      </c>
      <c r="C123" s="17">
        <f>C120+C121+C122</f>
        <v>-109.06300000000005</v>
      </c>
      <c r="D123" s="17">
        <f>D120+D121+D122</f>
        <v>222.19099999999997</v>
      </c>
      <c r="E123" s="17">
        <f>E120+E121+E122</f>
        <v>519.0269999999999</v>
      </c>
      <c r="F123" s="17">
        <f>F120+F121+F122</f>
        <v>402.99300000000005</v>
      </c>
      <c r="G123" s="17">
        <f>G120+G121+G122</f>
        <v>242.229</v>
      </c>
      <c r="H123" s="17">
        <f>H120+H121+H122</f>
        <v>999.3200000000002</v>
      </c>
      <c r="I123" s="17">
        <f>I120+I121+I122</f>
        <v>1035.1479999999995</v>
      </c>
      <c r="J123" s="63">
        <f>J120+J121+J122</f>
        <v>349.21248162374</v>
      </c>
    </row>
    <row r="124">
      <c r="B124" s="28" t="s">
        <v>374</v>
      </c>
      <c r="C124" s="21">
        <f>C123/'Income Statement'!C9</f>
        <v>-0.05955541624847241</v>
      </c>
      <c r="D124" s="21">
        <f>D123/'Income Statement'!D9</f>
        <v>0.10223579695387561</v>
      </c>
      <c r="E124" s="21">
        <f>E123/'Income Statement'!E9</f>
        <v>0.21176400027907327</v>
      </c>
      <c r="F124" s="21">
        <f>F123/'Income Statement'!F9</f>
        <v>0.1522988646923907</v>
      </c>
      <c r="G124" s="21">
        <f>G123/'Income Statement'!G9</f>
        <v>0.08453784762114827</v>
      </c>
      <c r="H124" s="21">
        <f>H123/'Income Statement'!H9</f>
        <v>0.3060089611398139</v>
      </c>
      <c r="I124" s="21">
        <f>I123/'Income Statement'!I9</f>
        <v>0.11373201821517674</v>
      </c>
      <c r="J124" s="86">
        <f>J123/'Income Statement'!J9</f>
        <v>0.10108584941596534</v>
      </c>
    </row>
    <row r="125">
      <c r="B125" s="7" t="s">
        <v>190</v>
      </c>
      <c r="G125" s="42">
        <f>(G124-C124)*10000</f>
        <v>1440.9326386962068</v>
      </c>
      <c r="H125" s="42">
        <f>(H124-D124)*10000</f>
        <v>2037.731641859383</v>
      </c>
      <c r="J125" s="54">
        <f>(J124-E124)*10000</f>
        <v>-1106.7815086310793</v>
      </c>
    </row>
    <row r="126">
      <c r="B126" s="7" t="s">
        <v>191</v>
      </c>
      <c r="D126" s="42">
        <f>(D124-C124)*10000</f>
        <v>1617.9121320234801</v>
      </c>
      <c r="E126" s="42">
        <f>(E124-D124)*10000</f>
        <v>1095.2820332519766</v>
      </c>
      <c r="F126" s="42">
        <f>(F124-E124)*10000</f>
        <v>-594.6513558668256</v>
      </c>
      <c r="G126" s="42">
        <f>(G124-F124)*10000</f>
        <v>-677.6101707124244</v>
      </c>
      <c r="H126" s="42">
        <f>(H124-G124)*10000</f>
        <v>2214.7111351866565</v>
      </c>
      <c r="J126" s="54">
        <f>(J124-H124)*10000</f>
        <v>-2049.2311172384857</v>
      </c>
    </row>
    <row r="127">
      <c r="B127" s="7" t="s">
        <v>375</v>
      </c>
      <c r="C127" s="66">
        <f>C123/C9</f>
        <v>-0.644241504173337</v>
      </c>
      <c r="D127" s="66">
        <f>D123/D9</f>
        <v>0.9624991336290545</v>
      </c>
      <c r="E127" s="66">
        <f>E123/E9</f>
        <v>1.7798364281672754</v>
      </c>
      <c r="F127" s="66">
        <f>F123/F9</f>
        <v>1.2182155099967957</v>
      </c>
      <c r="G127" s="66">
        <f>G123/G9</f>
        <v>0.6540048275005536</v>
      </c>
      <c r="H127" s="66">
        <f>H123/H9</f>
        <v>2.2629426497162606</v>
      </c>
      <c r="I127" s="66">
        <f>I123/I9</f>
        <v>1.012312260038061</v>
      </c>
      <c r="J127" s="79">
        <f>J123/J9</f>
        <v>0.757161819199485</v>
      </c>
    </row>
    <row r="128">
      <c r="B128" s="7" t="s">
        <v>376</v>
      </c>
      <c r="D128" s="18">
        <v>222.191</v>
      </c>
      <c r="F128" s="18">
        <v>402.993</v>
      </c>
      <c r="H128" s="18">
        <v>999.32</v>
      </c>
      <c r="I128" s="18">
        <v>1035.148</v>
      </c>
      <c r="J128" s="51"/>
    </row>
    <row r="129">
      <c r="B129" s="7" t="s">
        <v>377</v>
      </c>
      <c r="D129" s="30">
        <f>D123-D128</f>
        <v>0</v>
      </c>
      <c r="F129" s="30">
        <f>F123-F128</f>
        <v>0</v>
      </c>
      <c r="H129" s="30">
        <f>H123-H128</f>
        <v>0</v>
      </c>
      <c r="I129" s="30">
        <f>I123-I128</f>
        <v>0</v>
      </c>
      <c r="J129" s="51"/>
    </row>
    <row r="130">
      <c r="J130" s="51"/>
    </row>
    <row r="131">
      <c r="B131" s="5" t="s">
        <v>378</v>
      </c>
      <c r="J131" s="51"/>
    </row>
    <row r="132">
      <c r="B132" s="7" t="s">
        <v>142</v>
      </c>
      <c r="C132" s="4">
        <f>'Segment - Mechanical'!C95</f>
        <v>18.419</v>
      </c>
      <c r="D132" s="4">
        <f>'Segment - Mechanical'!D95</f>
        <v>24.879</v>
      </c>
      <c r="E132" s="4">
        <f>'Segment - Mechanical'!E95</f>
        <v>28.881</v>
      </c>
      <c r="F132" s="4">
        <f>'Segment - Mechanical'!F95</f>
        <v>54.257000000000005</v>
      </c>
      <c r="G132" s="4">
        <f>'Segment - Mechanical'!G95</f>
        <v>140.214</v>
      </c>
      <c r="H132" s="4">
        <f>'Segment - Mechanical'!H95</f>
        <v>131.818</v>
      </c>
      <c r="I132" s="4">
        <f>'Segment - Mechanical'!I95</f>
        <v>126.436</v>
      </c>
      <c r="J132" s="64">
        <f>'Segment - Mechanical'!J95</f>
        <v>160</v>
      </c>
    </row>
    <row r="133">
      <c r="B133" s="7" t="s">
        <v>195</v>
      </c>
      <c r="C133" s="4">
        <f>'Segment - Electrical'!C95</f>
        <v>3.539</v>
      </c>
      <c r="D133" s="4">
        <f>'Segment - Electrical'!D95</f>
        <v>6.093</v>
      </c>
      <c r="E133" s="4">
        <f>'Segment - Electrical'!E95</f>
        <v>5.787</v>
      </c>
      <c r="F133" s="4">
        <f>'Segment - Electrical'!F95</f>
        <v>11.137</v>
      </c>
      <c r="G133" s="4">
        <f>'Segment - Electrical'!G95</f>
        <v>6.629</v>
      </c>
      <c r="H133" s="4">
        <f>'Segment - Electrical'!H95</f>
        <v>9.185</v>
      </c>
      <c r="I133" s="4">
        <f>'Segment - Electrical'!I95</f>
        <v>26.556</v>
      </c>
      <c r="J133" s="64">
        <f>'Segment - Electrical'!J95</f>
        <v>12</v>
      </c>
    </row>
    <row r="134">
      <c r="B134" s="7" t="s">
        <v>379</v>
      </c>
      <c r="C134" s="18">
        <v>0.25</v>
      </c>
      <c r="D134" s="18">
        <v>0.301</v>
      </c>
      <c r="E134" s="18">
        <v>0.664</v>
      </c>
      <c r="F134" s="30">
        <f>I134-SUM(C134:E134)</f>
        <v>0.696</v>
      </c>
      <c r="G134" s="18">
        <v>0.63</v>
      </c>
      <c r="H134" s="18">
        <v>0.361</v>
      </c>
      <c r="I134" s="18">
        <v>1.911</v>
      </c>
      <c r="J134" s="48">
        <v>0.5</v>
      </c>
      <c r="L134" s="31" t="s">
        <v>380</v>
      </c>
    </row>
    <row r="135">
      <c r="B135" s="7" t="s">
        <v>87</v>
      </c>
      <c r="G135" s="30">
        <f>G134-C134</f>
        <v>0.38</v>
      </c>
      <c r="H135" s="30">
        <f>H134-D134</f>
        <v>0.06</v>
      </c>
      <c r="J135" s="40">
        <f>J134-E134</f>
        <v>-0.16400000000000003</v>
      </c>
    </row>
    <row r="136">
      <c r="B136" s="7" t="s">
        <v>78</v>
      </c>
      <c r="D136" s="30">
        <f>D134-C134</f>
        <v>0.05099999999999999</v>
      </c>
      <c r="E136" s="30">
        <f>E134-D134</f>
        <v>0.36300000000000004</v>
      </c>
      <c r="F136" s="30">
        <f>F134-E134</f>
        <v>0.03199999999999992</v>
      </c>
      <c r="G136" s="30">
        <f>G134-F134</f>
        <v>-0.06599999999999995</v>
      </c>
      <c r="H136" s="30">
        <f>H134-G134</f>
        <v>-0.269</v>
      </c>
      <c r="J136" s="40">
        <f>J134-H134</f>
        <v>0.139</v>
      </c>
    </row>
    <row r="137">
      <c r="B137" s="5" t="s">
        <v>381</v>
      </c>
      <c r="C137" s="17">
        <f>C132+C133+C134</f>
        <v>22.208000000000002</v>
      </c>
      <c r="D137" s="17">
        <f>D132+D133+D134</f>
        <v>31.273</v>
      </c>
      <c r="E137" s="17">
        <f>E132+E133+E134</f>
        <v>35.332</v>
      </c>
      <c r="F137" s="17">
        <f>F132+F133+F134</f>
        <v>66.09</v>
      </c>
      <c r="G137" s="17">
        <f>G132+G133+G134</f>
        <v>147.47299999999998</v>
      </c>
      <c r="H137" s="17">
        <f>H132+H133+H134</f>
        <v>141.364</v>
      </c>
      <c r="I137" s="17">
        <f>I132+I133+I134</f>
        <v>154.90300000000002</v>
      </c>
      <c r="J137" s="63">
        <f>J132+J133+J134</f>
        <v>172.5</v>
      </c>
    </row>
    <row r="138">
      <c r="B138" s="28" t="s">
        <v>194</v>
      </c>
      <c r="C138" s="21">
        <f>C137/'Income Statement'!C9</f>
        <v>0.012126997093845527</v>
      </c>
      <c r="D138" s="21">
        <f>D137/'Income Statement'!D9</f>
        <v>0.014389512078070453</v>
      </c>
      <c r="E138" s="21">
        <f>E137/'Income Statement'!E9</f>
        <v>0.01441552300335092</v>
      </c>
      <c r="F138" s="21">
        <f>F137/'Income Statement'!F9</f>
        <v>0.024976691822240337</v>
      </c>
      <c r="G138" s="21">
        <f>G137/'Income Statement'!G9</f>
        <v>0.05146803232574794</v>
      </c>
      <c r="H138" s="21">
        <f>H137/'Income Statement'!H9</f>
        <v>0.04328808668151208</v>
      </c>
      <c r="I138" s="21">
        <f>I137/'Income Statement'!I9</f>
        <v>0.017019238618618336</v>
      </c>
      <c r="J138" s="86">
        <f>J137/'Income Statement'!J9</f>
        <v>0.04993323532760177</v>
      </c>
    </row>
    <row r="139">
      <c r="B139" s="7" t="s">
        <v>190</v>
      </c>
      <c r="G139" s="42">
        <f>(G138-C138)*10000</f>
        <v>393.4103523190241</v>
      </c>
      <c r="H139" s="42">
        <f>(H138-D138)*10000</f>
        <v>288.98574603441625</v>
      </c>
      <c r="J139" s="54">
        <f>(J138-E138)*10000</f>
        <v>355.17712324250857</v>
      </c>
    </row>
    <row r="140">
      <c r="B140" s="7" t="s">
        <v>191</v>
      </c>
      <c r="D140" s="42">
        <f>(D138-C138)*10000</f>
        <v>22.625149842249257</v>
      </c>
      <c r="E140" s="42">
        <f>(E138-D138)*10000</f>
        <v>0.2601092528046675</v>
      </c>
      <c r="F140" s="42">
        <f>(F138-E138)*10000</f>
        <v>105.61168818889418</v>
      </c>
      <c r="G140" s="42">
        <f>(G138-F138)*10000</f>
        <v>264.91340503507604</v>
      </c>
      <c r="H140" s="42">
        <f>(H138-G138)*10000</f>
        <v>-81.7994564423586</v>
      </c>
      <c r="J140" s="54">
        <f>(J138-H138)*10000</f>
        <v>66.45148646089692</v>
      </c>
    </row>
    <row r="141">
      <c r="B141" s="7" t="s">
        <v>382</v>
      </c>
      <c r="C141" s="30">
        <f>C137+C66</f>
        <v>0.000000000000003552713678800501</v>
      </c>
      <c r="D141" s="30">
        <f>D137+D66</f>
        <v>-0.000000000000003552713678800501</v>
      </c>
      <c r="E141" s="30">
        <f>E137+E66</f>
        <v>0</v>
      </c>
      <c r="F141" s="30">
        <f>F137+F66</f>
        <v>0.000000000000014210854715202004</v>
      </c>
      <c r="G141" s="30">
        <f>G137+G66</f>
        <v>-0.00000000000002842170943040401</v>
      </c>
      <c r="H141" s="30">
        <f>H137+H66</f>
        <v>0.00000000000002842170943040401</v>
      </c>
      <c r="I141" s="30">
        <f>I137+I66</f>
        <v>0.00000000000002842170943040401</v>
      </c>
      <c r="J141" s="40">
        <f>J137+J66</f>
        <v>0</v>
      </c>
    </row>
    <row r="142">
      <c r="J142" s="51"/>
    </row>
    <row r="143">
      <c r="B143" s="5" t="s">
        <v>383</v>
      </c>
      <c r="J143" s="51"/>
    </row>
    <row r="144">
      <c r="B144" s="28" t="s">
        <v>384</v>
      </c>
      <c r="C144" s="11" t="s">
        <v>385</v>
      </c>
      <c r="D144" s="11" t="s">
        <v>386</v>
      </c>
      <c r="E144" s="11" t="s">
        <v>387</v>
      </c>
      <c r="F144" s="11" t="s">
        <v>388</v>
      </c>
      <c r="G144" s="11" t="s">
        <v>389</v>
      </c>
      <c r="H144" s="11" t="s">
        <v>390</v>
      </c>
      <c r="J144" s="51"/>
    </row>
    <row r="145">
      <c r="B145" s="7" t="s">
        <v>391</v>
      </c>
      <c r="C145" s="18">
        <v>169.289</v>
      </c>
      <c r="D145" s="18">
        <v>400.137</v>
      </c>
      <c r="E145" s="18">
        <v>691.752</v>
      </c>
      <c r="F145" s="18">
        <v>1022.558</v>
      </c>
      <c r="G145" s="18">
        <v>370.378</v>
      </c>
      <c r="H145" s="18">
        <v>811.98</v>
      </c>
      <c r="J145" s="51"/>
    </row>
    <row r="146">
      <c r="B146" s="7" t="s">
        <v>392</v>
      </c>
      <c r="C146" s="18">
        <v>20.115</v>
      </c>
      <c r="D146" s="18">
        <v>39.906</v>
      </c>
      <c r="E146" s="18">
        <v>59.432</v>
      </c>
      <c r="F146" s="18">
        <v>79.58</v>
      </c>
      <c r="G146" s="18">
        <v>20.394</v>
      </c>
      <c r="H146" s="18">
        <v>43.668</v>
      </c>
      <c r="J146" s="51"/>
    </row>
    <row r="147">
      <c r="B147" s="7" t="s">
        <v>393</v>
      </c>
      <c r="C147" s="18">
        <v>14.01</v>
      </c>
      <c r="D147" s="18">
        <v>28.866</v>
      </c>
      <c r="E147" s="18">
        <v>44.914</v>
      </c>
      <c r="F147" s="18">
        <v>62.379</v>
      </c>
      <c r="G147" s="18">
        <v>18.566</v>
      </c>
      <c r="H147" s="18">
        <v>38.602</v>
      </c>
      <c r="J147" s="51"/>
    </row>
    <row r="148">
      <c r="B148" s="7" t="s">
        <v>394</v>
      </c>
      <c r="C148" s="18">
        <v>7.658</v>
      </c>
      <c r="D148" s="18">
        <v>14.968</v>
      </c>
      <c r="E148" s="18">
        <v>22.535</v>
      </c>
      <c r="F148" s="18">
        <v>33.848</v>
      </c>
      <c r="G148" s="18">
        <v>12.668</v>
      </c>
      <c r="H148" s="18">
        <v>23.719</v>
      </c>
      <c r="J148" s="51"/>
    </row>
    <row r="149">
      <c r="B149" s="7" t="s">
        <v>395</v>
      </c>
      <c r="C149" s="18">
        <v>1.38</v>
      </c>
      <c r="D149" s="18">
        <v>3.688</v>
      </c>
      <c r="E149" s="18">
        <v>5.617</v>
      </c>
      <c r="F149" s="18">
        <v>6.609</v>
      </c>
      <c r="G149" s="18">
        <v>0.838</v>
      </c>
      <c r="H149" s="18">
        <v>4.328</v>
      </c>
      <c r="J149" s="51"/>
    </row>
    <row r="150">
      <c r="B150" s="7" t="s">
        <v>396</v>
      </c>
      <c r="C150" s="18">
        <v>2.032</v>
      </c>
      <c r="D150" s="18">
        <v>1.097</v>
      </c>
      <c r="E150" s="18">
        <v>7.537</v>
      </c>
      <c r="F150" s="18">
        <v>-5.277</v>
      </c>
      <c r="G150" s="18">
        <v>0.956</v>
      </c>
      <c r="H150" s="18">
        <v>3.219</v>
      </c>
      <c r="J150" s="51"/>
    </row>
    <row r="151">
      <c r="B151" s="7" t="s">
        <v>397</v>
      </c>
      <c r="C151" s="18">
        <v>0.169</v>
      </c>
      <c r="D151" s="18">
        <v>0.34</v>
      </c>
      <c r="E151" s="18">
        <v>0.786</v>
      </c>
      <c r="F151" s="18">
        <v>1.018</v>
      </c>
      <c r="G151" s="18">
        <v>0.232</v>
      </c>
      <c r="H151" s="18">
        <v>0.464</v>
      </c>
      <c r="J151" s="51"/>
    </row>
    <row r="152">
      <c r="B152" s="7" t="s">
        <v>398</v>
      </c>
      <c r="C152" s="18">
        <v>-0.556</v>
      </c>
      <c r="D152" s="18">
        <v>-0.998</v>
      </c>
      <c r="E152" s="18">
        <v>-1.58</v>
      </c>
      <c r="F152" s="18">
        <v>-1.974</v>
      </c>
      <c r="G152" s="18">
        <v>-0.302</v>
      </c>
      <c r="H152" s="18">
        <v>-1.087</v>
      </c>
      <c r="J152" s="51"/>
    </row>
    <row r="153">
      <c r="B153" s="7" t="s">
        <v>399</v>
      </c>
      <c r="C153" s="18">
        <v>3.758</v>
      </c>
      <c r="D153" s="18">
        <v>7.831</v>
      </c>
      <c r="E153" s="18">
        <v>19.934</v>
      </c>
      <c r="F153" s="18">
        <v>33.473</v>
      </c>
      <c r="G153" s="18">
        <v>10.37</v>
      </c>
      <c r="H153" s="18">
        <v>12.415</v>
      </c>
      <c r="J153" s="51"/>
    </row>
    <row r="154">
      <c r="B154" s="7" t="s">
        <v>400</v>
      </c>
      <c r="C154" s="18">
        <v>8.037</v>
      </c>
      <c r="D154" s="18">
        <v>12.193</v>
      </c>
      <c r="E154" s="18">
        <v>15.746</v>
      </c>
      <c r="F154" s="18">
        <v>21.809</v>
      </c>
      <c r="G154" s="18">
        <v>19.406</v>
      </c>
      <c r="H154" s="18">
        <v>28.612</v>
      </c>
      <c r="J154" s="51"/>
    </row>
    <row r="155">
      <c r="B155" s="7" t="s">
        <v>401</v>
      </c>
      <c r="C155" s="18">
        <v>48.265</v>
      </c>
      <c r="D155" s="18">
        <v>-239.68</v>
      </c>
      <c r="E155" s="18">
        <v>-378.644</v>
      </c>
      <c r="F155" s="18">
        <v>-594.298</v>
      </c>
      <c r="G155" s="18">
        <v>-214.734</v>
      </c>
      <c r="H155" s="18">
        <v>-633.131</v>
      </c>
      <c r="J155" s="51"/>
    </row>
    <row r="156">
      <c r="B156" s="7" t="s">
        <v>402</v>
      </c>
      <c r="C156" s="18">
        <v>-3.821</v>
      </c>
      <c r="D156" s="18">
        <v>-11.42</v>
      </c>
      <c r="E156" s="18">
        <v>-19.518</v>
      </c>
      <c r="F156" s="18">
        <v>-24.411</v>
      </c>
      <c r="G156" s="18">
        <v>-9.881</v>
      </c>
      <c r="H156" s="18">
        <v>-20.738</v>
      </c>
      <c r="J156" s="51"/>
    </row>
    <row r="157">
      <c r="B157" s="7" t="s">
        <v>403</v>
      </c>
      <c r="C157" s="18">
        <v>-2.044</v>
      </c>
      <c r="D157" s="18">
        <v>3.817</v>
      </c>
      <c r="E157" s="18">
        <v>-13.228</v>
      </c>
      <c r="F157" s="18">
        <v>-91.359</v>
      </c>
      <c r="G157" s="18">
        <v>-15.666</v>
      </c>
      <c r="H157" s="18">
        <v>-0.003</v>
      </c>
      <c r="J157" s="51"/>
    </row>
    <row r="158">
      <c r="B158" s="7" t="s">
        <v>404</v>
      </c>
      <c r="C158" s="18">
        <v>-150.1</v>
      </c>
      <c r="D158" s="18">
        <v>-163.567</v>
      </c>
      <c r="E158" s="18">
        <v>-119.619</v>
      </c>
      <c r="F158" s="18">
        <v>-19.945</v>
      </c>
      <c r="G158" s="18">
        <v>-52.575</v>
      </c>
      <c r="H158" s="18">
        <v>-49.629</v>
      </c>
      <c r="J158" s="51"/>
    </row>
    <row r="159">
      <c r="B159" s="7" t="s">
        <v>405</v>
      </c>
      <c r="C159" s="18">
        <v>0.024</v>
      </c>
      <c r="D159" s="18">
        <v>0.135</v>
      </c>
      <c r="E159" s="18">
        <v>-0.567</v>
      </c>
      <c r="F159" s="18">
        <v>-0.386</v>
      </c>
      <c r="G159" s="18">
        <v>-0.597</v>
      </c>
      <c r="H159" s="18">
        <v>-3.129</v>
      </c>
      <c r="J159" s="51"/>
    </row>
    <row r="160">
      <c r="B160" s="7" t="s">
        <v>406</v>
      </c>
      <c r="C160" s="18">
        <v>-312.499</v>
      </c>
      <c r="D160" s="18">
        <v>-320.13</v>
      </c>
      <c r="E160" s="18">
        <v>-194.715</v>
      </c>
      <c r="F160" s="18">
        <v>-276.051</v>
      </c>
      <c r="G160" s="18">
        <v>4.879</v>
      </c>
      <c r="H160" s="18">
        <v>215.497</v>
      </c>
      <c r="J160" s="51"/>
    </row>
    <row r="161">
      <c r="B161" s="7" t="s">
        <v>407</v>
      </c>
      <c r="C161" s="18">
        <v>103.063</v>
      </c>
      <c r="D161" s="18">
        <v>376.78</v>
      </c>
      <c r="E161" s="18">
        <v>564.746</v>
      </c>
      <c r="F161" s="18">
        <v>910.084</v>
      </c>
      <c r="G161" s="18">
        <v>225.017</v>
      </c>
      <c r="H161" s="18">
        <v>1061.506</v>
      </c>
      <c r="J161" s="51"/>
    </row>
    <row r="162">
      <c r="B162" s="7" t="s">
        <v>408</v>
      </c>
      <c r="C162" s="18">
        <v>3.27</v>
      </c>
      <c r="D162" s="18">
        <v>10.582</v>
      </c>
      <c r="E162" s="18">
        <v>12.688</v>
      </c>
      <c r="F162" s="18">
        <v>28.699</v>
      </c>
      <c r="G162" s="18">
        <v>-1.121</v>
      </c>
      <c r="H162" s="18">
        <v>-8.039</v>
      </c>
      <c r="J162" s="51"/>
    </row>
    <row r="163">
      <c r="B163" s="5" t="s">
        <v>409</v>
      </c>
      <c r="C163" s="67">
        <v>-87.95</v>
      </c>
      <c r="D163" s="67">
        <v>164.545</v>
      </c>
      <c r="E163" s="67">
        <v>717.816</v>
      </c>
      <c r="F163" s="67">
        <v>1186.356</v>
      </c>
      <c r="G163" s="67">
        <v>388.828</v>
      </c>
      <c r="H163" s="67">
        <v>1528.254</v>
      </c>
      <c r="I163" s="90"/>
      <c r="J163" s="89"/>
    </row>
    <row r="164">
      <c r="B164" s="7" t="s">
        <v>410</v>
      </c>
      <c r="C164" s="30">
        <f>SUM(C145:C162)-C163</f>
        <v>0</v>
      </c>
      <c r="D164" s="30">
        <f>SUM(D145:D162)-D163</f>
        <v>0</v>
      </c>
      <c r="E164" s="30">
        <f>SUM(E145:E162)-E163</f>
        <v>0</v>
      </c>
      <c r="F164" s="30">
        <f>SUM(F145:F162)-F163</f>
        <v>0</v>
      </c>
      <c r="G164" s="30">
        <f>SUM(G145:G162)-G163</f>
        <v>0</v>
      </c>
      <c r="H164" s="30">
        <f>SUM(H145:H162)-H163</f>
        <v>0</v>
      </c>
      <c r="J164" s="51"/>
    </row>
    <row r="165">
      <c r="B165" s="7" t="s">
        <v>411</v>
      </c>
      <c r="C165" s="18">
        <v>-22.208</v>
      </c>
      <c r="D165" s="18">
        <v>-53.481</v>
      </c>
      <c r="E165" s="18">
        <v>-88.813</v>
      </c>
      <c r="F165" s="18">
        <v>-154.903</v>
      </c>
      <c r="G165" s="18">
        <v>-147.473</v>
      </c>
      <c r="H165" s="18">
        <v>-288.837</v>
      </c>
      <c r="J165" s="51"/>
    </row>
    <row r="166">
      <c r="B166" s="7" t="s">
        <v>412</v>
      </c>
      <c r="C166" s="18">
        <v>1.095</v>
      </c>
      <c r="D166" s="18">
        <v>2.064</v>
      </c>
      <c r="E166" s="18">
        <v>3.152</v>
      </c>
      <c r="F166" s="18">
        <v>3.695</v>
      </c>
      <c r="G166" s="18">
        <v>0.874</v>
      </c>
      <c r="H166" s="18">
        <v>2.132</v>
      </c>
      <c r="J166" s="51"/>
    </row>
    <row r="167">
      <c r="B167" s="7" t="s">
        <v>413</v>
      </c>
      <c r="C167" s="18">
        <v>-68.412</v>
      </c>
      <c r="D167" s="18">
        <v>-124.093</v>
      </c>
      <c r="E167" s="18">
        <v>-128.594</v>
      </c>
      <c r="F167" s="18">
        <v>-279.61</v>
      </c>
      <c r="G167" s="18">
        <v>-6.097</v>
      </c>
      <c r="H167" s="18">
        <v>-162.845</v>
      </c>
      <c r="J167" s="51"/>
    </row>
    <row r="168">
      <c r="B168" s="7" t="s">
        <v>414</v>
      </c>
      <c r="C168" s="18">
        <v>-7.258</v>
      </c>
      <c r="D168" s="18">
        <v>-7.478</v>
      </c>
      <c r="E168" s="18">
        <v>-28.999</v>
      </c>
      <c r="F168" s="18">
        <v>-64.201</v>
      </c>
      <c r="G168" s="18">
        <v>-45.071</v>
      </c>
      <c r="H168" s="18">
        <v>-66.123</v>
      </c>
      <c r="J168" s="51"/>
    </row>
    <row r="169">
      <c r="B169" s="7" t="s">
        <v>415</v>
      </c>
      <c r="C169" s="18">
        <v>0</v>
      </c>
      <c r="D169" s="18">
        <v>0</v>
      </c>
      <c r="E169" s="18">
        <v>7.258</v>
      </c>
      <c r="F169" s="18">
        <v>27.747</v>
      </c>
      <c r="G169" s="18">
        <v>13.766</v>
      </c>
      <c r="H169" s="18">
        <v>48.209</v>
      </c>
      <c r="J169" s="51"/>
    </row>
    <row r="170">
      <c r="B170" s="5" t="s">
        <v>416</v>
      </c>
      <c r="C170" s="67">
        <v>-96.783</v>
      </c>
      <c r="D170" s="67">
        <v>-182.988</v>
      </c>
      <c r="E170" s="67">
        <v>-235.996</v>
      </c>
      <c r="F170" s="67">
        <v>-467.272</v>
      </c>
      <c r="G170" s="67">
        <v>-184.001</v>
      </c>
      <c r="H170" s="67">
        <v>-467.464</v>
      </c>
      <c r="I170" s="90"/>
      <c r="J170" s="89"/>
    </row>
    <row r="171">
      <c r="B171" s="7" t="s">
        <v>410</v>
      </c>
      <c r="C171" s="30">
        <f>SUM(C165:C169)-C170</f>
        <v>0</v>
      </c>
      <c r="D171" s="30">
        <f>SUM(D165:D169)-D170</f>
        <v>0</v>
      </c>
      <c r="E171" s="30">
        <f>SUM(E165:E169)-E170</f>
        <v>0</v>
      </c>
      <c r="F171" s="30">
        <f>SUM(F165:F169)-F170</f>
        <v>0</v>
      </c>
      <c r="G171" s="30">
        <f>SUM(G165:G169)-G170</f>
        <v>0</v>
      </c>
      <c r="H171" s="30">
        <f>SUM(H165:H169)-H170</f>
        <v>0</v>
      </c>
      <c r="J171" s="51"/>
    </row>
    <row r="172">
      <c r="B172" s="7" t="s">
        <v>417</v>
      </c>
      <c r="C172" s="18">
        <v>0</v>
      </c>
      <c r="D172" s="18">
        <v>0</v>
      </c>
      <c r="E172" s="18">
        <v>200</v>
      </c>
      <c r="F172" s="18">
        <v>200</v>
      </c>
      <c r="G172" s="18">
        <v>0</v>
      </c>
      <c r="H172" s="18">
        <v>0</v>
      </c>
      <c r="J172" s="51"/>
    </row>
    <row r="173">
      <c r="B173" s="7" t="s">
        <v>418</v>
      </c>
      <c r="C173" s="18">
        <v>0</v>
      </c>
      <c r="D173" s="18">
        <v>0</v>
      </c>
      <c r="E173" s="18">
        <v>-100</v>
      </c>
      <c r="F173" s="18">
        <v>-100</v>
      </c>
      <c r="G173" s="18">
        <v>-100</v>
      </c>
      <c r="H173" s="18">
        <v>-100</v>
      </c>
      <c r="J173" s="51"/>
    </row>
    <row r="174">
      <c r="B174" s="7" t="s">
        <v>419</v>
      </c>
      <c r="C174" s="18">
        <v>-5.993</v>
      </c>
      <c r="D174" s="18">
        <v>-6.015</v>
      </c>
      <c r="E174" s="18">
        <v>-43.037</v>
      </c>
      <c r="F174" s="18">
        <v>-43.059</v>
      </c>
      <c r="G174" s="18">
        <v>-6.147</v>
      </c>
      <c r="H174" s="18">
        <v>-10.097</v>
      </c>
      <c r="J174" s="51"/>
    </row>
    <row r="175">
      <c r="B175" s="7" t="s">
        <v>420</v>
      </c>
      <c r="C175" s="18">
        <v>0</v>
      </c>
      <c r="D175" s="18">
        <v>0</v>
      </c>
      <c r="E175" s="18">
        <v>-3.709</v>
      </c>
      <c r="F175" s="18">
        <v>-3.709</v>
      </c>
      <c r="G175" s="18">
        <v>0</v>
      </c>
      <c r="H175" s="18">
        <v>0</v>
      </c>
      <c r="J175" s="51"/>
    </row>
    <row r="176">
      <c r="B176" s="7" t="s">
        <v>421</v>
      </c>
      <c r="C176" s="18">
        <v>-14.162</v>
      </c>
      <c r="D176" s="18">
        <v>-30.033</v>
      </c>
      <c r="E176" s="18">
        <v>-47.674</v>
      </c>
      <c r="F176" s="18">
        <v>-68.833</v>
      </c>
      <c r="G176" s="18">
        <v>-24.623</v>
      </c>
      <c r="H176" s="18">
        <v>-52.785</v>
      </c>
      <c r="J176" s="51"/>
    </row>
    <row r="177">
      <c r="B177" s="7" t="s">
        <v>422</v>
      </c>
      <c r="C177" s="18">
        <v>-91.369</v>
      </c>
      <c r="D177" s="18">
        <v>-111.29</v>
      </c>
      <c r="E177" s="18">
        <v>-124.426</v>
      </c>
      <c r="F177" s="18">
        <v>-215.999</v>
      </c>
      <c r="G177" s="18">
        <v>-2.548</v>
      </c>
      <c r="H177" s="18">
        <v>-8.232</v>
      </c>
      <c r="J177" s="51"/>
    </row>
    <row r="178">
      <c r="B178" s="7" t="s">
        <v>423</v>
      </c>
      <c r="C178" s="18">
        <v>-2.622</v>
      </c>
      <c r="D178" s="18">
        <v>-6.599</v>
      </c>
      <c r="E178" s="18">
        <v>-6.881</v>
      </c>
      <c r="F178" s="18">
        <v>-10.016</v>
      </c>
      <c r="G178" s="18">
        <v>-3.125</v>
      </c>
      <c r="H178" s="18">
        <v>-16.662</v>
      </c>
      <c r="J178" s="51"/>
    </row>
    <row r="179">
      <c r="B179" s="7" t="s">
        <v>424</v>
      </c>
      <c r="C179" s="18">
        <v>0</v>
      </c>
      <c r="D179" s="18">
        <v>0.453</v>
      </c>
      <c r="E179" s="18">
        <v>0.793</v>
      </c>
      <c r="F179" s="18">
        <v>0.793</v>
      </c>
      <c r="G179" s="18">
        <v>0.383</v>
      </c>
      <c r="H179" s="18">
        <v>0.383</v>
      </c>
      <c r="J179" s="51"/>
    </row>
    <row r="180">
      <c r="B180" s="7" t="s">
        <v>425</v>
      </c>
      <c r="C180" s="18">
        <v>-46.302</v>
      </c>
      <c r="D180" s="18">
        <v>-46.302</v>
      </c>
      <c r="E180" s="18">
        <v>-46.302</v>
      </c>
      <c r="F180" s="18">
        <v>-46.302</v>
      </c>
      <c r="G180" s="18">
        <v>-0.501</v>
      </c>
      <c r="H180" s="18">
        <v>-0.501</v>
      </c>
      <c r="J180" s="51"/>
    </row>
    <row r="181">
      <c r="B181" s="5" t="s">
        <v>426</v>
      </c>
      <c r="C181" s="67">
        <v>-160.448</v>
      </c>
      <c r="D181" s="67">
        <v>-199.786</v>
      </c>
      <c r="E181" s="67">
        <v>-171.236</v>
      </c>
      <c r="F181" s="67">
        <v>-287.125</v>
      </c>
      <c r="G181" s="67">
        <v>-136.561</v>
      </c>
      <c r="H181" s="67">
        <v>-187.894</v>
      </c>
      <c r="I181" s="90"/>
      <c r="J181" s="89"/>
    </row>
    <row r="182">
      <c r="B182" s="7" t="s">
        <v>410</v>
      </c>
      <c r="C182" s="30">
        <f>SUM(C172:C180)-C181</f>
        <v>0</v>
      </c>
      <c r="D182" s="30">
        <f>SUM(D172:D180)-D181</f>
        <v>0</v>
      </c>
      <c r="E182" s="30">
        <f>SUM(E172:E180)-E181</f>
        <v>0</v>
      </c>
      <c r="F182" s="30">
        <f>SUM(F172:F180)-F181</f>
        <v>0</v>
      </c>
      <c r="G182" s="30">
        <f>SUM(G172:G180)-G181</f>
        <v>0</v>
      </c>
      <c r="H182" s="30">
        <f>SUM(H172:H180)-H181</f>
        <v>0</v>
      </c>
      <c r="J182" s="51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B1:L4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2" customWidth="1"/>
    <col min="12" max="12" width="60" customWidth="1"/>
  </cols>
  <sheetData>
    <row r="1">
      <c r="B1" s="33" t="s">
        <v>0</v>
      </c>
    </row>
    <row r="2">
      <c r="B2" s="35" t="s">
        <v>427</v>
      </c>
    </row>
    <row r="3">
      <c r="B3" s="27" t="s">
        <v>2</v>
      </c>
    </row>
    <row r="4">
      <c r="B4" s="32" t="s">
        <v>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12" t="s">
        <v>70</v>
      </c>
      <c r="J4" s="12" t="s">
        <v>4</v>
      </c>
    </row>
    <row r="5">
      <c r="B5" s="19" t="s">
        <v>5</v>
      </c>
      <c r="C5" s="20">
        <f>DATE(2025,3,31)</f>
        <v>45747</v>
      </c>
      <c r="D5" s="20">
        <f>DATE(2025,6,30)</f>
        <v>45838</v>
      </c>
      <c r="E5" s="20">
        <f>DATE(2025,9,30)</f>
        <v>45930</v>
      </c>
      <c r="F5" s="20">
        <f>DATE(2025,12,31)</f>
        <v>46022</v>
      </c>
      <c r="G5" s="20">
        <f>DATE(2026,3,31)</f>
        <v>46112</v>
      </c>
      <c r="H5" s="20">
        <f>DATE(2026,6,30)</f>
        <v>46203</v>
      </c>
      <c r="I5" s="20">
        <f>DATE(2025,12,31)</f>
        <v>46022</v>
      </c>
      <c r="J5" s="20">
        <f>DATE(2026,9,30)</f>
        <v>46295</v>
      </c>
    </row>
    <row r="6">
      <c r="B6" s="29" t="s">
        <v>6</v>
      </c>
      <c r="C6" s="14">
        <f>C5-EOMONTH(C5,-3)</f>
        <v>90</v>
      </c>
      <c r="D6" s="14">
        <f>D5-EOMONTH(D5,-3)</f>
        <v>91</v>
      </c>
      <c r="E6" s="14">
        <f>E5-EOMONTH(E5,-3)</f>
        <v>92</v>
      </c>
      <c r="F6" s="14">
        <f>F5-EOMONTH(F5,-3)</f>
        <v>92</v>
      </c>
      <c r="G6" s="14">
        <f>G5-EOMONTH(G5,-3)</f>
        <v>90</v>
      </c>
      <c r="H6" s="14">
        <f>H5-EOMONTH(H5,-3)</f>
        <v>91</v>
      </c>
      <c r="I6" s="14">
        <f>I5-EOMONTH(I5,-12)</f>
        <v>365</v>
      </c>
      <c r="J6" s="14">
        <f>J5-EOMONTH(J5,-3)</f>
        <v>92</v>
      </c>
    </row>
    <row r="8">
      <c r="B8" s="5" t="s">
        <v>428</v>
      </c>
      <c r="J8" s="51"/>
    </row>
    <row r="9">
      <c r="B9" s="7" t="s">
        <v>429</v>
      </c>
      <c r="C9" s="38">
        <v>41.123365</v>
      </c>
      <c r="D9" s="38">
        <v>41.123365</v>
      </c>
      <c r="E9" s="38">
        <v>41.123365</v>
      </c>
      <c r="F9" s="38">
        <v>41.123365</v>
      </c>
      <c r="G9" s="38">
        <v>41.123365</v>
      </c>
      <c r="H9" s="38">
        <v>41.123365</v>
      </c>
      <c r="I9" s="39">
        <f>F9</f>
        <v>41.123365</v>
      </c>
      <c r="J9" s="45">
        <f>H9</f>
        <v>41.123365</v>
      </c>
    </row>
    <row r="10">
      <c r="B10" s="7" t="s">
        <v>430</v>
      </c>
      <c r="C10" s="38">
        <v>5.815389</v>
      </c>
      <c r="D10" s="38">
        <v>5.841913</v>
      </c>
      <c r="E10" s="38">
        <v>5.851415</v>
      </c>
      <c r="F10" s="38">
        <v>5.946145</v>
      </c>
      <c r="G10" s="38">
        <v>5.936242</v>
      </c>
      <c r="H10" s="38">
        <v>5.923156</v>
      </c>
      <c r="I10" s="39">
        <f>F10</f>
        <v>5.946145</v>
      </c>
      <c r="J10" s="45">
        <f>H10+J16</f>
        <v>5.926630466148276</v>
      </c>
      <c r="L10" s="31" t="s">
        <v>431</v>
      </c>
    </row>
    <row r="11">
      <c r="B11" s="5" t="s">
        <v>432</v>
      </c>
      <c r="C11" s="46">
        <f>C9-C10</f>
        <v>35.307976</v>
      </c>
      <c r="D11" s="46">
        <f>D9-D10</f>
        <v>35.281452</v>
      </c>
      <c r="E11" s="46">
        <f>E9-E10</f>
        <v>35.27195</v>
      </c>
      <c r="F11" s="46">
        <f>F9-F10</f>
        <v>35.17722</v>
      </c>
      <c r="G11" s="46">
        <f>G9-G10</f>
        <v>35.187123</v>
      </c>
      <c r="H11" s="46">
        <f>H9-H10</f>
        <v>35.200209</v>
      </c>
      <c r="I11" s="46">
        <f>I9-I10</f>
        <v>35.17722</v>
      </c>
      <c r="J11" s="47">
        <f>J9-J10</f>
        <v>35.196734533851725</v>
      </c>
    </row>
    <row r="12">
      <c r="B12" s="7" t="s">
        <v>433</v>
      </c>
      <c r="D12" s="39">
        <f>D11-C11</f>
        <v>-0.026523999999994885</v>
      </c>
      <c r="E12" s="39">
        <f>E11-D11</f>
        <v>-0.009502000000004784</v>
      </c>
      <c r="F12" s="39">
        <f>F11-E11</f>
        <v>-0.09472999999999843</v>
      </c>
      <c r="G12" s="39">
        <f>G11-F11</f>
        <v>0.009903000000001327</v>
      </c>
      <c r="H12" s="39">
        <f>H11-G11</f>
        <v>0.013086000000001263</v>
      </c>
      <c r="J12" s="45">
        <f>J11-H11</f>
        <v>-0.0034744661482761785</v>
      </c>
    </row>
    <row r="13">
      <c r="B13" s="7" t="s">
        <v>434</v>
      </c>
      <c r="G13" s="39">
        <f>G11-C11</f>
        <v>-0.12085299999999677</v>
      </c>
      <c r="H13" s="39">
        <f>H11-D11</f>
        <v>-0.08124300000000062</v>
      </c>
      <c r="J13" s="45">
        <f>J11-E11</f>
        <v>-0.07521546614827201</v>
      </c>
    </row>
    <row r="14">
      <c r="J14" s="51"/>
    </row>
    <row r="15">
      <c r="B15" s="5" t="s">
        <v>435</v>
      </c>
      <c r="J15" s="51"/>
    </row>
    <row r="16">
      <c r="B16" s="7" t="s">
        <v>436</v>
      </c>
      <c r="C16" s="38">
        <v>0.264054</v>
      </c>
      <c r="D16" s="38">
        <v>0.062378</v>
      </c>
      <c r="E16" s="38">
        <v>0.018955</v>
      </c>
      <c r="F16" s="39">
        <f>I16-SUM(C16:E16)</f>
        <v>0.09978500000000001</v>
      </c>
      <c r="G16" s="38">
        <v>0.002553</v>
      </c>
      <c r="H16" s="38">
        <v>0.003171</v>
      </c>
      <c r="I16" s="38">
        <v>0.445172</v>
      </c>
      <c r="J16" s="45">
        <f>J19/J22</f>
        <v>0.0034744661482763177</v>
      </c>
    </row>
    <row r="17">
      <c r="B17" s="7" t="s">
        <v>434</v>
      </c>
      <c r="G17" s="39">
        <f>G16-C16</f>
        <v>-0.261501</v>
      </c>
      <c r="H17" s="39">
        <f>H16-D16</f>
        <v>-0.059207</v>
      </c>
      <c r="J17" s="45">
        <f>J16-E16</f>
        <v>-0.015480533851723682</v>
      </c>
    </row>
    <row r="18">
      <c r="B18" s="7" t="s">
        <v>433</v>
      </c>
      <c r="D18" s="39">
        <f>D16-C16</f>
        <v>-0.20167600000000002</v>
      </c>
      <c r="E18" s="39">
        <f>E16-D16</f>
        <v>-0.043423</v>
      </c>
      <c r="F18" s="39">
        <f>F16-E16</f>
        <v>0.08083000000000001</v>
      </c>
      <c r="G18" s="39">
        <f>G16-F16</f>
        <v>-0.09723200000000001</v>
      </c>
      <c r="H18" s="39">
        <f>H16-G16</f>
        <v>0.0006180000000000001</v>
      </c>
      <c r="J18" s="45">
        <f>J16-H16</f>
        <v>0.0003034661482763175</v>
      </c>
    </row>
    <row r="19">
      <c r="B19" s="7" t="s">
        <v>437</v>
      </c>
      <c r="C19" s="4">
        <f>-'Cash Flow Statement'!C99</f>
        <v>91.369</v>
      </c>
      <c r="D19" s="4">
        <f>-'Cash Flow Statement'!D99</f>
        <v>19.921000000000006</v>
      </c>
      <c r="E19" s="4">
        <f>-'Cash Flow Statement'!E99</f>
        <v>13.135999999999996</v>
      </c>
      <c r="F19" s="4">
        <f>-'Cash Flow Statement'!F99</f>
        <v>91.573</v>
      </c>
      <c r="G19" s="4">
        <f>-'Cash Flow Statement'!G99</f>
        <v>2.548</v>
      </c>
      <c r="H19" s="4">
        <f>-'Cash Flow Statement'!H99</f>
        <v>5.683999999999999</v>
      </c>
      <c r="I19" s="4">
        <f>-'Cash Flow Statement'!I99</f>
        <v>215.999</v>
      </c>
      <c r="J19" s="48">
        <v>5</v>
      </c>
      <c r="L19" s="31" t="s">
        <v>438</v>
      </c>
    </row>
    <row r="20">
      <c r="B20" s="7" t="s">
        <v>87</v>
      </c>
      <c r="G20" s="30">
        <f>G19-C19</f>
        <v>-88.821</v>
      </c>
      <c r="H20" s="30">
        <f>H19-D19</f>
        <v>-14.237000000000007</v>
      </c>
      <c r="J20" s="40">
        <f>J19-E19</f>
        <v>-8.135999999999996</v>
      </c>
    </row>
    <row r="21">
      <c r="B21" s="7" t="s">
        <v>78</v>
      </c>
      <c r="D21" s="30">
        <f>D19-C19</f>
        <v>-71.448</v>
      </c>
      <c r="E21" s="30">
        <f>E19-D19</f>
        <v>-6.785000000000011</v>
      </c>
      <c r="F21" s="30">
        <f>F19-E19</f>
        <v>78.437</v>
      </c>
      <c r="G21" s="30">
        <f>G19-F19</f>
        <v>-89.02499999999999</v>
      </c>
      <c r="H21" s="30">
        <f>H19-G19</f>
        <v>3.1359999999999992</v>
      </c>
      <c r="J21" s="40">
        <f>J19-H19</f>
        <v>-0.6839999999999993</v>
      </c>
    </row>
    <row r="22">
      <c r="B22" s="7" t="s">
        <v>439</v>
      </c>
      <c r="C22" s="37">
        <f>IFERROR(C19/C16,0)</f>
        <v>346.02391934982995</v>
      </c>
      <c r="D22" s="37">
        <f>IFERROR(D19/D16,0)</f>
        <v>319.35938952835943</v>
      </c>
      <c r="E22" s="37">
        <f>IFERROR(E19/E16,0)</f>
        <v>693.0097599577946</v>
      </c>
      <c r="F22" s="37">
        <f>IFERROR(F19/F16,0)</f>
        <v>917.703061582402</v>
      </c>
      <c r="G22" s="37">
        <f>IFERROR(G19/G16,0)</f>
        <v>998.0415197806502</v>
      </c>
      <c r="H22" s="37">
        <f>IFERROR(H19/H16,0)</f>
        <v>1792.4944812362028</v>
      </c>
      <c r="I22" s="37">
        <f>IFERROR(I19/I16,0)</f>
        <v>485.2034719164727</v>
      </c>
      <c r="J22" s="55">
        <f>Inputs!C112</f>
        <v>1439.07</v>
      </c>
      <c r="L22" s="31" t="s">
        <v>440</v>
      </c>
    </row>
    <row r="23">
      <c r="B23" s="7" t="s">
        <v>441</v>
      </c>
      <c r="G23" s="37">
        <f>G22-C22</f>
        <v>652.0176004308203</v>
      </c>
      <c r="H23" s="37">
        <f>H22-D22</f>
        <v>1473.1350917078435</v>
      </c>
      <c r="J23" s="44">
        <f>J22-E22</f>
        <v>746.0602400422054</v>
      </c>
    </row>
    <row r="24">
      <c r="B24" s="7" t="s">
        <v>442</v>
      </c>
      <c r="D24" s="37">
        <f>D22-C22</f>
        <v>-26.664529821470524</v>
      </c>
      <c r="E24" s="37">
        <f>E22-D22</f>
        <v>373.65037042943516</v>
      </c>
      <c r="F24" s="37">
        <f>F22-E22</f>
        <v>224.69330162460744</v>
      </c>
      <c r="G24" s="37">
        <f>G22-F22</f>
        <v>80.33845819824819</v>
      </c>
      <c r="H24" s="37">
        <f>H22-G22</f>
        <v>794.4529614555526</v>
      </c>
      <c r="J24" s="44">
        <f>J22-H22</f>
        <v>-353.42448123620284</v>
      </c>
    </row>
    <row r="25">
      <c r="J25" s="51"/>
    </row>
    <row r="26">
      <c r="B26" s="5" t="s">
        <v>443</v>
      </c>
      <c r="J26" s="51"/>
    </row>
    <row r="27">
      <c r="B27" s="7" t="s">
        <v>444</v>
      </c>
      <c r="C27" s="38">
        <v>35.524</v>
      </c>
      <c r="D27" s="38">
        <v>35.307</v>
      </c>
      <c r="E27" s="38">
        <v>35.307</v>
      </c>
      <c r="F27" s="38">
        <v>35.26</v>
      </c>
      <c r="G27" s="38">
        <v>35.207</v>
      </c>
      <c r="H27" s="38">
        <v>35.221</v>
      </c>
      <c r="I27" s="38">
        <v>35.349</v>
      </c>
      <c r="J27" s="45">
        <f>H27+J30</f>
        <v>35.205</v>
      </c>
    </row>
    <row r="28">
      <c r="B28" s="7" t="s">
        <v>434</v>
      </c>
      <c r="G28" s="39">
        <f>G27-C27</f>
        <v>-0.31700000000000017</v>
      </c>
      <c r="H28" s="39">
        <f>H27-D27</f>
        <v>-0.08600000000000563</v>
      </c>
      <c r="J28" s="45">
        <f>J27-E27</f>
        <v>-0.10200000000000387</v>
      </c>
    </row>
    <row r="29">
      <c r="B29" s="7" t="s">
        <v>433</v>
      </c>
      <c r="D29" s="39">
        <f>D27-C27</f>
        <v>-0.21699999999999875</v>
      </c>
      <c r="E29" s="39">
        <f>E27-D27</f>
        <v>0</v>
      </c>
      <c r="F29" s="39">
        <f>F27-E27</f>
        <v>-0.04700000000000415</v>
      </c>
      <c r="G29" s="39">
        <f>G27-F27</f>
        <v>-0.05299999999999727</v>
      </c>
      <c r="H29" s="39">
        <f>H27-G27</f>
        <v>0.013999999999995794</v>
      </c>
      <c r="J29" s="45">
        <f>J27-H27</f>
        <v>-0.015999999999998238</v>
      </c>
    </row>
    <row r="30">
      <c r="B30" s="7" t="s">
        <v>445</v>
      </c>
      <c r="D30" s="39">
        <f>D27-C27</f>
        <v>-0.21699999999999875</v>
      </c>
      <c r="E30" s="39">
        <f>E27-D27</f>
        <v>0</v>
      </c>
      <c r="F30" s="39">
        <f>F27-E27</f>
        <v>-0.04700000000000415</v>
      </c>
      <c r="G30" s="39">
        <f>G27-F27</f>
        <v>-0.05299999999999727</v>
      </c>
      <c r="H30" s="39">
        <f>H27-G27</f>
        <v>0.013999999999995794</v>
      </c>
      <c r="J30" s="49">
        <v>-0.016</v>
      </c>
      <c r="L30" s="31" t="s">
        <v>446</v>
      </c>
    </row>
    <row r="31">
      <c r="B31" s="7" t="s">
        <v>447</v>
      </c>
      <c r="C31" s="39">
        <f>C37-C27</f>
        <v>0.08099999999999596</v>
      </c>
      <c r="D31" s="39">
        <f>D37-D27</f>
        <v>0.06199999999999761</v>
      </c>
      <c r="E31" s="39">
        <f>E37-E27</f>
        <v>0.05799999999999983</v>
      </c>
      <c r="F31" s="39">
        <f>F37-F27</f>
        <v>0.05799999999999983</v>
      </c>
      <c r="G31" s="39">
        <f>G37-G27</f>
        <v>0.04399999999999693</v>
      </c>
      <c r="H31" s="39">
        <f>H37-H27</f>
        <v>0.03300000000000125</v>
      </c>
      <c r="I31" s="39">
        <f>I37-I27</f>
        <v>0.06400000000000006</v>
      </c>
      <c r="J31" s="49">
        <v>0.035</v>
      </c>
      <c r="L31" s="31" t="s">
        <v>448</v>
      </c>
    </row>
    <row r="32">
      <c r="B32" s="7" t="s">
        <v>434</v>
      </c>
      <c r="G32" s="39">
        <f>G31-C31</f>
        <v>-0.036999999999999034</v>
      </c>
      <c r="H32" s="39">
        <f>H31-D31</f>
        <v>-0.028999999999996362</v>
      </c>
      <c r="J32" s="45">
        <f>J31-E31</f>
        <v>-0.022999999999999826</v>
      </c>
    </row>
    <row r="33">
      <c r="B33" s="7" t="s">
        <v>433</v>
      </c>
      <c r="D33" s="39">
        <f>D31-C31</f>
        <v>-0.01899999999999835</v>
      </c>
      <c r="E33" s="39">
        <f>E31-D31</f>
        <v>-0.003999999999997783</v>
      </c>
      <c r="F33" s="39">
        <f>F31-E31</f>
        <v>0</v>
      </c>
      <c r="G33" s="39">
        <f>G31-F31</f>
        <v>-0.014000000000002899</v>
      </c>
      <c r="H33" s="39">
        <f>H31-G31</f>
        <v>-0.01099999999999568</v>
      </c>
      <c r="J33" s="45">
        <f>J31-H31</f>
        <v>0.0019999999999987528</v>
      </c>
    </row>
    <row r="34">
      <c r="B34" s="28" t="s">
        <v>449</v>
      </c>
      <c r="C34" s="16">
        <f>C31/C27</f>
        <v>0.002280148631910707</v>
      </c>
      <c r="D34" s="16">
        <f>D31/D27</f>
        <v>0.0017560257172797918</v>
      </c>
      <c r="E34" s="16">
        <f>E31/E27</f>
        <v>0.0016427337355198637</v>
      </c>
      <c r="F34" s="16">
        <f>F31/F27</f>
        <v>0.001644923425978441</v>
      </c>
      <c r="G34" s="16">
        <f>G31/G27</f>
        <v>0.001249751469878062</v>
      </c>
      <c r="H34" s="16">
        <f>H31/H27</f>
        <v>0.0009369410294994819</v>
      </c>
      <c r="I34" s="16">
        <f>I31/I27</f>
        <v>0.0018105179778777352</v>
      </c>
      <c r="J34" s="59">
        <f>J31/J27</f>
        <v>0.000994176963499503</v>
      </c>
    </row>
    <row r="35">
      <c r="B35" s="7" t="s">
        <v>190</v>
      </c>
      <c r="G35" s="42">
        <f>(G34-C34)*10000</f>
        <v>-10.30397162032645</v>
      </c>
      <c r="H35" s="42">
        <f>(H34-D34)*10000</f>
        <v>-8.190846877803098</v>
      </c>
      <c r="J35" s="54">
        <f>(J34-E34)*10000</f>
        <v>-6.485567720203607</v>
      </c>
    </row>
    <row r="36">
      <c r="B36" s="7" t="s">
        <v>191</v>
      </c>
      <c r="D36" s="42">
        <f>(D34-C34)*10000</f>
        <v>-5.241229146309152</v>
      </c>
      <c r="E36" s="42">
        <f>(E34-D34)*10000</f>
        <v>-1.1329198175992807</v>
      </c>
      <c r="F36" s="42">
        <f>(F34-E34)*10000</f>
        <v>0.021896904585773456</v>
      </c>
      <c r="G36" s="42">
        <f>(G34-F34)*10000</f>
        <v>-3.9517195610037916</v>
      </c>
      <c r="H36" s="42">
        <f>(H34-G34)*10000</f>
        <v>-3.1281044037858003</v>
      </c>
      <c r="J36" s="54">
        <f>(J34-H34)*10000</f>
        <v>0.5723593400002119</v>
      </c>
    </row>
    <row r="37">
      <c r="B37" s="5" t="s">
        <v>450</v>
      </c>
      <c r="C37" s="50">
        <v>35.605</v>
      </c>
      <c r="D37" s="50">
        <v>35.369</v>
      </c>
      <c r="E37" s="50">
        <v>35.365</v>
      </c>
      <c r="F37" s="50">
        <v>35.318</v>
      </c>
      <c r="G37" s="50">
        <v>35.251</v>
      </c>
      <c r="H37" s="50">
        <v>35.254</v>
      </c>
      <c r="I37" s="50">
        <v>35.413</v>
      </c>
      <c r="J37" s="47">
        <f>J27+J31</f>
        <v>35.239999999999995</v>
      </c>
    </row>
    <row r="38">
      <c r="B38" s="7" t="s">
        <v>434</v>
      </c>
      <c r="G38" s="39">
        <f>G37-C37</f>
        <v>-0.3539999999999992</v>
      </c>
      <c r="H38" s="39">
        <f>H37-D37</f>
        <v>-0.11500000000000199</v>
      </c>
      <c r="J38" s="45">
        <f>J37-E37</f>
        <v>-0.1250000000000071</v>
      </c>
    </row>
    <row r="39">
      <c r="B39" s="7" t="s">
        <v>433</v>
      </c>
      <c r="D39" s="39">
        <f>D37-C37</f>
        <v>-0.2359999999999971</v>
      </c>
      <c r="E39" s="39">
        <f>E37-D37</f>
        <v>-0.003999999999997783</v>
      </c>
      <c r="F39" s="39">
        <f>F37-E37</f>
        <v>-0.04700000000000415</v>
      </c>
      <c r="G39" s="39">
        <f>G37-F37</f>
        <v>-0.06700000000000017</v>
      </c>
      <c r="H39" s="39">
        <f>H37-G37</f>
        <v>0.0030000000000001137</v>
      </c>
      <c r="J39" s="45">
        <f>J37-H37</f>
        <v>-0.014000000000002899</v>
      </c>
    </row>
    <row r="40">
      <c r="B40" s="5" t="s">
        <v>451</v>
      </c>
      <c r="J40" s="53">
        <f>J37</f>
        <v>35.239999999999995</v>
      </c>
    </row>
    <row r="41">
      <c r="J41" s="51"/>
    </row>
    <row r="42">
      <c r="B42" s="5" t="s">
        <v>452</v>
      </c>
      <c r="J42" s="51"/>
    </row>
    <row r="43">
      <c r="B43" s="7" t="s">
        <v>453</v>
      </c>
      <c r="C43" s="6">
        <v>0.4</v>
      </c>
      <c r="D43" s="6">
        <v>0.45</v>
      </c>
      <c r="E43" s="6">
        <v>0.5</v>
      </c>
      <c r="F43" s="26">
        <f>I43-SUM(C43:E43)</f>
        <v>0.5999999999999999</v>
      </c>
      <c r="G43" s="6">
        <v>0.7</v>
      </c>
      <c r="H43" s="6">
        <v>0.8</v>
      </c>
      <c r="I43" s="6">
        <v>1.95</v>
      </c>
      <c r="J43" s="43">
        <v>0.9</v>
      </c>
      <c r="L43" s="31" t="s">
        <v>454</v>
      </c>
    </row>
    <row r="44">
      <c r="B44" s="7" t="s">
        <v>455</v>
      </c>
      <c r="G44" s="26">
        <f>G43-C43</f>
        <v>0.29999999999999993</v>
      </c>
      <c r="H44" s="26">
        <f>H43-D43</f>
        <v>0.35000000000000003</v>
      </c>
      <c r="J44" s="52">
        <f>J43-E43</f>
        <v>0.4</v>
      </c>
    </row>
    <row r="45">
      <c r="B45" s="7" t="s">
        <v>456</v>
      </c>
      <c r="D45" s="26">
        <f>D43-C43</f>
        <v>0.04999999999999999</v>
      </c>
      <c r="E45" s="26">
        <f>E43-D43</f>
        <v>0.04999999999999999</v>
      </c>
      <c r="F45" s="26">
        <f>F43-E43</f>
        <v>0.09999999999999987</v>
      </c>
      <c r="G45" s="26">
        <f>G43-F43</f>
        <v>0.10000000000000009</v>
      </c>
      <c r="H45" s="26">
        <f>H43-G43</f>
        <v>0.10000000000000009</v>
      </c>
      <c r="J45" s="52">
        <f>J43-H43</f>
        <v>0.09999999999999998</v>
      </c>
    </row>
    <row r="46">
      <c r="B46" s="7" t="s">
        <v>457</v>
      </c>
      <c r="C46" s="4">
        <f>-'Cash Flow Statement'!C96</f>
        <v>14.162</v>
      </c>
      <c r="D46" s="4">
        <f>-'Cash Flow Statement'!D96</f>
        <v>15.871</v>
      </c>
      <c r="E46" s="4">
        <f>-'Cash Flow Statement'!E96</f>
        <v>17.641</v>
      </c>
      <c r="F46" s="4">
        <f>-'Cash Flow Statement'!F96</f>
        <v>21.159</v>
      </c>
      <c r="G46" s="4">
        <f>-'Cash Flow Statement'!G96</f>
        <v>24.623</v>
      </c>
      <c r="H46" s="4">
        <f>-'Cash Flow Statement'!H96</f>
        <v>28.161999999999995</v>
      </c>
      <c r="I46" s="4">
        <f>-'Cash Flow Statement'!I96</f>
        <v>68.833</v>
      </c>
      <c r="J46" s="40">
        <f>J43*J27</f>
        <v>31.6845</v>
      </c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B1:L4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2" customWidth="1"/>
    <col min="12" max="12" width="60" customWidth="1"/>
  </cols>
  <sheetData>
    <row r="1">
      <c r="B1" s="33" t="s">
        <v>0</v>
      </c>
    </row>
    <row r="2">
      <c r="B2" s="35" t="s">
        <v>458</v>
      </c>
    </row>
    <row r="3">
      <c r="B3" s="27" t="s">
        <v>2</v>
      </c>
    </row>
    <row r="4">
      <c r="B4" s="32" t="s">
        <v>3</v>
      </c>
      <c r="C4" s="12" t="s">
        <v>4</v>
      </c>
      <c r="D4" s="22"/>
      <c r="E4" s="22"/>
      <c r="F4" s="22"/>
      <c r="G4" s="22"/>
      <c r="H4" s="22"/>
      <c r="I4" s="22"/>
      <c r="J4" s="22"/>
    </row>
    <row r="5">
      <c r="B5" s="19" t="s">
        <v>5</v>
      </c>
      <c r="C5" s="20">
        <f>DATE(2026,9,30)</f>
        <v>46295</v>
      </c>
      <c r="D5" s="2"/>
      <c r="E5" s="2"/>
      <c r="F5" s="2"/>
      <c r="G5" s="2"/>
      <c r="H5" s="2"/>
      <c r="I5" s="2"/>
      <c r="J5" s="2"/>
    </row>
    <row r="6">
      <c r="B6" s="29" t="s">
        <v>6</v>
      </c>
      <c r="C6" s="14">
        <f>C5-EOMONTH(C5,-3)</f>
        <v>92</v>
      </c>
      <c r="D6" s="24"/>
      <c r="E6" s="24"/>
      <c r="F6" s="24"/>
      <c r="G6" s="24"/>
      <c r="H6" s="24"/>
      <c r="I6" s="24"/>
      <c r="J6" s="24"/>
    </row>
    <row r="8">
      <c r="B8" s="15" t="s">
        <v>459</v>
      </c>
      <c r="C8" s="1" t="s">
        <v>460</v>
      </c>
      <c r="D8" s="1" t="s">
        <v>56</v>
      </c>
      <c r="E8" s="1" t="s">
        <v>49</v>
      </c>
      <c r="F8" s="1" t="s">
        <v>48</v>
      </c>
      <c r="G8" s="1" t="s">
        <v>461</v>
      </c>
      <c r="H8" s="1" t="s">
        <v>462</v>
      </c>
      <c r="I8" s="1" t="s">
        <v>463</v>
      </c>
      <c r="L8" s="15" t="s">
        <v>464</v>
      </c>
    </row>
    <row r="9">
      <c r="B9" s="7" t="s">
        <v>465</v>
      </c>
      <c r="C9" s="10">
        <f>DATE(2025,4,25)</f>
        <v>45772</v>
      </c>
      <c r="D9" s="11" t="s">
        <v>466</v>
      </c>
      <c r="E9" s="23">
        <v>0.07</v>
      </c>
      <c r="F9" s="23">
        <v>0.09</v>
      </c>
      <c r="G9" s="16">
        <f>(E9+F9)/2</f>
        <v>0.08</v>
      </c>
      <c r="H9" s="21">
        <f>'Revenue summary'!I46</f>
        <v>0.261</v>
      </c>
      <c r="I9" s="11" t="str">
        <f>IF(H9="","Pending",IF(H9&gt;F9,"Beat",IF(H9&gt;=E9,"Within","Miss")))</f>
        <v>Beat</v>
      </c>
      <c r="L9" s="31" t="s">
        <v>467</v>
      </c>
    </row>
    <row r="10">
      <c r="B10" s="7" t="s">
        <v>465</v>
      </c>
      <c r="C10" s="10">
        <f>DATE(2025,7,25)</f>
        <v>45863</v>
      </c>
      <c r="D10" s="11" t="s">
        <v>468</v>
      </c>
      <c r="E10" s="23">
        <v>0.14</v>
      </c>
      <c r="F10" s="23">
        <v>0.16</v>
      </c>
      <c r="G10" s="16">
        <f>(E10+F10)/2</f>
        <v>0.15000000000000002</v>
      </c>
      <c r="H10" s="21">
        <f>'Revenue summary'!I46</f>
        <v>0.261</v>
      </c>
      <c r="I10" s="11" t="str">
        <f>IF(H10="","Pending",IF(H10&gt;F10,"Beat",IF(H10&gt;=E10,"Within","Miss")))</f>
        <v>Beat</v>
      </c>
      <c r="L10" s="31" t="s">
        <v>469</v>
      </c>
    </row>
    <row r="11">
      <c r="B11" s="7" t="s">
        <v>470</v>
      </c>
      <c r="C11" s="10">
        <f>DATE(2025,10,24)</f>
        <v>45954</v>
      </c>
      <c r="D11" s="11" t="s">
        <v>471</v>
      </c>
      <c r="E11" s="23">
        <v>0.17</v>
      </c>
      <c r="F11" s="23">
        <v>0.19</v>
      </c>
      <c r="G11" s="16">
        <f>(E11+F11)/2</f>
        <v>0.18</v>
      </c>
      <c r="H11" s="21">
        <f>'Revenue summary'!F46</f>
        <v>0.35</v>
      </c>
      <c r="I11" s="11" t="str">
        <f>IF(H11="","Pending",IF(H11&gt;F11,"Beat",IF(H11&gt;=E11,"Within","Miss")))</f>
        <v>Beat</v>
      </c>
      <c r="L11" s="31" t="s">
        <v>472</v>
      </c>
    </row>
    <row r="12">
      <c r="B12" s="7" t="s">
        <v>473</v>
      </c>
      <c r="C12" s="10">
        <f>DATE(2025,10,24)</f>
        <v>45954</v>
      </c>
      <c r="D12" s="11" t="s">
        <v>471</v>
      </c>
      <c r="E12" s="23">
        <v>0.11</v>
      </c>
      <c r="F12" s="23">
        <v>0.15</v>
      </c>
      <c r="G12" s="16">
        <f>(E12+F12)/2</f>
        <v>0.13</v>
      </c>
      <c r="I12" s="11" t="str">
        <f>IF(H12="","Pending",IF(H12&gt;F12,"Beat",IF(H12&gt;=E12,"Within","Miss")))</f>
        <v>Pending</v>
      </c>
      <c r="L12" s="31" t="s">
        <v>474</v>
      </c>
    </row>
    <row r="13">
      <c r="B13" s="7" t="s">
        <v>473</v>
      </c>
      <c r="C13" s="10">
        <f>DATE(2026,2,20)</f>
        <v>46073</v>
      </c>
      <c r="D13" s="11" t="s">
        <v>475</v>
      </c>
      <c r="E13" s="23">
        <v>0.14</v>
      </c>
      <c r="F13" s="23">
        <v>0.19</v>
      </c>
      <c r="G13" s="16">
        <f>(E13+F13)/2</f>
        <v>0.165</v>
      </c>
      <c r="I13" s="11" t="str">
        <f>IF(H13="","Pending",IF(H13&gt;F13,"Beat",IF(H13&gt;=E13,"Within","Miss")))</f>
        <v>Pending</v>
      </c>
      <c r="L13" s="31" t="s">
        <v>476</v>
      </c>
    </row>
    <row r="14">
      <c r="B14" s="7" t="s">
        <v>473</v>
      </c>
      <c r="C14" s="10">
        <f>DATE(2026,4,24)</f>
        <v>46136</v>
      </c>
      <c r="D14" s="11" t="s">
        <v>477</v>
      </c>
      <c r="E14" s="23">
        <v>0.24</v>
      </c>
      <c r="F14" s="23">
        <v>0.29</v>
      </c>
      <c r="G14" s="16">
        <f>(E14+F14)/2</f>
        <v>0.265</v>
      </c>
      <c r="I14" s="11" t="str">
        <f>IF(H14="","Pending",IF(H14&gt;F14,"Beat",IF(H14&gt;=E14,"Within","Miss")))</f>
        <v>Pending</v>
      </c>
      <c r="L14" s="31" t="s">
        <v>478</v>
      </c>
    </row>
    <row r="15">
      <c r="B15" s="7" t="s">
        <v>479</v>
      </c>
      <c r="C15" s="10">
        <f>DATE(2026,7,24)</f>
        <v>46227</v>
      </c>
      <c r="D15" s="11" t="s">
        <v>480</v>
      </c>
      <c r="E15" s="23">
        <v>0.34</v>
      </c>
      <c r="F15" s="23">
        <v>0.39</v>
      </c>
      <c r="G15" s="16">
        <f>(E15+F15)/2</f>
        <v>0.365</v>
      </c>
      <c r="I15" s="11" t="str">
        <f>IF(H15="","Pending",IF(H15&gt;F15,"Beat",IF(H15&gt;=E15,"Within","Miss")))</f>
        <v>Pending</v>
      </c>
      <c r="L15" s="31" t="s">
        <v>481</v>
      </c>
    </row>
    <row r="16">
      <c r="B16" s="7" t="s">
        <v>482</v>
      </c>
      <c r="C16" s="10">
        <f>DATE(2026,7,24)</f>
        <v>46227</v>
      </c>
      <c r="D16" s="11" t="s">
        <v>480</v>
      </c>
      <c r="E16" s="23">
        <v>0.23</v>
      </c>
      <c r="F16" s="23">
        <v>0.23</v>
      </c>
      <c r="G16" s="16">
        <f>(E16+F16)/2</f>
        <v>0.23</v>
      </c>
      <c r="I16" s="11" t="str">
        <f>IF(H16="","Pending",IF(H16&gt;F16,"Beat",IF(H16&gt;=E16,"Within","Miss")))</f>
        <v>Pending</v>
      </c>
      <c r="L16" s="31" t="s">
        <v>483</v>
      </c>
    </row>
    <row r="17">
      <c r="B17" s="7" t="s">
        <v>484</v>
      </c>
      <c r="C17" s="10">
        <f>DATE(2026,7,24)</f>
        <v>46227</v>
      </c>
      <c r="D17" s="11" t="s">
        <v>480</v>
      </c>
      <c r="E17" s="23">
        <v>0.05</v>
      </c>
      <c r="F17" s="23">
        <v>0.05</v>
      </c>
      <c r="G17" s="16">
        <f>(E17+F17)/2</f>
        <v>0.05</v>
      </c>
      <c r="I17" s="11" t="str">
        <f>IF(H17="","Pending",IF(H17&gt;F17,"Beat",IF(H17&gt;=E17,"Within","Miss")))</f>
        <v>Pending</v>
      </c>
      <c r="L17" s="31" t="s">
        <v>485</v>
      </c>
    </row>
    <row r="18">
      <c r="B18" s="7" t="s">
        <v>486</v>
      </c>
      <c r="D18" s="11" t="s">
        <v>487</v>
      </c>
      <c r="L18" s="31" t="s">
        <v>488</v>
      </c>
    </row>
    <row r="20">
      <c r="B20" s="7" t="s">
        <v>489</v>
      </c>
      <c r="C20" s="36">
        <f>COUNTIF(I9:I17,"Beat*")</f>
        <v>3</v>
      </c>
    </row>
    <row r="21">
      <c r="B21" s="7" t="s">
        <v>490</v>
      </c>
      <c r="C21" s="36">
        <f>COUNTIF(I9:I17,"Beat*")+COUNTIF(I9:I17,"Within*")+COUNTIF(I9:I17,"Miss")</f>
        <v>3</v>
      </c>
    </row>
    <row r="23">
      <c r="B23" s="5" t="s">
        <v>491</v>
      </c>
    </row>
    <row r="24">
      <c r="B24" s="28" t="s">
        <v>492</v>
      </c>
      <c r="C24" s="21">
        <f>('Income Statement'!G51+'Income Statement'!H51)/('Income Statement'!G49+'Income Statement'!H49)</f>
        <v>0.2254974060200937</v>
      </c>
    </row>
    <row r="25">
      <c r="B25" s="28" t="s">
        <v>493</v>
      </c>
      <c r="C25" s="21">
        <f>('Cash Flow Statement'!G137+'Cash Flow Statement'!H137)/('Income Statement'!G9+'Income Statement'!H9)</f>
        <v>0.04711100396869151</v>
      </c>
    </row>
    <row r="27">
      <c r="B27" s="5" t="s">
        <v>494</v>
      </c>
    </row>
    <row r="28">
      <c r="B28" s="7" t="s">
        <v>495</v>
      </c>
      <c r="C28" s="4">
        <f>'Income Statement'!I9</f>
        <v>9101.641</v>
      </c>
    </row>
    <row r="29">
      <c r="B29" s="28" t="s">
        <v>496</v>
      </c>
      <c r="C29" s="16">
        <f>G15</f>
        <v>0.365</v>
      </c>
    </row>
    <row r="30">
      <c r="B30" s="7" t="s">
        <v>497</v>
      </c>
      <c r="C30" s="30">
        <f>C28*(1+C29)</f>
        <v>12423.739964999999</v>
      </c>
    </row>
    <row r="31">
      <c r="B31" s="7" t="s">
        <v>498</v>
      </c>
      <c r="C31" s="4">
        <f>'Revenue summary'!G40+'Revenue summary'!H40</f>
        <v>231.8</v>
      </c>
    </row>
    <row r="32">
      <c r="B32" s="7" t="s">
        <v>499</v>
      </c>
      <c r="C32" s="4">
        <f>'Revenue summary'!J40</f>
        <v>150</v>
      </c>
    </row>
    <row r="33">
      <c r="B33" s="7" t="s">
        <v>500</v>
      </c>
      <c r="C33" s="18">
        <v>150</v>
      </c>
      <c r="L33" s="31" t="s">
        <v>501</v>
      </c>
    </row>
    <row r="34">
      <c r="B34" s="5" t="s">
        <v>502</v>
      </c>
      <c r="C34" s="17">
        <f>C30+C31+C32+C33</f>
        <v>12955.539964999998</v>
      </c>
    </row>
    <row r="35">
      <c r="B35" s="7" t="s">
        <v>503</v>
      </c>
      <c r="C35" s="4">
        <f>'Income Statement'!G9+'Income Statement'!H9</f>
        <v>6130.987999999999</v>
      </c>
    </row>
    <row r="36">
      <c r="B36" s="7" t="s">
        <v>504</v>
      </c>
      <c r="C36" s="30">
        <f>C34-C35</f>
        <v>6824.551964999999</v>
      </c>
    </row>
    <row r="37">
      <c r="B37" s="28" t="s">
        <v>505</v>
      </c>
      <c r="C37" s="21">
        <f>'Income Statement'!E9/('Income Statement'!E9+'Income Statement'!F9)</f>
        <v>0.48086162232324836</v>
      </c>
    </row>
    <row r="38">
      <c r="B38" s="5" t="s">
        <v>506</v>
      </c>
      <c r="C38" s="17">
        <f>C36*C37</f>
        <v>3281.665129519212</v>
      </c>
    </row>
    <row r="39">
      <c r="B39" s="28" t="s">
        <v>507</v>
      </c>
      <c r="C39" s="21">
        <f>'Income Statement'!J55/'Income Statement'!J9</f>
        <v>0.1335062688750459</v>
      </c>
    </row>
    <row r="40">
      <c r="B40" s="5" t="s">
        <v>508</v>
      </c>
      <c r="C40" s="17">
        <f>C38*C39</f>
        <v>438.12286713945423</v>
      </c>
    </row>
    <row r="41">
      <c r="B41" s="5" t="s">
        <v>509</v>
      </c>
      <c r="C41" s="41">
        <f>C40/'Share Count'!J37</f>
        <v>12.432544470472596</v>
      </c>
    </row>
    <row r="42">
      <c r="B42" s="7" t="s">
        <v>510</v>
      </c>
      <c r="C42" s="30">
        <f>(C28*(1+F15)+C31+C32+C33-C35)*C37</f>
        <v>3391.0808759458077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B1:J43"/>
  <sheetViews>
    <sheetView showGridLines="0" workbookViewId="0"/>
  </sheetViews>
  <sheetFormatPr defaultColWidth="8.42578125" defaultRowHeight="15"/>
  <cols>
    <col min="1" max="1" width="2" customWidth="1"/>
    <col min="2" max="2" width="26" customWidth="1"/>
    <col min="3" max="4" width="12" customWidth="1"/>
    <col min="5" max="5" width="26" customWidth="1"/>
    <col min="6" max="6" width="14" customWidth="1"/>
    <col min="7" max="8" width="60" customWidth="1"/>
  </cols>
  <sheetData>
    <row r="1">
      <c r="B1" s="33" t="s">
        <v>0</v>
      </c>
    </row>
    <row r="2">
      <c r="B2" s="35" t="s">
        <v>511</v>
      </c>
    </row>
    <row r="3">
      <c r="B3" s="27" t="s">
        <v>2</v>
      </c>
    </row>
    <row r="4">
      <c r="B4" s="32" t="s">
        <v>3</v>
      </c>
      <c r="C4" s="12" t="s">
        <v>4</v>
      </c>
      <c r="D4" s="22"/>
      <c r="E4" s="22"/>
      <c r="F4" s="22"/>
      <c r="G4" s="22"/>
      <c r="H4" s="22"/>
      <c r="I4" s="22"/>
      <c r="J4" s="22"/>
    </row>
    <row r="5">
      <c r="B5" s="19" t="s">
        <v>5</v>
      </c>
      <c r="C5" s="20">
        <f>DATE(2026,9,30)</f>
        <v>46295</v>
      </c>
      <c r="D5" s="2"/>
      <c r="E5" s="2"/>
      <c r="F5" s="2"/>
      <c r="G5" s="2"/>
      <c r="H5" s="2"/>
      <c r="I5" s="2"/>
      <c r="J5" s="2"/>
    </row>
    <row r="6">
      <c r="B6" s="29" t="s">
        <v>6</v>
      </c>
      <c r="C6" s="14">
        <f>C5-EOMONTH(C5,-3)</f>
        <v>92</v>
      </c>
      <c r="D6" s="24"/>
      <c r="E6" s="24"/>
      <c r="F6" s="24"/>
      <c r="G6" s="24"/>
      <c r="H6" s="24"/>
      <c r="I6" s="24"/>
      <c r="J6" s="24"/>
    </row>
    <row r="8">
      <c r="B8" s="15" t="s">
        <v>512</v>
      </c>
      <c r="C8" s="98" t="s">
        <v>513</v>
      </c>
      <c r="D8" s="98" t="s">
        <v>514</v>
      </c>
      <c r="E8" s="15" t="s">
        <v>515</v>
      </c>
      <c r="F8" s="98" t="s">
        <v>516</v>
      </c>
      <c r="G8" s="15" t="s">
        <v>517</v>
      </c>
      <c r="H8" s="15" t="s">
        <v>518</v>
      </c>
    </row>
    <row r="9">
      <c r="B9" s="95" t="s">
        <v>519</v>
      </c>
      <c r="C9" s="94" t="s">
        <v>520</v>
      </c>
      <c r="D9" s="96">
        <f>DATE(2026,10,18)</f>
        <v>46313</v>
      </c>
      <c r="E9" s="93" t="s">
        <v>521</v>
      </c>
      <c r="F9" s="96">
        <f>DATE(2026,10,19)</f>
        <v>46314</v>
      </c>
      <c r="G9" s="93" t="s">
        <v>522</v>
      </c>
      <c r="H9" s="93" t="s">
        <v>523</v>
      </c>
    </row>
    <row r="10">
      <c r="B10" s="95" t="s">
        <v>524</v>
      </c>
      <c r="C10" s="94" t="s">
        <v>487</v>
      </c>
      <c r="D10" s="96">
        <f>DATE(2026,10,18)</f>
        <v>46313</v>
      </c>
      <c r="E10" s="93" t="s">
        <v>521</v>
      </c>
      <c r="F10" s="96">
        <f>DATE(2026,10,19)</f>
        <v>46314</v>
      </c>
      <c r="G10" s="93" t="s">
        <v>525</v>
      </c>
      <c r="H10" s="93" t="s">
        <v>526</v>
      </c>
    </row>
    <row r="11">
      <c r="B11" s="95" t="s">
        <v>527</v>
      </c>
      <c r="C11" s="94" t="s">
        <v>528</v>
      </c>
      <c r="D11" s="96">
        <f>DATE(2025,4,24)</f>
        <v>45771</v>
      </c>
      <c r="E11" s="93" t="s">
        <v>529</v>
      </c>
      <c r="F11" s="96">
        <f>DATE(2026,10,19)</f>
        <v>46314</v>
      </c>
      <c r="G11" s="93" t="s">
        <v>530</v>
      </c>
      <c r="H11" s="93" t="s">
        <v>531</v>
      </c>
    </row>
    <row r="12">
      <c r="B12" s="95" t="s">
        <v>532</v>
      </c>
      <c r="C12" s="94" t="s">
        <v>533</v>
      </c>
      <c r="D12" s="96">
        <f>DATE(2025,7,24)</f>
        <v>45862</v>
      </c>
      <c r="E12" s="93" t="s">
        <v>529</v>
      </c>
      <c r="F12" s="96">
        <f>DATE(2026,10,19)</f>
        <v>46314</v>
      </c>
      <c r="G12" s="93" t="s">
        <v>534</v>
      </c>
      <c r="H12" s="93" t="s">
        <v>535</v>
      </c>
    </row>
    <row r="13">
      <c r="B13" s="95" t="s">
        <v>536</v>
      </c>
      <c r="C13" s="94" t="s">
        <v>537</v>
      </c>
      <c r="D13" s="96">
        <f>DATE(2025,10,23)</f>
        <v>45953</v>
      </c>
      <c r="E13" s="93" t="s">
        <v>529</v>
      </c>
      <c r="F13" s="96">
        <f>DATE(2026,10,19)</f>
        <v>46314</v>
      </c>
      <c r="G13" s="93" t="s">
        <v>538</v>
      </c>
      <c r="H13" s="93" t="s">
        <v>539</v>
      </c>
    </row>
    <row r="14">
      <c r="B14" s="95" t="s">
        <v>540</v>
      </c>
      <c r="C14" s="94" t="s">
        <v>541</v>
      </c>
      <c r="D14" s="96">
        <f>DATE(2026,2,19)</f>
        <v>46072</v>
      </c>
      <c r="E14" s="93" t="s">
        <v>529</v>
      </c>
      <c r="F14" s="96">
        <f>DATE(2026,10,19)</f>
        <v>46314</v>
      </c>
      <c r="G14" s="93" t="s">
        <v>542</v>
      </c>
      <c r="H14" s="93" t="s">
        <v>543</v>
      </c>
    </row>
    <row r="15">
      <c r="B15" s="95" t="s">
        <v>544</v>
      </c>
      <c r="C15" s="94" t="s">
        <v>545</v>
      </c>
      <c r="D15" s="96">
        <f>DATE(2026,2,19)</f>
        <v>46072</v>
      </c>
      <c r="E15" s="93" t="s">
        <v>546</v>
      </c>
      <c r="F15" s="96">
        <f>DATE(2026,10,19)</f>
        <v>46314</v>
      </c>
      <c r="G15" s="93" t="s">
        <v>547</v>
      </c>
      <c r="H15" s="93" t="s">
        <v>548</v>
      </c>
    </row>
    <row r="16">
      <c r="B16" s="95" t="s">
        <v>549</v>
      </c>
      <c r="C16" s="94" t="s">
        <v>550</v>
      </c>
      <c r="D16" s="96">
        <f>DATE(2026,4,23)</f>
        <v>46135</v>
      </c>
      <c r="E16" s="93" t="s">
        <v>529</v>
      </c>
      <c r="F16" s="96">
        <f>DATE(2026,10,19)</f>
        <v>46314</v>
      </c>
      <c r="G16" s="93" t="s">
        <v>551</v>
      </c>
      <c r="H16" s="93" t="s">
        <v>552</v>
      </c>
    </row>
    <row r="17">
      <c r="B17" s="95" t="s">
        <v>553</v>
      </c>
      <c r="C17" s="94" t="s">
        <v>554</v>
      </c>
      <c r="D17" s="96">
        <f>DATE(2026,7,23)</f>
        <v>46226</v>
      </c>
      <c r="E17" s="93" t="s">
        <v>529</v>
      </c>
      <c r="F17" s="96">
        <f>DATE(2026,10,19)</f>
        <v>46314</v>
      </c>
      <c r="G17" s="93" t="s">
        <v>555</v>
      </c>
      <c r="H17" s="93" t="s">
        <v>556</v>
      </c>
    </row>
    <row r="18">
      <c r="B18" s="95" t="s">
        <v>557</v>
      </c>
      <c r="C18" s="94" t="s">
        <v>558</v>
      </c>
      <c r="D18" s="96">
        <f>DATE(2026,7,23)</f>
        <v>46226</v>
      </c>
      <c r="E18" s="93" t="s">
        <v>546</v>
      </c>
      <c r="F18" s="96">
        <f>DATE(2026,10,19)</f>
        <v>46314</v>
      </c>
      <c r="G18" s="93" t="s">
        <v>559</v>
      </c>
      <c r="H18" s="93" t="s">
        <v>560</v>
      </c>
    </row>
    <row r="19">
      <c r="B19" s="95" t="s">
        <v>561</v>
      </c>
      <c r="C19" s="94" t="s">
        <v>480</v>
      </c>
      <c r="D19" s="96">
        <f>DATE(2026,7,24)</f>
        <v>46227</v>
      </c>
      <c r="E19" s="93" t="s">
        <v>562</v>
      </c>
      <c r="F19" s="96">
        <f>DATE(2026,10,19)</f>
        <v>46314</v>
      </c>
      <c r="G19" s="93" t="s">
        <v>563</v>
      </c>
      <c r="H19" s="93" t="s">
        <v>564</v>
      </c>
    </row>
    <row r="20">
      <c r="B20" s="95" t="s">
        <v>565</v>
      </c>
      <c r="C20" s="94" t="s">
        <v>477</v>
      </c>
      <c r="D20" s="96">
        <f>DATE(2026,4,24)</f>
        <v>46136</v>
      </c>
      <c r="E20" s="93" t="s">
        <v>566</v>
      </c>
      <c r="F20" s="96">
        <f>DATE(2026,10,19)</f>
        <v>46314</v>
      </c>
      <c r="G20" s="93" t="s">
        <v>567</v>
      </c>
      <c r="H20" s="93" t="s">
        <v>568</v>
      </c>
    </row>
    <row r="21">
      <c r="B21" s="95" t="s">
        <v>569</v>
      </c>
      <c r="C21" s="94" t="s">
        <v>475</v>
      </c>
      <c r="D21" s="96">
        <f>DATE(2026,2,20)</f>
        <v>46073</v>
      </c>
      <c r="E21" s="93" t="s">
        <v>570</v>
      </c>
      <c r="F21" s="96">
        <f>DATE(2026,10,19)</f>
        <v>46314</v>
      </c>
      <c r="G21" s="93" t="s">
        <v>571</v>
      </c>
      <c r="H21" s="93" t="s">
        <v>572</v>
      </c>
    </row>
    <row r="22">
      <c r="B22" s="95" t="s">
        <v>573</v>
      </c>
      <c r="C22" s="94" t="s">
        <v>471</v>
      </c>
      <c r="D22" s="96">
        <f>DATE(2025,10,24)</f>
        <v>45954</v>
      </c>
      <c r="E22" s="93" t="s">
        <v>574</v>
      </c>
      <c r="F22" s="96">
        <f>DATE(2026,10,19)</f>
        <v>46314</v>
      </c>
      <c r="G22" s="93" t="s">
        <v>575</v>
      </c>
      <c r="H22" s="93" t="s">
        <v>576</v>
      </c>
    </row>
    <row r="23">
      <c r="B23" s="95" t="s">
        <v>577</v>
      </c>
      <c r="C23" s="94" t="s">
        <v>468</v>
      </c>
      <c r="D23" s="96">
        <f>DATE(2025,7,26)</f>
        <v>45864</v>
      </c>
      <c r="E23" s="93" t="s">
        <v>578</v>
      </c>
      <c r="F23" s="96">
        <f>DATE(2026,10,19)</f>
        <v>46314</v>
      </c>
      <c r="G23" s="93" t="s">
        <v>579</v>
      </c>
      <c r="H23" s="93" t="s">
        <v>580</v>
      </c>
    </row>
    <row r="24">
      <c r="B24" s="95" t="s">
        <v>581</v>
      </c>
      <c r="C24" s="94" t="s">
        <v>466</v>
      </c>
      <c r="D24" s="96">
        <f>DATE(2025,4,25)</f>
        <v>45772</v>
      </c>
      <c r="E24" s="93" t="s">
        <v>582</v>
      </c>
      <c r="F24" s="96">
        <f>DATE(2026,10,19)</f>
        <v>46314</v>
      </c>
      <c r="G24" s="93" t="s">
        <v>583</v>
      </c>
      <c r="H24" s="93" t="s">
        <v>584</v>
      </c>
    </row>
    <row r="25">
      <c r="B25" s="95" t="s">
        <v>585</v>
      </c>
      <c r="C25" s="94" t="s">
        <v>586</v>
      </c>
      <c r="D25" s="96">
        <f>DATE(2026,10,16)</f>
        <v>46311</v>
      </c>
      <c r="E25" s="93" t="s">
        <v>587</v>
      </c>
      <c r="F25" s="96">
        <f>DATE(2026,10,19)</f>
        <v>46314</v>
      </c>
      <c r="G25" s="93" t="s">
        <v>588</v>
      </c>
      <c r="H25" s="93" t="s">
        <v>589</v>
      </c>
    </row>
    <row r="26">
      <c r="B26" s="95" t="s">
        <v>590</v>
      </c>
      <c r="C26" s="94" t="s">
        <v>591</v>
      </c>
      <c r="D26" s="96">
        <f>DATE(2025,12,5)</f>
        <v>45996</v>
      </c>
      <c r="E26" s="93" t="s">
        <v>592</v>
      </c>
      <c r="F26" s="96">
        <f>DATE(2026,10,19)</f>
        <v>46314</v>
      </c>
      <c r="G26" s="93" t="s">
        <v>593</v>
      </c>
      <c r="H26" s="93" t="s">
        <v>594</v>
      </c>
    </row>
    <row r="27">
      <c r="B27" s="95" t="s">
        <v>595</v>
      </c>
      <c r="C27" s="94" t="s">
        <v>596</v>
      </c>
      <c r="D27" s="96">
        <f>DATE(2026,10,15)</f>
        <v>46310</v>
      </c>
      <c r="E27" s="93" t="s">
        <v>597</v>
      </c>
      <c r="F27" s="96">
        <f>DATE(2026,10,19)</f>
        <v>46314</v>
      </c>
      <c r="G27" s="93" t="s">
        <v>598</v>
      </c>
      <c r="H27" s="93" t="s">
        <v>599</v>
      </c>
    </row>
    <row r="28">
      <c r="B28" s="95" t="s">
        <v>600</v>
      </c>
      <c r="C28" s="94" t="s">
        <v>58</v>
      </c>
      <c r="D28" s="96">
        <f>DATE(2026,10,14)</f>
        <v>46309</v>
      </c>
      <c r="E28" s="93" t="s">
        <v>601</v>
      </c>
      <c r="F28" s="96">
        <f>DATE(2026,10,19)</f>
        <v>46314</v>
      </c>
      <c r="G28" s="93" t="s">
        <v>602</v>
      </c>
      <c r="H28" s="93" t="s">
        <v>603</v>
      </c>
    </row>
    <row r="29">
      <c r="B29" s="95" t="s">
        <v>604</v>
      </c>
      <c r="C29" s="94" t="s">
        <v>60</v>
      </c>
      <c r="D29" s="96">
        <f>DATE(2026,10,16)</f>
        <v>46311</v>
      </c>
      <c r="E29" s="93" t="s">
        <v>605</v>
      </c>
      <c r="F29" s="96">
        <f>DATE(2026,10,19)</f>
        <v>46314</v>
      </c>
      <c r="G29" s="93" t="s">
        <v>606</v>
      </c>
      <c r="H29" s="93" t="s">
        <v>607</v>
      </c>
    </row>
    <row r="30">
      <c r="B30" s="95" t="s">
        <v>608</v>
      </c>
      <c r="C30" s="94" t="s">
        <v>62</v>
      </c>
      <c r="D30" s="96">
        <f>DATE(2026,9,24)</f>
        <v>46289</v>
      </c>
      <c r="E30" s="93" t="s">
        <v>609</v>
      </c>
      <c r="F30" s="96">
        <f>DATE(2026,10,19)</f>
        <v>46314</v>
      </c>
      <c r="G30" s="93" t="s">
        <v>610</v>
      </c>
      <c r="H30" s="93" t="s">
        <v>611</v>
      </c>
    </row>
    <row r="31">
      <c r="B31" s="95" t="s">
        <v>612</v>
      </c>
      <c r="C31" s="94" t="s">
        <v>613</v>
      </c>
      <c r="D31" s="96">
        <f>DATE(2026,9,15)</f>
        <v>46280</v>
      </c>
      <c r="E31" s="93" t="s">
        <v>614</v>
      </c>
      <c r="F31" s="96">
        <f>DATE(2026,10,19)</f>
        <v>46314</v>
      </c>
      <c r="G31" s="93" t="s">
        <v>615</v>
      </c>
      <c r="H31" s="93" t="s">
        <v>616</v>
      </c>
    </row>
    <row r="32">
      <c r="B32" s="95" t="s">
        <v>617</v>
      </c>
      <c r="C32" s="94" t="s">
        <v>618</v>
      </c>
      <c r="D32" s="96">
        <f>DATE(2026,10,16)</f>
        <v>46311</v>
      </c>
      <c r="E32" s="93" t="s">
        <v>619</v>
      </c>
      <c r="F32" s="96">
        <f>DATE(2026,10,19)</f>
        <v>46314</v>
      </c>
      <c r="G32" s="93" t="s">
        <v>620</v>
      </c>
      <c r="H32" s="93" t="s">
        <v>621</v>
      </c>
    </row>
    <row r="33">
      <c r="B33" s="95" t="s">
        <v>622</v>
      </c>
      <c r="C33" s="94" t="s">
        <v>623</v>
      </c>
      <c r="D33" s="96">
        <f>DATE(2026,10,13)</f>
        <v>46308</v>
      </c>
      <c r="E33" s="93" t="s">
        <v>624</v>
      </c>
      <c r="F33" s="96">
        <f>DATE(2026,10,19)</f>
        <v>46314</v>
      </c>
      <c r="G33" s="93" t="s">
        <v>625</v>
      </c>
      <c r="H33" s="93" t="s">
        <v>626</v>
      </c>
    </row>
    <row r="34">
      <c r="B34" s="95" t="s">
        <v>627</v>
      </c>
      <c r="C34" s="94" t="s">
        <v>628</v>
      </c>
      <c r="D34" s="96">
        <f>DATE(2026,10,15)</f>
        <v>46310</v>
      </c>
      <c r="E34" s="93" t="s">
        <v>629</v>
      </c>
      <c r="F34" s="96">
        <f>DATE(2026,10,19)</f>
        <v>46314</v>
      </c>
      <c r="G34" s="93" t="s">
        <v>630</v>
      </c>
      <c r="H34" s="93" t="s">
        <v>631</v>
      </c>
    </row>
    <row r="35">
      <c r="B35" s="95" t="s">
        <v>632</v>
      </c>
      <c r="C35" s="94" t="s">
        <v>633</v>
      </c>
      <c r="D35" s="96">
        <f>DATE(2026,4,24)</f>
        <v>46136</v>
      </c>
      <c r="E35" s="93" t="s">
        <v>634</v>
      </c>
      <c r="F35" s="96">
        <f>DATE(2026,10,19)</f>
        <v>46314</v>
      </c>
      <c r="G35" s="93" t="s">
        <v>635</v>
      </c>
      <c r="H35" s="93" t="s">
        <v>636</v>
      </c>
    </row>
    <row r="36">
      <c r="B36" s="93" t="s">
        <v>637</v>
      </c>
      <c r="C36" s="100" t="s">
        <v>638</v>
      </c>
      <c r="D36" s="99" t="s">
        <v>639</v>
      </c>
      <c r="E36" s="93" t="s">
        <v>640</v>
      </c>
      <c r="F36" s="96">
        <f>DATE(2026,10,19)</f>
        <v>46314</v>
      </c>
      <c r="G36" s="93" t="s">
        <v>641</v>
      </c>
      <c r="H36" s="93" t="s">
        <v>642</v>
      </c>
    </row>
    <row r="38">
      <c r="B38" s="5" t="s">
        <v>643</v>
      </c>
    </row>
    <row r="39">
      <c r="B39" s="7" t="s">
        <v>644</v>
      </c>
    </row>
    <row r="40">
      <c r="B40" s="7" t="s">
        <v>645</v>
      </c>
    </row>
    <row r="41">
      <c r="B41" s="7" t="s">
        <v>646</v>
      </c>
    </row>
    <row r="42">
      <c r="B42" s="7" t="s">
        <v>647</v>
      </c>
    </row>
    <row r="43">
      <c r="B43" s="97" t="s">
        <v>648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B1:L13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2" customWidth="1"/>
    <col min="12" max="12" width="60" customWidth="1"/>
  </cols>
  <sheetData>
    <row r="1">
      <c r="B1" s="33" t="s">
        <v>0</v>
      </c>
    </row>
    <row r="2">
      <c r="B2" s="35" t="s">
        <v>649</v>
      </c>
    </row>
    <row r="3">
      <c r="B3" s="27" t="s">
        <v>2</v>
      </c>
    </row>
    <row r="4">
      <c r="B4" s="32" t="s">
        <v>3</v>
      </c>
      <c r="C4" s="12" t="s">
        <v>64</v>
      </c>
      <c r="D4" s="12" t="s">
        <v>65</v>
      </c>
      <c r="E4" s="12" t="s">
        <v>66</v>
      </c>
      <c r="F4" s="12" t="s">
        <v>67</v>
      </c>
      <c r="G4" s="12" t="s">
        <v>68</v>
      </c>
      <c r="H4" s="12" t="s">
        <v>69</v>
      </c>
      <c r="I4" s="12" t="s">
        <v>70</v>
      </c>
      <c r="J4" s="12" t="s">
        <v>4</v>
      </c>
    </row>
    <row r="5">
      <c r="B5" s="19" t="s">
        <v>5</v>
      </c>
      <c r="C5" s="20">
        <f>DATE(2025,3,31)</f>
        <v>45747</v>
      </c>
      <c r="D5" s="20">
        <f>DATE(2025,6,30)</f>
        <v>45838</v>
      </c>
      <c r="E5" s="20">
        <f>DATE(2025,9,30)</f>
        <v>45930</v>
      </c>
      <c r="F5" s="20">
        <f>DATE(2025,12,31)</f>
        <v>46022</v>
      </c>
      <c r="G5" s="20">
        <f>DATE(2026,3,31)</f>
        <v>46112</v>
      </c>
      <c r="H5" s="20">
        <f>DATE(2026,6,30)</f>
        <v>46203</v>
      </c>
      <c r="I5" s="20">
        <f>DATE(2025,12,31)</f>
        <v>46022</v>
      </c>
      <c r="J5" s="20">
        <f>DATE(2026,9,30)</f>
        <v>46295</v>
      </c>
    </row>
    <row r="6">
      <c r="B6" s="29" t="s">
        <v>6</v>
      </c>
      <c r="C6" s="14">
        <f>C5-EOMONTH(C5,-3)</f>
        <v>90</v>
      </c>
      <c r="D6" s="14">
        <f>D5-EOMONTH(D5,-3)</f>
        <v>91</v>
      </c>
      <c r="E6" s="14">
        <f>E5-EOMONTH(E5,-3)</f>
        <v>92</v>
      </c>
      <c r="F6" s="14">
        <f>F5-EOMONTH(F5,-3)</f>
        <v>92</v>
      </c>
      <c r="G6" s="14">
        <f>G5-EOMONTH(G5,-3)</f>
        <v>90</v>
      </c>
      <c r="H6" s="14">
        <f>H5-EOMONTH(H5,-3)</f>
        <v>91</v>
      </c>
      <c r="I6" s="14">
        <f>I5-EOMONTH(I5,-12)</f>
        <v>365</v>
      </c>
      <c r="J6" s="14">
        <f>J5-EOMONTH(J5,-3)</f>
        <v>92</v>
      </c>
    </row>
    <row r="8">
      <c r="B8" s="5" t="s">
        <v>650</v>
      </c>
      <c r="J8" s="51"/>
    </row>
    <row r="9">
      <c r="B9" s="7" t="s">
        <v>651</v>
      </c>
      <c r="C9" s="61">
        <v>45747</v>
      </c>
      <c r="D9" s="61">
        <v>45838</v>
      </c>
      <c r="E9" s="61">
        <v>45930</v>
      </c>
      <c r="F9" s="61">
        <v>46022</v>
      </c>
      <c r="G9" s="61">
        <v>46112</v>
      </c>
      <c r="H9" s="61">
        <v>46203</v>
      </c>
      <c r="J9" s="51"/>
    </row>
    <row r="10">
      <c r="B10" s="7" t="s">
        <v>652</v>
      </c>
      <c r="C10" s="61">
        <v>45771</v>
      </c>
      <c r="D10" s="61">
        <v>45862</v>
      </c>
      <c r="E10" s="61">
        <v>45953</v>
      </c>
      <c r="F10" s="61">
        <v>46072</v>
      </c>
      <c r="G10" s="61">
        <v>46135</v>
      </c>
      <c r="H10" s="61">
        <v>46226</v>
      </c>
      <c r="J10" s="51"/>
    </row>
    <row r="11">
      <c r="B11" s="7" t="s">
        <v>653</v>
      </c>
      <c r="C11" s="6">
        <v>3.71</v>
      </c>
      <c r="D11" s="6">
        <v>4.84</v>
      </c>
      <c r="E11" s="6">
        <v>6.29</v>
      </c>
      <c r="F11" s="6">
        <v>6.75</v>
      </c>
      <c r="G11" s="6">
        <v>6.81</v>
      </c>
      <c r="H11" s="6">
        <v>10.46</v>
      </c>
      <c r="J11" s="52">
        <f>C61</f>
        <v>12.85</v>
      </c>
      <c r="L11" s="31" t="s">
        <v>654</v>
      </c>
    </row>
    <row r="12">
      <c r="B12" s="7" t="s">
        <v>655</v>
      </c>
      <c r="C12" s="6">
        <v>4.75</v>
      </c>
      <c r="D12" s="6">
        <v>6.53</v>
      </c>
      <c r="E12" s="6">
        <v>8.25</v>
      </c>
      <c r="F12" s="6">
        <v>9.37</v>
      </c>
      <c r="G12" s="6">
        <v>10.51</v>
      </c>
      <c r="H12" s="6">
        <v>12.53</v>
      </c>
      <c r="J12" s="51"/>
    </row>
    <row r="13">
      <c r="B13" s="7" t="s">
        <v>656</v>
      </c>
      <c r="C13" s="6">
        <v>3.71</v>
      </c>
      <c r="D13" s="6">
        <v>4.78</v>
      </c>
      <c r="E13" s="6">
        <v>6.23</v>
      </c>
      <c r="F13" s="6">
        <v>6.75</v>
      </c>
      <c r="G13" s="6">
        <v>6.81</v>
      </c>
      <c r="H13" s="6">
        <v>10.42</v>
      </c>
      <c r="J13" s="52">
        <f>C70</f>
        <v>12.71</v>
      </c>
      <c r="L13" s="31" t="s">
        <v>654</v>
      </c>
    </row>
    <row r="14">
      <c r="B14" s="7" t="s">
        <v>657</v>
      </c>
      <c r="C14" s="6">
        <v>4.75</v>
      </c>
      <c r="D14" s="6">
        <v>6.53</v>
      </c>
      <c r="E14" s="6">
        <v>8.25</v>
      </c>
      <c r="F14" s="6">
        <v>9.37</v>
      </c>
      <c r="G14" s="6">
        <v>10.51</v>
      </c>
      <c r="H14" s="6">
        <v>12.53</v>
      </c>
      <c r="J14" s="51"/>
    </row>
    <row r="15">
      <c r="B15" s="7" t="s">
        <v>658</v>
      </c>
      <c r="C15" s="18">
        <v>1766.11</v>
      </c>
      <c r="D15" s="18">
        <v>1970.25</v>
      </c>
      <c r="E15" s="18">
        <v>2157.83</v>
      </c>
      <c r="F15" s="18">
        <v>2337</v>
      </c>
      <c r="G15" s="18">
        <v>2392.94</v>
      </c>
      <c r="H15" s="18">
        <v>2989.21</v>
      </c>
      <c r="J15" s="40">
        <f>C79</f>
        <v>3401.08</v>
      </c>
      <c r="L15" s="31" t="s">
        <v>654</v>
      </c>
    </row>
    <row r="16">
      <c r="B16" s="7" t="s">
        <v>659</v>
      </c>
      <c r="C16" s="18">
        <v>1831.29</v>
      </c>
      <c r="D16" s="18">
        <v>2173.32</v>
      </c>
      <c r="E16" s="18">
        <v>2450.97</v>
      </c>
      <c r="F16" s="18">
        <v>2646.07</v>
      </c>
      <c r="G16" s="18">
        <v>2865.33</v>
      </c>
      <c r="H16" s="18">
        <v>3265.66</v>
      </c>
      <c r="J16" s="51"/>
    </row>
    <row r="17">
      <c r="B17" s="7" t="s">
        <v>660</v>
      </c>
      <c r="C17" s="26">
        <f>C12-C11</f>
        <v>1.04</v>
      </c>
      <c r="D17" s="26">
        <f>D12-D11</f>
        <v>1.6900000000000004</v>
      </c>
      <c r="E17" s="26">
        <f>E12-E11</f>
        <v>1.96</v>
      </c>
      <c r="F17" s="26">
        <f>F12-F11</f>
        <v>2.619999999999999</v>
      </c>
      <c r="G17" s="26">
        <f>G12-G11</f>
        <v>3.7</v>
      </c>
      <c r="H17" s="26">
        <f>H12-H11</f>
        <v>2.0699999999999985</v>
      </c>
      <c r="J17" s="51"/>
    </row>
    <row r="18">
      <c r="B18" s="28" t="s">
        <v>661</v>
      </c>
      <c r="C18" s="16">
        <f>C12/C11-1</f>
        <v>0.2803234501347709</v>
      </c>
      <c r="D18" s="16">
        <f>D12/D11-1</f>
        <v>0.3491735537190084</v>
      </c>
      <c r="E18" s="16">
        <f>E12/E11-1</f>
        <v>0.31160572337042924</v>
      </c>
      <c r="F18" s="16">
        <f>F12/F11-1</f>
        <v>0.38814814814814813</v>
      </c>
      <c r="G18" s="16">
        <f>G12/G11-1</f>
        <v>0.5433186490455213</v>
      </c>
      <c r="H18" s="16">
        <f>H12/H11-1</f>
        <v>0.19789674952198832</v>
      </c>
      <c r="J18" s="51"/>
    </row>
    <row r="19">
      <c r="B19" s="7" t="s">
        <v>662</v>
      </c>
      <c r="C19" s="36">
        <f>IF(C12&gt;C11,1,0)</f>
        <v>1</v>
      </c>
      <c r="D19" s="36">
        <f>IF(D12&gt;D11,1,0)</f>
        <v>1</v>
      </c>
      <c r="E19" s="36">
        <f>IF(E12&gt;E11,1,0)</f>
        <v>1</v>
      </c>
      <c r="F19" s="36">
        <f>IF(F12&gt;F11,1,0)</f>
        <v>1</v>
      </c>
      <c r="G19" s="36">
        <f>IF(G12&gt;G11,1,0)</f>
        <v>1</v>
      </c>
      <c r="H19" s="36">
        <f>IF(H12&gt;H11,1,0)</f>
        <v>1</v>
      </c>
      <c r="J19" s="51"/>
    </row>
    <row r="20">
      <c r="B20" s="7" t="s">
        <v>663</v>
      </c>
      <c r="C20" s="36">
        <f>IF(AND(ISNUMBER(C12),ISNUMBER(C11)),1,0)</f>
        <v>1</v>
      </c>
      <c r="D20" s="36">
        <f>IF(AND(ISNUMBER(D12),ISNUMBER(D11)),1,0)</f>
        <v>1</v>
      </c>
      <c r="E20" s="36">
        <f>IF(AND(ISNUMBER(E12),ISNUMBER(E11)),1,0)</f>
        <v>1</v>
      </c>
      <c r="F20" s="36">
        <f>IF(AND(ISNUMBER(F12),ISNUMBER(F11)),1,0)</f>
        <v>1</v>
      </c>
      <c r="G20" s="36">
        <f>IF(AND(ISNUMBER(G12),ISNUMBER(G11)),1,0)</f>
        <v>1</v>
      </c>
      <c r="H20" s="36">
        <f>IF(AND(ISNUMBER(H12),ISNUMBER(H11)),1,0)</f>
        <v>1</v>
      </c>
      <c r="J20" s="51"/>
    </row>
    <row r="21">
      <c r="B21" s="7" t="s">
        <v>664</v>
      </c>
      <c r="C21" s="58" t="b">
        <f>C12=C14</f>
        <v>1</v>
      </c>
      <c r="D21" s="58" t="b">
        <f>D12=D14</f>
        <v>1</v>
      </c>
      <c r="E21" s="58" t="b">
        <f>E12=E14</f>
        <v>1</v>
      </c>
      <c r="F21" s="58" t="b">
        <f>F12=F14</f>
        <v>1</v>
      </c>
      <c r="G21" s="58" t="b">
        <f>G12=G14</f>
        <v>1</v>
      </c>
      <c r="H21" s="58" t="b">
        <f>H12=H14</f>
        <v>1</v>
      </c>
      <c r="J21" s="51"/>
    </row>
    <row r="22">
      <c r="B22" s="28" t="s">
        <v>665</v>
      </c>
      <c r="C22" s="16">
        <f>C16/C15-1</f>
        <v>0.0369059684844093</v>
      </c>
      <c r="D22" s="16">
        <f>D16/D15-1</f>
        <v>0.10306813856109631</v>
      </c>
      <c r="E22" s="16">
        <f>E16/E15-1</f>
        <v>0.1358494413368987</v>
      </c>
      <c r="F22" s="16">
        <f>F16/F15-1</f>
        <v>0.1322507488232778</v>
      </c>
      <c r="G22" s="16">
        <f>G16/G15-1</f>
        <v>0.197409880732488</v>
      </c>
      <c r="H22" s="16">
        <f>H16/H15-1</f>
        <v>0.09248262918965211</v>
      </c>
      <c r="J22" s="51"/>
    </row>
    <row r="23">
      <c r="J23" s="51"/>
    </row>
    <row r="24">
      <c r="B24" s="5" t="s">
        <v>666</v>
      </c>
      <c r="J24" s="51"/>
    </row>
    <row r="25">
      <c r="B25" s="7" t="s">
        <v>667</v>
      </c>
      <c r="C25" s="37">
        <f>C112</f>
        <v>1439.07</v>
      </c>
      <c r="J25" s="51"/>
    </row>
    <row r="26">
      <c r="B26" s="7" t="s">
        <v>668</v>
      </c>
      <c r="C26" s="38">
        <v>35.194329</v>
      </c>
      <c r="J26" s="51"/>
    </row>
    <row r="27">
      <c r="B27" s="7" t="s">
        <v>669</v>
      </c>
      <c r="C27" s="30">
        <f>C25*C26/1000</f>
        <v>50.64710303403</v>
      </c>
      <c r="J27" s="51"/>
      <c r="L27" s="31" t="s">
        <v>670</v>
      </c>
    </row>
    <row r="28">
      <c r="B28" s="7" t="s">
        <v>671</v>
      </c>
      <c r="C28" s="18">
        <v>54.17</v>
      </c>
      <c r="J28" s="51"/>
    </row>
    <row r="29">
      <c r="B29" s="7" t="s">
        <v>672</v>
      </c>
      <c r="C29" s="18">
        <v>10</v>
      </c>
      <c r="J29" s="51"/>
    </row>
    <row r="30">
      <c r="B30" s="7" t="s">
        <v>673</v>
      </c>
      <c r="C30" s="18">
        <v>2</v>
      </c>
      <c r="J30" s="51"/>
    </row>
    <row r="31">
      <c r="B31" s="7" t="s">
        <v>674</v>
      </c>
      <c r="C31" s="58" t="str">
        <f>IF(C27&gt;C29,"Large",IF(C27&gt;=C30,"Mid","Small"))</f>
        <v>Large</v>
      </c>
      <c r="J31" s="51"/>
    </row>
    <row r="32">
      <c r="B32" s="7" t="s">
        <v>675</v>
      </c>
      <c r="C32" s="92" t="s">
        <v>676</v>
      </c>
      <c r="J32" s="51"/>
    </row>
    <row r="33">
      <c r="B33" s="28" t="s">
        <v>677</v>
      </c>
      <c r="C33" s="23">
        <v>0.78</v>
      </c>
      <c r="J33" s="51"/>
    </row>
    <row r="34">
      <c r="B34" s="28" t="s">
        <v>678</v>
      </c>
      <c r="C34" s="23">
        <v>0.7</v>
      </c>
      <c r="J34" s="51"/>
    </row>
    <row r="35">
      <c r="B35" s="28" t="s">
        <v>679</v>
      </c>
      <c r="C35" s="23">
        <v>0.6</v>
      </c>
      <c r="J35" s="51"/>
    </row>
    <row r="36">
      <c r="B36" s="28" t="s">
        <v>680</v>
      </c>
      <c r="C36" s="16">
        <f>IF(OR(C31="Large",C32="Yes"),C33,IF(C31="Mid",C34,C35))</f>
        <v>0.78</v>
      </c>
      <c r="J36" s="51"/>
    </row>
    <row r="37">
      <c r="B37" s="7" t="s">
        <v>681</v>
      </c>
      <c r="C37" s="36">
        <f>SUM(C19:H19)</f>
        <v>6</v>
      </c>
      <c r="J37" s="51"/>
    </row>
    <row r="38">
      <c r="B38" s="7" t="s">
        <v>682</v>
      </c>
      <c r="C38" s="36">
        <f>SUM(C20:H20)</f>
        <v>6</v>
      </c>
      <c r="J38" s="51"/>
    </row>
    <row r="39">
      <c r="B39" s="7" t="s">
        <v>683</v>
      </c>
      <c r="C39" s="56">
        <v>8</v>
      </c>
      <c r="J39" s="51"/>
    </row>
    <row r="40">
      <c r="B40" s="28" t="s">
        <v>684</v>
      </c>
      <c r="C40" s="16">
        <f>(C39*C36+C37)/(C39+C38)</f>
        <v>0.8742857142857143</v>
      </c>
      <c r="J40" s="51"/>
      <c r="L40" s="31" t="s">
        <v>685</v>
      </c>
    </row>
    <row r="41">
      <c r="B41" s="28" t="s">
        <v>686</v>
      </c>
      <c r="C41" s="23">
        <v>0.8</v>
      </c>
      <c r="J41" s="51"/>
      <c r="L41" s="31" t="s">
        <v>687</v>
      </c>
    </row>
    <row r="42">
      <c r="B42" s="28" t="s">
        <v>688</v>
      </c>
      <c r="C42" s="16">
        <f>C41-C40</f>
        <v>-0.07428571428571429</v>
      </c>
      <c r="J42" s="51"/>
    </row>
    <row r="43">
      <c r="B43" s="7" t="s">
        <v>44</v>
      </c>
      <c r="C43" s="92" t="s">
        <v>689</v>
      </c>
      <c r="J43" s="51"/>
    </row>
    <row r="44">
      <c r="B44" s="7" t="s">
        <v>690</v>
      </c>
      <c r="C44" s="26">
        <f>AVERAGE(C17:H17)</f>
        <v>2.1799999999999997</v>
      </c>
      <c r="J44" s="51"/>
    </row>
    <row r="45">
      <c r="B45" s="7" t="s">
        <v>691</v>
      </c>
      <c r="C45" s="3">
        <f>'Income Statement'!J81-J11</f>
        <v>0.2377548701401846</v>
      </c>
      <c r="J45" s="51"/>
    </row>
    <row r="46">
      <c r="J46" s="51"/>
    </row>
    <row r="47">
      <c r="B47" s="5" t="s">
        <v>692</v>
      </c>
      <c r="J47" s="51"/>
    </row>
    <row r="48">
      <c r="B48" s="7" t="s">
        <v>693</v>
      </c>
      <c r="C48" s="57" t="s">
        <v>12</v>
      </c>
      <c r="J48" s="51"/>
    </row>
    <row r="49">
      <c r="B49" s="7" t="s">
        <v>694</v>
      </c>
      <c r="C49" s="57" t="s">
        <v>10</v>
      </c>
      <c r="J49" s="51"/>
    </row>
    <row r="50">
      <c r="B50" s="7" t="s">
        <v>695</v>
      </c>
      <c r="C50" s="57" t="s">
        <v>696</v>
      </c>
      <c r="J50" s="51"/>
    </row>
    <row r="51">
      <c r="B51" s="7" t="s">
        <v>697</v>
      </c>
      <c r="C51" s="57">
        <v>100935</v>
      </c>
      <c r="J51" s="51"/>
    </row>
    <row r="52">
      <c r="B52" s="7" t="s">
        <v>698</v>
      </c>
      <c r="C52" s="57" t="s">
        <v>699</v>
      </c>
      <c r="J52" s="51"/>
    </row>
    <row r="53">
      <c r="B53" s="7" t="s">
        <v>700</v>
      </c>
      <c r="C53" s="57" t="s">
        <v>701</v>
      </c>
      <c r="J53" s="51"/>
    </row>
    <row r="54">
      <c r="B54" s="7" t="s">
        <v>702</v>
      </c>
      <c r="C54" s="57" t="s">
        <v>703</v>
      </c>
      <c r="J54" s="51"/>
    </row>
    <row r="55">
      <c r="B55" s="7" t="s">
        <v>704</v>
      </c>
      <c r="C55" s="61">
        <v>46295</v>
      </c>
      <c r="J55" s="51"/>
    </row>
    <row r="56">
      <c r="B56" s="7" t="s">
        <v>705</v>
      </c>
      <c r="C56" s="61">
        <v>46317</v>
      </c>
      <c r="J56" s="51"/>
    </row>
    <row r="57">
      <c r="B57" s="7" t="s">
        <v>706</v>
      </c>
      <c r="C57" s="57" t="s">
        <v>707</v>
      </c>
      <c r="J57" s="51"/>
    </row>
    <row r="58">
      <c r="B58" s="7" t="s">
        <v>708</v>
      </c>
      <c r="C58" s="56">
        <v>10</v>
      </c>
      <c r="J58" s="51"/>
    </row>
    <row r="59">
      <c r="B59" s="7" t="s">
        <v>709</v>
      </c>
      <c r="C59" s="56">
        <v>10</v>
      </c>
      <c r="J59" s="51"/>
    </row>
    <row r="60">
      <c r="B60" s="7" t="s">
        <v>710</v>
      </c>
      <c r="J60" s="51"/>
      <c r="L60" s="31" t="s">
        <v>711</v>
      </c>
    </row>
    <row r="61">
      <c r="B61" s="7" t="s">
        <v>712</v>
      </c>
      <c r="C61" s="6">
        <v>12.85</v>
      </c>
      <c r="J61" s="51"/>
    </row>
    <row r="62">
      <c r="B62" s="7" t="s">
        <v>713</v>
      </c>
      <c r="C62" s="6">
        <v>12.76</v>
      </c>
      <c r="J62" s="51"/>
    </row>
    <row r="63">
      <c r="B63" s="7" t="s">
        <v>714</v>
      </c>
      <c r="C63" s="6">
        <v>14.13</v>
      </c>
      <c r="J63" s="51"/>
    </row>
    <row r="64">
      <c r="B64" s="7" t="s">
        <v>715</v>
      </c>
      <c r="C64" s="6">
        <v>12.13</v>
      </c>
      <c r="J64" s="51"/>
    </row>
    <row r="65">
      <c r="B65" s="7" t="s">
        <v>716</v>
      </c>
      <c r="C65" s="6">
        <v>0.55</v>
      </c>
      <c r="J65" s="51"/>
    </row>
    <row r="66">
      <c r="B66" s="7" t="s">
        <v>717</v>
      </c>
      <c r="C66" s="56">
        <v>10</v>
      </c>
      <c r="J66" s="51"/>
    </row>
    <row r="67">
      <c r="B67" s="7" t="s">
        <v>718</v>
      </c>
      <c r="J67" s="51"/>
      <c r="L67" s="31" t="s">
        <v>711</v>
      </c>
    </row>
    <row r="68">
      <c r="B68" s="7" t="s">
        <v>719</v>
      </c>
      <c r="J68" s="51"/>
      <c r="L68" s="31" t="s">
        <v>711</v>
      </c>
    </row>
    <row r="69">
      <c r="B69" s="7" t="s">
        <v>720</v>
      </c>
      <c r="J69" s="51"/>
      <c r="L69" s="31" t="s">
        <v>711</v>
      </c>
    </row>
    <row r="70">
      <c r="B70" s="7" t="s">
        <v>721</v>
      </c>
      <c r="C70" s="6">
        <v>12.71</v>
      </c>
      <c r="J70" s="51"/>
    </row>
    <row r="71">
      <c r="B71" s="7" t="s">
        <v>722</v>
      </c>
      <c r="C71" s="6">
        <v>12.68</v>
      </c>
      <c r="J71" s="51"/>
    </row>
    <row r="72">
      <c r="B72" s="7" t="s">
        <v>723</v>
      </c>
      <c r="C72" s="6">
        <v>13.23</v>
      </c>
      <c r="J72" s="51"/>
    </row>
    <row r="73">
      <c r="B73" s="7" t="s">
        <v>724</v>
      </c>
      <c r="C73" s="6">
        <v>12.13</v>
      </c>
      <c r="J73" s="51"/>
    </row>
    <row r="74">
      <c r="B74" s="7" t="s">
        <v>725</v>
      </c>
      <c r="C74" s="6">
        <v>0.36</v>
      </c>
      <c r="J74" s="51"/>
    </row>
    <row r="75">
      <c r="B75" s="7" t="s">
        <v>726</v>
      </c>
      <c r="C75" s="56">
        <v>9</v>
      </c>
      <c r="J75" s="51"/>
    </row>
    <row r="76">
      <c r="B76" s="7" t="s">
        <v>727</v>
      </c>
      <c r="J76" s="51"/>
      <c r="L76" s="31" t="s">
        <v>711</v>
      </c>
    </row>
    <row r="77">
      <c r="B77" s="7" t="s">
        <v>728</v>
      </c>
      <c r="J77" s="51"/>
      <c r="L77" s="31" t="s">
        <v>711</v>
      </c>
    </row>
    <row r="78">
      <c r="B78" s="7" t="s">
        <v>729</v>
      </c>
      <c r="J78" s="51"/>
      <c r="L78" s="31" t="s">
        <v>711</v>
      </c>
    </row>
    <row r="79">
      <c r="B79" s="7" t="s">
        <v>730</v>
      </c>
      <c r="C79" s="18">
        <v>3401.08</v>
      </c>
      <c r="J79" s="51"/>
    </row>
    <row r="80">
      <c r="B80" s="7" t="s">
        <v>731</v>
      </c>
      <c r="C80" s="18">
        <v>3400.05</v>
      </c>
      <c r="J80" s="51"/>
    </row>
    <row r="81">
      <c r="B81" s="7" t="s">
        <v>732</v>
      </c>
      <c r="C81" s="18">
        <v>3590.54</v>
      </c>
      <c r="J81" s="51"/>
    </row>
    <row r="82">
      <c r="B82" s="7" t="s">
        <v>733</v>
      </c>
      <c r="C82" s="18">
        <v>3259.71</v>
      </c>
      <c r="J82" s="51"/>
    </row>
    <row r="83">
      <c r="B83" s="7" t="s">
        <v>734</v>
      </c>
      <c r="C83" s="18">
        <v>83.74</v>
      </c>
      <c r="J83" s="51"/>
    </row>
    <row r="84">
      <c r="B84" s="7" t="s">
        <v>735</v>
      </c>
      <c r="C84" s="56">
        <v>10</v>
      </c>
      <c r="J84" s="51"/>
    </row>
    <row r="85">
      <c r="B85" s="7" t="s">
        <v>736</v>
      </c>
      <c r="J85" s="51"/>
      <c r="L85" s="31" t="s">
        <v>711</v>
      </c>
    </row>
    <row r="86">
      <c r="B86" s="7" t="s">
        <v>737</v>
      </c>
      <c r="J86" s="51"/>
      <c r="L86" s="31" t="s">
        <v>711</v>
      </c>
    </row>
    <row r="87">
      <c r="B87" s="7" t="s">
        <v>738</v>
      </c>
      <c r="J87" s="51"/>
      <c r="L87" s="31" t="s">
        <v>711</v>
      </c>
    </row>
    <row r="88">
      <c r="B88" s="7" t="s">
        <v>739</v>
      </c>
      <c r="C88" s="18">
        <v>628.54</v>
      </c>
      <c r="J88" s="51"/>
    </row>
    <row r="89">
      <c r="B89" s="7" t="s">
        <v>740</v>
      </c>
      <c r="C89" s="18">
        <v>584.18</v>
      </c>
      <c r="J89" s="51"/>
    </row>
    <row r="90">
      <c r="B90" s="7" t="s">
        <v>741</v>
      </c>
      <c r="C90" s="18">
        <v>580.38</v>
      </c>
      <c r="J90" s="51"/>
    </row>
    <row r="91">
      <c r="B91" s="7" t="s">
        <v>742</v>
      </c>
      <c r="C91" s="18">
        <v>580.38</v>
      </c>
      <c r="J91" s="51"/>
    </row>
    <row r="92">
      <c r="B92" s="7" t="s">
        <v>743</v>
      </c>
      <c r="C92" s="18">
        <v>447.87</v>
      </c>
      <c r="J92" s="51"/>
    </row>
    <row r="93">
      <c r="B93" s="7" t="s">
        <v>744</v>
      </c>
      <c r="C93" s="18">
        <v>447.87</v>
      </c>
      <c r="J93" s="51"/>
    </row>
    <row r="94">
      <c r="B94" s="7" t="s">
        <v>745</v>
      </c>
      <c r="J94" s="51"/>
      <c r="L94" s="31" t="s">
        <v>711</v>
      </c>
    </row>
    <row r="95">
      <c r="B95" s="7" t="s">
        <v>746</v>
      </c>
      <c r="J95" s="51"/>
      <c r="L95" s="31" t="s">
        <v>711</v>
      </c>
    </row>
    <row r="96">
      <c r="B96" s="7" t="s">
        <v>747</v>
      </c>
      <c r="C96" s="18">
        <v>44.92</v>
      </c>
      <c r="J96" s="51"/>
    </row>
    <row r="97">
      <c r="B97" s="7" t="s">
        <v>748</v>
      </c>
      <c r="J97" s="51"/>
      <c r="L97" s="31" t="s">
        <v>711</v>
      </c>
    </row>
    <row r="98">
      <c r="B98" s="7" t="s">
        <v>749</v>
      </c>
      <c r="J98" s="51"/>
      <c r="L98" s="31" t="s">
        <v>711</v>
      </c>
    </row>
    <row r="99">
      <c r="B99" s="7" t="s">
        <v>750</v>
      </c>
      <c r="J99" s="51"/>
      <c r="L99" s="31" t="s">
        <v>711</v>
      </c>
    </row>
    <row r="100">
      <c r="B100" s="7" t="s">
        <v>751</v>
      </c>
      <c r="C100" s="18">
        <v>-5</v>
      </c>
      <c r="J100" s="51"/>
    </row>
    <row r="101">
      <c r="B101" s="7" t="s">
        <v>752</v>
      </c>
      <c r="C101" s="18">
        <v>-2402.59</v>
      </c>
      <c r="J101" s="51"/>
    </row>
    <row r="102">
      <c r="B102" s="7" t="s">
        <v>753</v>
      </c>
      <c r="J102" s="51"/>
      <c r="L102" s="31" t="s">
        <v>711</v>
      </c>
    </row>
    <row r="103">
      <c r="B103" s="7" t="s">
        <v>754</v>
      </c>
      <c r="J103" s="51"/>
      <c r="L103" s="31" t="s">
        <v>711</v>
      </c>
    </row>
    <row r="104">
      <c r="B104" s="7" t="s">
        <v>755</v>
      </c>
      <c r="C104" s="60">
        <v>2198.88</v>
      </c>
      <c r="J104" s="51"/>
    </row>
    <row r="105">
      <c r="B105" s="7" t="s">
        <v>756</v>
      </c>
      <c r="C105" s="60">
        <v>2165.5</v>
      </c>
      <c r="J105" s="51"/>
    </row>
    <row r="106">
      <c r="B106" s="7" t="s">
        <v>757</v>
      </c>
      <c r="C106" s="60">
        <v>2500</v>
      </c>
      <c r="J106" s="51"/>
    </row>
    <row r="107">
      <c r="B107" s="7" t="s">
        <v>758</v>
      </c>
      <c r="C107" s="60">
        <v>1910</v>
      </c>
      <c r="J107" s="51"/>
    </row>
    <row r="108">
      <c r="B108" s="7" t="s">
        <v>759</v>
      </c>
      <c r="C108" s="60">
        <v>170.59</v>
      </c>
      <c r="J108" s="51"/>
    </row>
    <row r="109">
      <c r="B109" s="7" t="s">
        <v>760</v>
      </c>
      <c r="C109" s="56">
        <v>8</v>
      </c>
      <c r="J109" s="51"/>
    </row>
    <row r="110">
      <c r="B110" s="7" t="s">
        <v>761</v>
      </c>
      <c r="C110" s="57" t="s">
        <v>762</v>
      </c>
      <c r="J110" s="51"/>
    </row>
    <row r="111">
      <c r="B111" s="7" t="s">
        <v>763</v>
      </c>
      <c r="C111" s="78">
        <v>1.2</v>
      </c>
      <c r="J111" s="51"/>
    </row>
    <row r="112">
      <c r="B112" s="7" t="s">
        <v>764</v>
      </c>
      <c r="C112" s="60">
        <v>1439.07</v>
      </c>
      <c r="J112" s="51"/>
    </row>
    <row r="113">
      <c r="B113" s="7" t="s">
        <v>765</v>
      </c>
      <c r="C113" s="57" t="s">
        <v>766</v>
      </c>
      <c r="J113" s="51"/>
    </row>
    <row r="114">
      <c r="B114" s="7" t="s">
        <v>767</v>
      </c>
      <c r="C114" s="61">
        <v>46313</v>
      </c>
      <c r="J114" s="51"/>
    </row>
    <row r="115">
      <c r="B115" s="7" t="s">
        <v>768</v>
      </c>
      <c r="C115" s="57" t="s">
        <v>769</v>
      </c>
      <c r="J115" s="51"/>
    </row>
    <row r="116">
      <c r="J116" s="51"/>
    </row>
    <row r="117">
      <c r="B117" s="5" t="s">
        <v>770</v>
      </c>
      <c r="J117" s="51"/>
    </row>
    <row r="118">
      <c r="B118" s="7" t="s">
        <v>771</v>
      </c>
      <c r="C118" s="57" t="s">
        <v>772</v>
      </c>
      <c r="J118" s="51"/>
    </row>
    <row r="119">
      <c r="B119" s="7" t="s">
        <v>693</v>
      </c>
      <c r="C119" s="57" t="s">
        <v>12</v>
      </c>
      <c r="J119" s="51"/>
    </row>
    <row r="120">
      <c r="B120" s="7" t="s">
        <v>773</v>
      </c>
      <c r="C120" s="57" t="s">
        <v>10</v>
      </c>
      <c r="J120" s="51"/>
    </row>
    <row r="121">
      <c r="B121" s="7" t="s">
        <v>774</v>
      </c>
      <c r="C121" s="57" t="s">
        <v>703</v>
      </c>
      <c r="J121" s="51"/>
    </row>
    <row r="122">
      <c r="B122" s="7" t="s">
        <v>651</v>
      </c>
      <c r="C122" s="61">
        <v>46295</v>
      </c>
      <c r="J122" s="51"/>
    </row>
    <row r="123">
      <c r="B123" s="7" t="s">
        <v>775</v>
      </c>
      <c r="C123" s="61">
        <v>46313</v>
      </c>
      <c r="J123" s="51"/>
    </row>
    <row r="124">
      <c r="B124" s="7" t="s">
        <v>776</v>
      </c>
      <c r="C124" s="56">
        <v>10</v>
      </c>
      <c r="J124" s="51"/>
    </row>
    <row r="125">
      <c r="B125" s="7" t="s">
        <v>777</v>
      </c>
      <c r="C125" s="6">
        <v>12.85</v>
      </c>
      <c r="J125" s="51"/>
    </row>
    <row r="126">
      <c r="B126" s="7" t="s">
        <v>706</v>
      </c>
      <c r="C126" s="57" t="s">
        <v>778</v>
      </c>
      <c r="J126" s="51"/>
    </row>
    <row r="127">
      <c r="B127" s="7" t="s">
        <v>779</v>
      </c>
      <c r="C127" s="18">
        <v>3401.08</v>
      </c>
      <c r="J127" s="51"/>
    </row>
    <row r="128">
      <c r="B128" s="7" t="s">
        <v>780</v>
      </c>
      <c r="C128" s="57" t="s">
        <v>699</v>
      </c>
      <c r="J128" s="51"/>
    </row>
    <row r="129">
      <c r="B129" s="7" t="s">
        <v>781</v>
      </c>
      <c r="C129" s="57" t="s">
        <v>782</v>
      </c>
      <c r="J129" s="51"/>
    </row>
    <row r="130">
      <c r="B130" s="7" t="s">
        <v>783</v>
      </c>
      <c r="C130" s="57" t="s">
        <v>784</v>
      </c>
      <c r="J130" s="51"/>
    </row>
    <row r="131">
      <c r="B131" s="7" t="s">
        <v>785</v>
      </c>
      <c r="C131" s="57" t="s">
        <v>699</v>
      </c>
      <c r="J131" s="51"/>
    </row>
    <row r="132">
      <c r="B132" s="7" t="s">
        <v>786</v>
      </c>
      <c r="C132" s="57" t="s">
        <v>699</v>
      </c>
      <c r="J132" s="51"/>
    </row>
    <row r="133">
      <c r="B133" s="7" t="s">
        <v>787</v>
      </c>
      <c r="C133" s="57" t="s">
        <v>788</v>
      </c>
      <c r="J133" s="51"/>
    </row>
    <row r="134">
      <c r="B134" s="7" t="s">
        <v>789</v>
      </c>
      <c r="C134" s="57" t="s">
        <v>699</v>
      </c>
      <c r="J134" s="51"/>
    </row>
    <row r="135">
      <c r="B135" s="7" t="s">
        <v>790</v>
      </c>
      <c r="C135" s="57" t="s">
        <v>791</v>
      </c>
      <c r="J135" s="51"/>
    </row>
    <row r="136">
      <c r="B136" s="7" t="s">
        <v>792</v>
      </c>
      <c r="C136" s="57" t="s">
        <v>793</v>
      </c>
      <c r="J136" s="51"/>
    </row>
    <row r="137">
      <c r="B137" s="7" t="s">
        <v>794</v>
      </c>
      <c r="C137" s="57" t="s">
        <v>795</v>
      </c>
      <c r="J137" s="51"/>
    </row>
  </sheetData>
  <legacyDrawing r:id="rId2"/>
</worksheet>
</file>