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HOKA" sheetId="3" r:id="rId4"/>
    <sheet name="Segment - UGG" sheetId="4" r:id="rId5"/>
    <sheet name="Segment - Other brands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sharedStrings.xml><?xml version="1.0" encoding="utf-8"?>
<sst xmlns="http://schemas.openxmlformats.org/spreadsheetml/2006/main" count="2103" uniqueCount="732">
  <si>
    <t>Company Model — built by Shortcut</t>
  </si>
  <si>
    <t>Deckers Outdoor Corporation (NYSE: DECK)</t>
  </si>
  <si>
    <t>Cover — Company Model, built by Shortcut</t>
  </si>
  <si>
    <t>$ millions, except per share</t>
  </si>
  <si>
    <t>Company profile</t>
  </si>
  <si>
    <t>Company</t>
  </si>
  <si>
    <t>Deckers Outdoor Corporation (Deckers Brands: HOKA, UGG, Teva)</t>
  </si>
  <si>
    <t>Ticker / exchange</t>
  </si>
  <si>
    <t>DECK / New York Stock Exchange (NYSE:DECK)</t>
  </si>
  <si>
    <t>Fiscal year end</t>
  </si>
  <si>
    <t>31 March (FY2027 ends 31-Mar-2027)</t>
  </si>
  <si>
    <t>Forecast period</t>
  </si>
  <si>
    <t>FQ2 FY2027 = 2Q27E, three months ended 30-Sep-2026 (supplied label FQ2 2027 - Sep 2026; period-end 2026-09-30 matches issuer quarter-end)</t>
  </si>
  <si>
    <t>Reporting currency</t>
  </si>
  <si>
    <t>USD; amounts in $ millions</t>
  </si>
  <si>
    <t>EPS basis</t>
  </si>
  <si>
    <t>Normalized diluted EPS per common share (CapIQ basis); Deckers reports GAAP only, so normalized = GAAP (bridge on Income Statement)</t>
  </si>
  <si>
    <t>Information cutoff</t>
  </si>
  <si>
    <t>18-Oct-2026 21:34 UTC</t>
  </si>
  <si>
    <t>Expected report date</t>
  </si>
  <si>
    <t>22-Oct-2026 after market close (issuer-confirmed, S10); CapIQ snapshot listed 29-Oct-2026 (unconfirmed)</t>
  </si>
  <si>
    <t>Market cap / index</t>
  </si>
  <si>
    <t>$11.68bn at 16-Oct-2026 (S14); S&amp;P 500 constituent (S15)</t>
  </si>
  <si>
    <t>Author</t>
  </si>
  <si>
    <t>Shortcut</t>
  </si>
  <si>
    <t>Headline estimate vs consensus vs guidance — 2Q27E (quarter ending 30-Sep-2026)</t>
  </si>
  <si>
    <t>Metric</t>
  </si>
  <si>
    <t>2Q26A (yr-ago)</t>
  </si>
  <si>
    <t>Estimate</t>
  </si>
  <si>
    <t>Consensus</t>
  </si>
  <si>
    <t>Variance</t>
  </si>
  <si>
    <t>Variance %</t>
  </si>
  <si>
    <t>Guide mid</t>
  </si>
  <si>
    <t>Est - guide</t>
  </si>
  <si>
    <t>Revenue ($m)</t>
  </si>
  <si>
    <t>Consensus: CapIQ mean of 21 (median 1,505.1; range 1,497.7-1,521.0). Guide: ~+5% y/y (S9)</t>
  </si>
  <si>
    <t>Net income — normalized ($m)</t>
  </si>
  <si>
    <t>n/a</t>
  </si>
  <si>
    <t>Consensus: CapIQ net income excl. exceptional items. Net income not guided (n/a)</t>
  </si>
  <si>
    <t>Net income — GAAP ($m)</t>
  </si>
  <si>
    <t>Consensus: CapIQ GAAP net income</t>
  </si>
  <si>
    <t>Normalized diluted EPS</t>
  </si>
  <si>
    <t>Frozen CapIQ mean $1.79 (22 est.; median 1.78; high 1.86; low 1.74). Guide $1.73-1.78</t>
  </si>
  <si>
    <t>Diluted EPS — GAAP</t>
  </si>
  <si>
    <t>CapIQ GAAP mean $1.79 (19 est.)</t>
  </si>
  <si>
    <t>Check: Cover ties to statements</t>
  </si>
  <si>
    <t>Overall model check result</t>
  </si>
  <si>
    <t>AND of independent checks only: revenue vs CapIQ (Revenue summary r92), EPS vs reported (IS r93) and vs CapIQ (IS r107), balance sheet balances (BS r47), historical cash ties (CF C66:H66), historical Geo totals (Geo C34:H34). Structural identities (Rev summary r93, IS r108, CF G67 FY CFO formula completeness, CF I66, Geo I34, D28) are memo only</t>
  </si>
  <si>
    <t>P(beat consensus EPS)</t>
  </si>
  <si>
    <t>Probability reported normalized diluted EPS is strictly above frozen consensus $1.79; equals p_beat_consensus_eps in estimate.json</t>
  </si>
  <si>
    <t>Confidence</t>
  </si>
  <si>
    <t>medium</t>
  </si>
  <si>
    <t>Equals confidence in estimate.json</t>
  </si>
  <si>
    <t>Beat-probability calibration (playbook v2: size + issuer history)</t>
  </si>
  <si>
    <t>Market cap ($bn, 16-Oct-26)</t>
  </si>
  <si>
    <t>S14 public.com; CapIQ market cap field blank in export. Cross-check: CapIQ last close $85.71 (Inputs C90) x 136.725m shares at 30-Jun-26 (Share Count H23) = ~$11.7bn &gt; $10bn, so Large bucket holds independent of S14/S15</t>
  </si>
  <si>
    <t>S&amp;P 500 member</t>
  </si>
  <si>
    <t>Yes</t>
  </si>
  <si>
    <t>S15</t>
  </si>
  <si>
    <t>Large-cap threshold ($bn)</t>
  </si>
  <si>
    <t>Playbook v2: large/mega &gt; $10bn</t>
  </si>
  <si>
    <t>Mid-cap threshold ($bn)</t>
  </si>
  <si>
    <t>Playbook v2: mid $2-10bn; small $0.3-2bn</t>
  </si>
  <si>
    <t>Prior: large cap or S&amp;P 500</t>
  </si>
  <si>
    <t>Playbook v2 cohort prior</t>
  </si>
  <si>
    <t>Prior: mid cap</t>
  </si>
  <si>
    <t>Prior: small cap</t>
  </si>
  <si>
    <t>Size bucket</t>
  </si>
  <si>
    <t>Cohort prior</t>
  </si>
  <si>
    <t>b = strict beats (6 CapIQ pairs)</t>
  </si>
  <si>
    <t>n = valid pairs (normalized basis)</t>
  </si>
  <si>
    <t>Pseudo-count</t>
  </si>
  <si>
    <t>Starting p = (k*prior+b)/(k+n)</t>
  </si>
  <si>
    <t>Final p (after quarter evidence)</t>
  </si>
  <si>
    <t>Judgment input. Down-weights: consensus $1.79 sits above guide high end $1.78; UBS channel checks show HOKA US demand cooling (S16); more HOKA promotions in Sep (S17); Q2 GM down on tariffs/freight (S9); shrinking recent surprises (+$0.13, +$0.07). Supports: 6/6 beats, Q1 beat high end by $0.07, buybacks</t>
  </si>
  <si>
    <t>Evidence adjustment (final - starting)</t>
  </si>
  <si>
    <t>Historical EPS surprises (CapIQ normalized; $ per share)</t>
  </si>
  <si>
    <t>Period end</t>
  </si>
  <si>
    <t>Report date</t>
  </si>
  <si>
    <t>Actual</t>
  </si>
  <si>
    <t>Surprise ($)</t>
  </si>
  <si>
    <t>Beat?</t>
  </si>
  <si>
    <t>Average surprise ($/share)</t>
  </si>
  <si>
    <t>Avg surprise, last 2 quarters</t>
  </si>
  <si>
    <t>Shortcut est. less consensus</t>
  </si>
  <si>
    <t>Key 2Q27E drivers (linked)</t>
  </si>
  <si>
    <t>HOKA net sales growth Y/Y</t>
  </si>
  <si>
    <t>UGG net sales growth Y/Y</t>
  </si>
  <si>
    <t>Other brands net sales growth Y/Y</t>
  </si>
  <si>
    <t>Gross margin</t>
  </si>
  <si>
    <t>Operating margin</t>
  </si>
  <si>
    <t>Effective tax rate</t>
  </si>
  <si>
    <t>Weighted diluted shares (m)</t>
  </si>
  <si>
    <t>Revenue summary — net sales by brand, channel and KPIs</t>
  </si>
  <si>
    <t>Period</t>
  </si>
  <si>
    <t>1Q26A</t>
  </si>
  <si>
    <t>2Q26A</t>
  </si>
  <si>
    <t>3Q26A</t>
  </si>
  <si>
    <t>4Q26A</t>
  </si>
  <si>
    <t>FY26A</t>
  </si>
  <si>
    <t>1Q27A</t>
  </si>
  <si>
    <t>2Q27E</t>
  </si>
  <si>
    <t>Notes / sources</t>
  </si>
  <si>
    <t>Days in period</t>
  </si>
  <si>
    <t>Net sales by brand (reportable segments)</t>
  </si>
  <si>
    <t>HOKA brand</t>
  </si>
  <si>
    <t>Linked from Segment - HOKA tab</t>
  </si>
  <si>
    <t>Prior-year period</t>
  </si>
  <si>
    <t>UGG brand</t>
  </si>
  <si>
    <t>Linked from Segment - UGG tab</t>
  </si>
  <si>
    <t>Other brands</t>
  </si>
  <si>
    <t>Linked from Segment - Other brands tab</t>
  </si>
  <si>
    <t>Total net sales</t>
  </si>
  <si>
    <t>% Y/Y</t>
  </si>
  <si>
    <t>% Q/Q</t>
  </si>
  <si>
    <t>Change Q/Q ($m)</t>
  </si>
  <si>
    <t>Constant-currency growth (issuer)</t>
  </si>
  <si>
    <t>Issuer non-GAAP constant-currency growth (S2,S3,S4,S8,S6,S7). 2Q27E FX not forecast -&gt; n/a</t>
  </si>
  <si>
    <t>M&amp;A / scope impact</t>
  </si>
  <si>
    <t>M&amp;A: Sanuk brand sold Aug-2024 -&gt; 1Q26, 2Q26 and FY26 comparisons include Sanuk in base (amount not disclosed) = n/a; no transactions affecting later comparisons = 0.0%</t>
  </si>
  <si>
    <t>FX impact</t>
  </si>
  <si>
    <t>FX impact = (1+reported Y/Y)/(1+constant-currency Y/Y)-1</t>
  </si>
  <si>
    <t>Organic growth</t>
  </si>
  <si>
    <t>Total Y/Y (reported)</t>
  </si>
  <si>
    <t>Brand growth and mix</t>
  </si>
  <si>
    <t>HOKA</t>
  </si>
  <si>
    <t>% of total net sales</t>
  </si>
  <si>
    <t>Change Y/Y (bps)</t>
  </si>
  <si>
    <t>Change Q/Q (bps)</t>
  </si>
  <si>
    <t>UGG</t>
  </si>
  <si>
    <t>Net sales by channel</t>
  </si>
  <si>
    <t>Wholesale</t>
  </si>
  <si>
    <t>Sum of brand-channel lines on segment tabs</t>
  </si>
  <si>
    <t>Direct-to-Consumer</t>
  </si>
  <si>
    <t>DTC comparable sales growth (cc)</t>
  </si>
  <si>
    <t>S2,S3,S4,S8,S6,S7; not forecast (n/a)</t>
  </si>
  <si>
    <t>Prior-year comps only available inside the timeline (1Q27 vs 1Q26)</t>
  </si>
  <si>
    <t>Volume and price KPIs</t>
  </si>
  <si>
    <t>Units sold (millions, all brands)</t>
  </si>
  <si>
    <t>10-Q/10-K Supplemental Disclosure (thousands of units /1,000), as disclosed rounded to the nearest 100k units (issuer: 'Percentages may not calculate on rounded units'). 4Q = FY less 9M is a rounding residual (about ±0.2m). 2Q27E implied = net sales / ASP</t>
  </si>
  <si>
    <t>4Q26 0.0% (shown as –) is the identical rounded residual 15.2 vs 15.2, not missing data; exact thousand-unit figures are not disclosed</t>
  </si>
  <si>
    <t>Change Q/Q (m units)</t>
  </si>
  <si>
    <t>Average selling price per unit ($)</t>
  </si>
  <si>
    <t>Net sales / units sold (all categories incl. apparel/accessories)</t>
  </si>
  <si>
    <t>ASP — prior-year period ($)</t>
  </si>
  <si>
    <t>2Q27E input: price/mix +5% (1Q27 ASP +7.2% y/y on DTC mix and pricing)</t>
  </si>
  <si>
    <t>Change Q/Q ($)</t>
  </si>
  <si>
    <t>Company-owned stores (HOKA+UGG)</t>
  </si>
  <si>
    <t>Total store count per 10-Q equals HOKA+UGG stores</t>
  </si>
  <si>
    <t>Change Y/Y (stores)</t>
  </si>
  <si>
    <t>Change Q/Q (stores)</t>
  </si>
  <si>
    <t>Checks (inline)</t>
  </si>
  <si>
    <t>CapIQ revenue actual (Inputs)</t>
  </si>
  <si>
    <t>DECK_history.csv revenue_m_actual</t>
  </si>
  <si>
    <t>Difference: model total less CapIQ</t>
  </si>
  <si>
    <t>Check: segments = reported revenue</t>
  </si>
  <si>
    <t>Memo: channels = total (identity)</t>
  </si>
  <si>
    <t>Structural identity (true by construction): channels sum to total. Brand totals are wholesale + DTC, so this cannot fail; memo only, excluded from Cover PASS</t>
  </si>
  <si>
    <t>Segment — HOKA brand (reportable operating segment)</t>
  </si>
  <si>
    <t>Net sales build — by channel</t>
  </si>
  <si>
    <t>Wholesale net sales</t>
  </si>
  <si>
    <t>S3/S4/S5/S6/S7 (10-Q/10-K Note: Reportable Operating Segments; MD&amp;A net sales by brand and channel). PY = prior-year comparative columns (S2/S3/S4/S6). 4Q = FY less 9M.</t>
  </si>
  <si>
    <t>2Q27E input: assumption (blue). History = reported growth.</t>
  </si>
  <si>
    <t>Direct-to-Consumer (DTC) net sales</t>
  </si>
  <si>
    <t>Total HOKA net sales</t>
  </si>
  <si>
    <t>% of Deckers net sales</t>
  </si>
  <si>
    <t>DTC mix (% of brand net sales)</t>
  </si>
  <si>
    <t>FX: issuer discloses constant-currency growth only at consolidated level -&gt; brand FX/organic unavailable (n/a). M&amp;A: no acquisitions/divestitures in HOKA/UGG; Other brands 1Q26/2Q26/FY26 comparisons include Sanuk (sold Aug-2024; amount not disclosed) -&gt; n/a.</t>
  </si>
  <si>
    <t>Wholesale mix (% of brand net sales)</t>
  </si>
  <si>
    <t>Company-owned retail store ladder (HOKA brand stores)</t>
  </si>
  <si>
    <t>Opening store count</t>
  </si>
  <si>
    <t>Mar-25 brand store count not captured from filings in this build -&gt; n/a</t>
  </si>
  <si>
    <t>Gross store openings</t>
  </si>
  <si>
    <t>Not disclosed by issuer (only period-end counts)</t>
  </si>
  <si>
    <t>Store closures</t>
  </si>
  <si>
    <t>Not disclosed by issuer</t>
  </si>
  <si>
    <t>Net store additions</t>
  </si>
  <si>
    <t>Closing store count</t>
  </si>
  <si>
    <t>10-Q/10-K Supplemental Disclosure (S2,S3,S4,S6,S7). 2Q27E = assumption: HOKA store openings continuing (+4)</t>
  </si>
  <si>
    <t>Average store count</t>
  </si>
  <si>
    <t>DTC sales per avg store ($m)</t>
  </si>
  <si>
    <t>Segment profitability</t>
  </si>
  <si>
    <t>Cost of sales</t>
  </si>
  <si>
    <t>Segment gross profit</t>
  </si>
  <si>
    <t>Segment gross margin</t>
  </si>
  <si>
    <t>2Q27E input: mgmt guided Q2 GM down y/y on tariffs (12.5% go-forward rate) and freight (S9); history = reported</t>
  </si>
  <si>
    <t>Payroll and related costs</t>
  </si>
  <si>
    <t>% of brand net sales</t>
  </si>
  <si>
    <t>Advertising, marketing &amp; promotion</t>
  </si>
  <si>
    <t>Rent and occupancy</t>
  </si>
  <si>
    <t>Depreciation and other related costs</t>
  </si>
  <si>
    <t>Other segment items</t>
  </si>
  <si>
    <t>Segment SG&amp;A expenses</t>
  </si>
  <si>
    <t>Segment SG&amp;A % of net sales</t>
  </si>
  <si>
    <t>Segment income from operations</t>
  </si>
  <si>
    <t>Segment income excludes unallocated enterprise and shared brand expenses (on Income Statement)</t>
  </si>
  <si>
    <t>Segment operating margin</t>
  </si>
  <si>
    <t>Segment — UGG brand (reportable operating segment)</t>
  </si>
  <si>
    <t>Total UGG net sales</t>
  </si>
  <si>
    <t>Company-owned retail store ladder (UGG brand stores)</t>
  </si>
  <si>
    <t>10-Q/10-K Supplemental Disclosure (S2,S3,S4,S6,S7). 2Q27E = assumption: UGG fleet broadly stable (+1)</t>
  </si>
  <si>
    <t>Segment — Other brands (Teva; Koolaburra/AHNU phase-outs)</t>
  </si>
  <si>
    <t>Total Other brands net sales</t>
  </si>
  <si>
    <t>Income Statement — as reported (GAAP) with bridge to consensus basis</t>
  </si>
  <si>
    <t>Income statement</t>
  </si>
  <si>
    <t>Net sales</t>
  </si>
  <si>
    <t>Linked to Revenue summary (sum of segments)</t>
  </si>
  <si>
    <t>Sum of segment cost of sales (equals consolidated)</t>
  </si>
  <si>
    <t>Gross profit</t>
  </si>
  <si>
    <t>SG&amp;A — brand segments</t>
  </si>
  <si>
    <t>Sum of segment SG&amp;A</t>
  </si>
  <si>
    <t>Unallocated enterprise &amp; shared costs</t>
  </si>
  <si>
    <t>Segment note reconciliation (S2-S7)</t>
  </si>
  <si>
    <t>1Q25 derived as segment income less consolidated operating income (S2)</t>
  </si>
  <si>
    <t>2Q27E input +7% (1Q27 +7.2%; IT, FX remeasurement)</t>
  </si>
  <si>
    <t>Total SG&amp;A expenses</t>
  </si>
  <si>
    <t>SG&amp;A % of net sales</t>
  </si>
  <si>
    <t>Income from operations</t>
  </si>
  <si>
    <t>Interest income</t>
  </si>
  <si>
    <t>2Q27E input: lower average cash (~$1.45bn vs ~$1.75bn in 1Q27) at similar yield</t>
  </si>
  <si>
    <t>Prior-year comparatives (S2-S4, S6)</t>
  </si>
  <si>
    <t>Interest expense</t>
  </si>
  <si>
    <t>4Q26 = FY 2.530 (S6 10-K) less 9M 2.525 (S4 10-Q) = 0.005, verified against both filings; cause of low Q4 not disclosed. 2Q27E input ~ 1Q27 run-rate (incl. UTB interest; new credit agreement 27-Aug-26, no borrowings)</t>
  </si>
  <si>
    <t>Other income (expense), net</t>
  </si>
  <si>
    <t>2Q27E input; small/volatile</t>
  </si>
  <si>
    <t>Prior-year comparatives (S2-S4, S6); FY25 was net other expense of $0.7m</t>
  </si>
  <si>
    <t>n/a where prior-year base is zero or negative</t>
  </si>
  <si>
    <t>Total other income, net</t>
  </si>
  <si>
    <t>Income before income taxes</t>
  </si>
  <si>
    <t>Pre-tax margin</t>
  </si>
  <si>
    <t>Income tax expense</t>
  </si>
  <si>
    <t>Reported (S2-S7)</t>
  </si>
  <si>
    <t>2Q27E input 22.5%: FY27 guide ~23% (S7); 2Q26 21.7%, 1Q27 23.1%</t>
  </si>
  <si>
    <t>Net income (GAAP, to common)</t>
  </si>
  <si>
    <t>Net margin</t>
  </si>
  <si>
    <t>Per share</t>
  </si>
  <si>
    <t>Weighted basic shares (m)</t>
  </si>
  <si>
    <t>Basic EPS (GAAP)</t>
  </si>
  <si>
    <t>Diluted EPS (GAAP)</t>
  </si>
  <si>
    <t>Prior-year period (reported)</t>
  </si>
  <si>
    <t>Reported prior-year diluted EPS (S2-S4, S6, S8)</t>
  </si>
  <si>
    <t>Change Q/Q ($/share)</t>
  </si>
  <si>
    <t>Diluted EPS — as reported</t>
  </si>
  <si>
    <t>Reported (S2-S8)</t>
  </si>
  <si>
    <t>Basic EPS — as reported</t>
  </si>
  <si>
    <t>Check: EPS = reported EPS</t>
  </si>
  <si>
    <t>GAAP to normalized bridge (consensus basis: CapIQ normalized diluted EPS)</t>
  </si>
  <si>
    <t>GAAP net income</t>
  </si>
  <si>
    <t>Add: impairment / asset charges</t>
  </si>
  <si>
    <t>Issuer reports no non-GAAP EPS; impairments immaterial ($0.1m in 2Q26) and not excluded by CapIQ (normalized actual = GAAP in all six rows)</t>
  </si>
  <si>
    <t>Less: IEEPA tariff refund gains</t>
  </si>
  <si>
    <t>No refunds recognized as of 10-Q (S7); guidance excludes refunds. Forecast nil; upside risk to GAAP</t>
  </si>
  <si>
    <t>Add: restructuring / phase-out costs</t>
  </si>
  <si>
    <t>Koolaburra/AHNU phase-out costs not separately disclosed; not excluded by CapIQ</t>
  </si>
  <si>
    <t>Less: tax effect of adjustments</t>
  </si>
  <si>
    <t>Nil, as adjustments are nil</t>
  </si>
  <si>
    <t>Normalized net income</t>
  </si>
  <si>
    <t>Normalized diluted EPS (cons. basis)</t>
  </si>
  <si>
    <t>CapIQ normalized EPS actual (Inputs)</t>
  </si>
  <si>
    <t>CapIQ GAAP EPS actual (Inputs)</t>
  </si>
  <si>
    <t>CapIQ normalized EPS consensus</t>
  </si>
  <si>
    <t>2Q27E = frozen CapIQ mean 1.79 (22 estimates)</t>
  </si>
  <si>
    <t>Surprise vs consensus ($/share)</t>
  </si>
  <si>
    <t>Check: normalized EPS = CapIQ actual</t>
  </si>
  <si>
    <t>Memo: EPS = NI / diluted (identity)</t>
  </si>
  <si>
    <t>Structural identity (true by construction): EPS = NI / diluted shares. Row 87 is defined as NI / diluted shares, so this cannot fail; memo only, excluded from Cover PASS</t>
  </si>
  <si>
    <t>Memo: issuer-defined EBITDA ($m)</t>
  </si>
  <si>
    <t>Not applicable: Deckers' disclosed non-GAAP measures are constant currency and free cash flow (S8, S9); no EBITDA measure appears in cached issuer filings. CapIQ EBITDA 328.73 (Inputs) is a vendor definition, not tracked as issuer-defined</t>
  </si>
  <si>
    <t>Balance Sheet — as reported (period-end balances)</t>
  </si>
  <si>
    <t>Assets</t>
  </si>
  <si>
    <t>Cash and cash equivalents</t>
  </si>
  <si>
    <t>2Q27E linked to Cash Flow Statement ending cash</t>
  </si>
  <si>
    <t>Trade accounts receivable, net</t>
  </si>
  <si>
    <t>10-Q/10-K balance sheet (S2,S3,S4,S7; Mar-26 from S7 comparative)</t>
  </si>
  <si>
    <t>Inventories</t>
  </si>
  <si>
    <t>Prepaid expenses</t>
  </si>
  <si>
    <t>Other current assets</t>
  </si>
  <si>
    <t>Income tax receivable</t>
  </si>
  <si>
    <t>Total current assets</t>
  </si>
  <si>
    <t>Property and equipment, net</t>
  </si>
  <si>
    <t>2Q27E = opening + capex - D&amp;A (CF tab)</t>
  </si>
  <si>
    <t>Operating lease assets</t>
  </si>
  <si>
    <t>Goodwill</t>
  </si>
  <si>
    <t>Other intangible assets, net</t>
  </si>
  <si>
    <t>Deferred tax assets, net</t>
  </si>
  <si>
    <t>Other assets</t>
  </si>
  <si>
    <t>Total assets</t>
  </si>
  <si>
    <t>Liabilities</t>
  </si>
  <si>
    <t>Trade accounts payable</t>
  </si>
  <si>
    <t>Accrued payroll</t>
  </si>
  <si>
    <t>Operating lease liabilities (current)</t>
  </si>
  <si>
    <t>Other accrued expenses</t>
  </si>
  <si>
    <t>Income tax payable</t>
  </si>
  <si>
    <t>Value added tax payable</t>
  </si>
  <si>
    <t>Total current liabilities</t>
  </si>
  <si>
    <t>Long-term operating lease liabilities</t>
  </si>
  <si>
    <t>Income tax liability</t>
  </si>
  <si>
    <t>Other long-term liabilities</t>
  </si>
  <si>
    <t>Total long-term liabilities</t>
  </si>
  <si>
    <t>Total liabilities</t>
  </si>
  <si>
    <t>Stockholders' equity</t>
  </si>
  <si>
    <t>Common stock</t>
  </si>
  <si>
    <t>Additional paid-in capital</t>
  </si>
  <si>
    <t>2Q27E = opening + stock-based compensation</t>
  </si>
  <si>
    <t>Retained earnings</t>
  </si>
  <si>
    <t>2Q27E = opening + net income - repurchases (Deckers charges buybacks to retained earnings). Simplification retained (unresolved): the ~1% buyback excise accrual (about $2.7m; charged to RE against accrued liabilities per S7 equity statement) and par transfer are not forecast, as the 2Q27 amount/timing is not sourced. Balance sheet only; no EPS effect</t>
  </si>
  <si>
    <t>Accumulated other comprehensive loss</t>
  </si>
  <si>
    <t>Total stockholders' equity</t>
  </si>
  <si>
    <t>Total liabilities &amp; equity</t>
  </si>
  <si>
    <t>Check: assets - liabilities - equity</t>
  </si>
  <si>
    <t>Check: balance sheet balances</t>
  </si>
  <si>
    <t>Memo: net cash (no borrowings)</t>
  </si>
  <si>
    <t>Issuer: no outstanding borrowings at each period end (S2-S7)</t>
  </si>
  <si>
    <t>Working-capital drivers</t>
  </si>
  <si>
    <t>DSO (days; AR / sales x days)</t>
  </si>
  <si>
    <t>2Q27E = 2Q26 DSO (same-season quarter)</t>
  </si>
  <si>
    <t>Change Y/Y (days)</t>
  </si>
  <si>
    <t>Change Q/Q (days)</t>
  </si>
  <si>
    <t>Inventory % Y/Y</t>
  </si>
  <si>
    <t>2Q27E input: Jun-26 inventory -4.9% y/y (S7); mgmt focus on tight inventory</t>
  </si>
  <si>
    <t>Inventory change Q/Q ($m)</t>
  </si>
  <si>
    <t>DIO (days; inventory / COGS x days)</t>
  </si>
  <si>
    <t>DPO (days; AP / COGS x days)</t>
  </si>
  <si>
    <t>2Q27E = 2Q26 DPO (same-season quarter)</t>
  </si>
  <si>
    <t>Cash Flow Statement — quarterly (derived from reported year-to-date)</t>
  </si>
  <si>
    <t>Quarterly cash flow (Q2 = 6M - 3M; Q3 = 9M - 6M; Q4 = 12M - 9M; FY = sum of quarters)</t>
  </si>
  <si>
    <t>Operating activities</t>
  </si>
  <si>
    <t>Net income</t>
  </si>
  <si>
    <t>Depreciation, amortization &amp; accretion</t>
  </si>
  <si>
    <t>2Q27E input ~1Q27 run-rate ($17.7m)</t>
  </si>
  <si>
    <t>Prior-year quarterly cash flows outside captured history -&gt; Y/Y only for 1Q27 and 2Q27E</t>
  </si>
  <si>
    <t>Amortization of cloud computing</t>
  </si>
  <si>
    <t>2Q27E: not forecast (nil, explicit assumption)</t>
  </si>
  <si>
    <t>Bad debt expense (benefit)</t>
  </si>
  <si>
    <t>2Q27E: not forecast (nil)</t>
  </si>
  <si>
    <t>Deferred tax expense (benefit)</t>
  </si>
  <si>
    <t>Stock-based compensation</t>
  </si>
  <si>
    <t>2Q27E input ~1Q27 ($10.7m)</t>
  </si>
  <si>
    <t>Loss on disposal of assets</t>
  </si>
  <si>
    <t>2Q27E: nil</t>
  </si>
  <si>
    <t>Impairment of PP&amp;E / cloud computing</t>
  </si>
  <si>
    <t>Change: trade accounts receivable</t>
  </si>
  <si>
    <t>Change: inventories</t>
  </si>
  <si>
    <t>Change: prepaid &amp; other current</t>
  </si>
  <si>
    <t>Change: income tax receivable</t>
  </si>
  <si>
    <t>Change: net operating lease items</t>
  </si>
  <si>
    <t>Change: other assets</t>
  </si>
  <si>
    <t>Change: trade accounts payable</t>
  </si>
  <si>
    <t>Change: other accrued expenses</t>
  </si>
  <si>
    <t>Change: income tax payable</t>
  </si>
  <si>
    <t>Change: other long-term liabilities</t>
  </si>
  <si>
    <t>Cash from operating activities</t>
  </si>
  <si>
    <t>Investing activities</t>
  </si>
  <si>
    <t>Purchases of property and equipment</t>
  </si>
  <si>
    <t>2Q27E input ~2Q26 capex ($22.0m)</t>
  </si>
  <si>
    <t>Proceeds from sale of assets</t>
  </si>
  <si>
    <t>Cash from investing activities</t>
  </si>
  <si>
    <t>Financing activities</t>
  </si>
  <si>
    <t>Proceeds from issuance of stock</t>
  </si>
  <si>
    <t>Proceeds from stock option exercises</t>
  </si>
  <si>
    <t>Repurchases of common stock</t>
  </si>
  <si>
    <t>Linked to Share Count buyback assumption</t>
  </si>
  <si>
    <t>Excise taxes paid on repurchases</t>
  </si>
  <si>
    <t>Shares withheld for taxes</t>
  </si>
  <si>
    <t>Cash from financing activities</t>
  </si>
  <si>
    <t>Effect of FX on cash</t>
  </si>
  <si>
    <t>2Q27E: FX on cash not forecast (nil)</t>
  </si>
  <si>
    <t>Net change in cash</t>
  </si>
  <si>
    <t>Cash — beginning of period</t>
  </si>
  <si>
    <t>C: cash at 31-Mar-25 (S2)</t>
  </si>
  <si>
    <t>Cash — end of period</t>
  </si>
  <si>
    <t>Free cash flow and checks</t>
  </si>
  <si>
    <t>Free cash flow (CFO less capex)</t>
  </si>
  <si>
    <t>Issuer non-GAAP definition: net cash provided by operating activities less capital expenditures (S8 and S9 press releases, Non-GAAP Financial Measures section)</t>
  </si>
  <si>
    <t>FCF % of net sales</t>
  </si>
  <si>
    <t>Capital expenditures % of net sales</t>
  </si>
  <si>
    <t>CFO % Y/Y</t>
  </si>
  <si>
    <t>CFO change Q/Q ($m)</t>
  </si>
  <si>
    <t>Cash per Balance Sheet</t>
  </si>
  <si>
    <t>Difference: CF less BS cash</t>
  </si>
  <si>
    <t>Check: cash ties to Balance Sheet</t>
  </si>
  <si>
    <t>C:H are real checks (cash rollforward vs reported balance-sheet cash). 2Q27E (I66) is true by construction: Balance Sheet I10 links to Cash Flow I50 (structural identity, not an independent check)</t>
  </si>
  <si>
    <t>Memo: FY CFO = sum of 12M lines</t>
  </si>
  <si>
    <t>Structural formula-completeness identity (true by construction): each G row sums quarters derived from the YTD rows, so G33 = SUM(F71:F88) whenever row 33 includes every line. No reported 12M CFO subtotal is stored as an input, so this is memo only and excluded from Cover PASS (S6 10-K XBRL R7 shows FY26 CFO $1,181,955k, equal to G33)</t>
  </si>
  <si>
    <t>Reported year-to-date cash flow (as filed) — YTD basis: 3M (Jun-25) / 6M (Sep-25) / 9M (Dec-25) / 12M (Mar-26) / – / 3M (Jun-26) / –</t>
  </si>
  <si>
    <t>S2 (3M), S3 (6M), S4 (9M), S6 (12M), S7 (3M FY27)</t>
  </si>
  <si>
    <t>Geography — net sales by region (Domestic = US; International = rest of world)</t>
  </si>
  <si>
    <t>Net sales by geography</t>
  </si>
  <si>
    <t>International net sales</t>
  </si>
  <si>
    <t>10-Q/10-K Revenue Recognition note, geographic concentration (S2-S7)</t>
  </si>
  <si>
    <t>2Q27E input +4%: 1Q27 +8.4%; tough comp vs early European 3PL shipments in 2Q26 (S3, S9)</t>
  </si>
  <si>
    <t>Domestic (US) net sales</t>
  </si>
  <si>
    <t>2Q27E Domestic = total net sales (brand build) less International forecast</t>
  </si>
  <si>
    <t>Total net sales (geographic)</t>
  </si>
  <si>
    <t>Difference vs Revenue summary total</t>
  </si>
  <si>
    <t>Check: Geo sums to total revenue</t>
  </si>
  <si>
    <t>FX by geography not disclosed -&gt; FX/organic n/a. M&amp;A as per Revenue summary. C:H are real checks; 2Q27E (I34) is true by construction because Domestic I20 is a residual (assumption, J20), so I34 is excluded from Cover PASS</t>
  </si>
  <si>
    <t>Share Count (millions of shares)</t>
  </si>
  <si>
    <t>$ millions, except per share; shares in millions</t>
  </si>
  <si>
    <t>Reported YTD repurchase activity (10-Q/10-K Stockholders’ Equity note) — YTD basis: 3M / 6M / 9M / 12M / – / 3M / –</t>
  </si>
  <si>
    <t>Shares repurchased — YTD reported</t>
  </si>
  <si>
    <t>S2 (3M Jun-25), S3 (6M), S4 (9M), S6 (12M FY26), S7 (3M Jun-26)</t>
  </si>
  <si>
    <t>$ repurchased — YTD reported</t>
  </si>
  <si>
    <t>Same sources; $ thousands / 1,000</t>
  </si>
  <si>
    <t>Forecast assumptions (2Q27E)</t>
  </si>
  <si>
    <t>Buyback spend in quarter ($m)</t>
  </si>
  <si>
    <t>Assumption: Q1 FY27 $338m; FY27 EPS guide assumes buybacks = ~80% of FCF (S7); 10-Q shows continued July buying (136.414m shs at 9-Jul-26 vs 136.725m at 30-Jun-26)</t>
  </si>
  <si>
    <t>Average repurchase price ($/share)</t>
  </si>
  <si>
    <t>Assumption: stock traded ~$80-105 in Jul-Sep 2026 (Q1 avg $103.79; 52-wk low $77.20 per CapIQ)</t>
  </si>
  <si>
    <t>Weighting of in-quarter share flows</t>
  </si>
  <si>
    <t>Assumption: repurchases and issuance spread evenly through the quarter (50% weighting)</t>
  </si>
  <si>
    <t>Other net share issuance in quarter</t>
  </si>
  <si>
    <t>Assumption: RSU vesting net of withholding; FY26 avg ~0.0-0.2m/qtr</t>
  </si>
  <si>
    <t>Share roll-forward</t>
  </si>
  <si>
    <t>Shares outstanding — beginning</t>
  </si>
  <si>
    <t>C: 150.201m at 31-Mar-25 (S3 balance sheet parenthetical)</t>
  </si>
  <si>
    <t>Less: shares repurchased</t>
  </si>
  <si>
    <t>Add: other net issuance (derived)</t>
  </si>
  <si>
    <t>Shares outstanding — ending</t>
  </si>
  <si>
    <t>Balance sheet parenthetical (S2-S7)</t>
  </si>
  <si>
    <t>Change Q/Q (m shares)</t>
  </si>
  <si>
    <t>Weighted-average shares (EPS denominators)</t>
  </si>
  <si>
    <t>Weighted basic shares</t>
  </si>
  <si>
    <t>Reported (S2-S7; 4Q from S8 Q4 release). Forecast = opening - (repurchases + issuance) weighted by in-quarter timing factor</t>
  </si>
  <si>
    <t>Dilutive securities</t>
  </si>
  <si>
    <t>Forecast holds 1Q27 dilution</t>
  </si>
  <si>
    <t>Weighted diluted shares</t>
  </si>
  <si>
    <t>Prior-year comparatives (S2-S4, S6, S8)</t>
  </si>
  <si>
    <t>Buyback economics</t>
  </si>
  <si>
    <t>$ repurchased in period</t>
  </si>
  <si>
    <t>Average price paid ($/share)</t>
  </si>
  <si>
    <t>Repurchased % of opening shares</t>
  </si>
  <si>
    <t>Guidance — issuer outlook history and outcomes</t>
  </si>
  <si>
    <t>Date issued</t>
  </si>
  <si>
    <t>Low</t>
  </si>
  <si>
    <t>High</t>
  </si>
  <si>
    <t>Midpoint</t>
  </si>
  <si>
    <t>Result</t>
  </si>
  <si>
    <t>Notes / source</t>
  </si>
  <si>
    <t>Net sales ($m)</t>
  </si>
  <si>
    <t>1Q26 (Jun-25)</t>
  </si>
  <si>
    <t>S1</t>
  </si>
  <si>
    <t>Diluted EPS</t>
  </si>
  <si>
    <t>2Q26 (Sep-25)</t>
  </si>
  <si>
    <t>S11 (excl. further buybacks)</t>
  </si>
  <si>
    <t>S11</t>
  </si>
  <si>
    <t>FY26 (Mar-26)</t>
  </si>
  <si>
    <t>S12 (~$5.35bn point guide)</t>
  </si>
  <si>
    <t>S12</t>
  </si>
  <si>
    <t>S12 (~56%)</t>
  </si>
  <si>
    <t>S12 (~21.5%)</t>
  </si>
  <si>
    <t>S5</t>
  </si>
  <si>
    <t>Net sales growth Y/Y</t>
  </si>
  <si>
    <t>1Q27 (Jun-26)</t>
  </si>
  <si>
    <t>S8/S9 call (~5%)</t>
  </si>
  <si>
    <t>S9: CFO said Q1 EPS beat the high end of guidance by $0.07 -&gt; high end $0.87; low end not captured (n/a)</t>
  </si>
  <si>
    <t>FY27 (Mar-27)</t>
  </si>
  <si>
    <t>pending</t>
  </si>
  <si>
    <t>S8; reaffirmed 23-Jul-26 (S9)</t>
  </si>
  <si>
    <t>S8; superseded 23-Jul-26</t>
  </si>
  <si>
    <t>S8 (~56.5%)</t>
  </si>
  <si>
    <t>S8 (~35%)</t>
  </si>
  <si>
    <t>S8 (~21.5%)</t>
  </si>
  <si>
    <t>S8 (~23%)</t>
  </si>
  <si>
    <t>S9 (unchanged)</t>
  </si>
  <si>
    <t>S9 (raised $0.05; assumes buybacks ~80% of FCF)</t>
  </si>
  <si>
    <t>S9 ("slightly better than 56.5%"; tariff go-forward rate 12.5%)</t>
  </si>
  <si>
    <t>S9 ("slightly better than 21.5%")</t>
  </si>
  <si>
    <t>2Q27 (Sep-26)</t>
  </si>
  <si>
    <t>S9 (~5%). Shortcut estimate: see Revenue summary I18</t>
  </si>
  <si>
    <t>S9. Shortcut estimate: Income Statement I87</t>
  </si>
  <si>
    <t>HOKA net sales growth</t>
  </si>
  <si>
    <t>S9: "high-single-digit" % growth (no numeric range given -&gt; n/a)</t>
  </si>
  <si>
    <t>UGG net sales growth</t>
  </si>
  <si>
    <t>S9: "mid-single-digit" % growth (no numeric range -&gt; n/a)</t>
  </si>
  <si>
    <t>Other brands net sales growth</t>
  </si>
  <si>
    <t>S9: "down approximately 50%"</t>
  </si>
  <si>
    <t>Gross margin direction</t>
  </si>
  <si>
    <t>S9: Q2 gross margin "expected to be down" y/y (tariffs, freight); no number</t>
  </si>
  <si>
    <t>EPS guidance track record (actual vs guidance)</t>
  </si>
  <si>
    <t>High end</t>
  </si>
  <si>
    <t>vs midpoint ($)</t>
  </si>
  <si>
    <t>vs high end ($)</t>
  </si>
  <si>
    <t>1Q26</t>
  </si>
  <si>
    <t>2Q26</t>
  </si>
  <si>
    <t>FY26 (Oct-25 guide)</t>
  </si>
  <si>
    <t>FY26 (Jan-26 guide)</t>
  </si>
  <si>
    <t>1Q27</t>
  </si>
  <si>
    <t>Average quarterly beat vs high end ($/share; 1Q26, 2Q26, 1Q27)</t>
  </si>
  <si>
    <t>Quarterly guides only; FY26 rows 43-44 are annual beats on two guidance dates and are excluded to avoid mixing bases and double-counting FY26</t>
  </si>
  <si>
    <t>2Q27 guidance-implied figures</t>
  </si>
  <si>
    <t>Implied 2Q27 net sales ($m)</t>
  </si>
  <si>
    <t>Guide mid 2Q27 diluted EPS</t>
  </si>
  <si>
    <t>Consensus EPS less guide mid</t>
  </si>
  <si>
    <t>Shortcut EPS less guide mid</t>
  </si>
  <si>
    <t>Sources — documents used, publication dates and what each feeds</t>
  </si>
  <si>
    <t>ID</t>
  </si>
  <si>
    <t>Published</t>
  </si>
  <si>
    <t>Publisher</t>
  </si>
  <si>
    <t>Document</t>
  </si>
  <si>
    <t>URL / file</t>
  </si>
  <si>
    <t>Feeds</t>
  </si>
  <si>
    <t>Deckers Brands (SEC 8-K Ex.99.1)</t>
  </si>
  <si>
    <t>Q4 FY25 results &amp; 1Q26 outlook press release</t>
  </si>
  <si>
    <t>https://www.sec.gov/Archives/edgar/data/910521/000091052125000013/deckex991pressrelease-3312.htm</t>
  </si>
  <si>
    <t>Guidance: 1Q26 net sales $890-910m, EPS $0.62-0.67</t>
  </si>
  <si>
    <t>S2</t>
  </si>
  <si>
    <t>Deckers Outdoor Corp (SEC 10-Q)</t>
  </si>
  <si>
    <t>10-Q for quarter ended 30-Jun-2025</t>
  </si>
  <si>
    <t>https://www.sec.gov/Archives/edgar/data/910521/000091052125000037/deck-20250630.htm</t>
  </si>
  <si>
    <t>1Q26 balance sheet, cash flow (3M), prior-year (1Q25) brand/segment/geo comparatives, units, stores, DTC comp, constant currency</t>
  </si>
  <si>
    <t>S3</t>
  </si>
  <si>
    <t>10-Q for quarter ended 30-Sep-2025</t>
  </si>
  <si>
    <t>https://www.sec.gov/Archives/edgar/data/910521/000091052125000044/deck-20250930.htm</t>
  </si>
  <si>
    <t>2Q26 IS, BS, 6M cash flow, segment P&amp;L, brand x channel, geo, units, stores, buybacks; 2Q25 comparatives</t>
  </si>
  <si>
    <t>S4</t>
  </si>
  <si>
    <t>10-Q for quarter ended 31-Dec-2025</t>
  </si>
  <si>
    <t>https://www.sec.gov/Archives/edgar/data/910521/000091052126000005/deck-20251231.htm</t>
  </si>
  <si>
    <t>3Q26 IS, BS, 9M cash flow, segment P&amp;L, brand x channel, geo, units, stores, buybacks; 3Q25 comparatives</t>
  </si>
  <si>
    <t>Q3 FY26 results press release</t>
  </si>
  <si>
    <t>https://ir.deckers.com/sec-filings/all-sec-filings/content/0000910521-26-000002/deckex991pressrelease-1231.htm</t>
  </si>
  <si>
    <t>Guidance: FY26 net sales $5.40-5.425bn, EPS $6.80-6.85</t>
  </si>
  <si>
    <t>S6</t>
  </si>
  <si>
    <t>Deckers Outdoor Corp (SEC 10-K)</t>
  </si>
  <si>
    <t>10-K for fiscal year ended 31-Mar-2026 (incl. XBRL R5, R7, R20, R43, R75)</t>
  </si>
  <si>
    <t>https://www.sec.gov/Archives/edgar/data/910521/000162828026037664/deck-20260331.htm</t>
  </si>
  <si>
    <t>FY26 IS, cash flow, segment P&amp;L, brand x channel, geo, units, buybacks, store count; FY25 comparatives</t>
  </si>
  <si>
    <t>S7</t>
  </si>
  <si>
    <t>10-Q for quarter ended 30-Jun-2026 (incl. Mar-26 balance sheet comparative)</t>
  </si>
  <si>
    <t>https://www.sec.gov/Archives/edgar/data/910521/000091052126000022/deck-20260630.htm</t>
  </si>
  <si>
    <t>1Q27 IS, BS (and Mar-26 BS), 3M cash flow, segment P&amp;L, brand x channel, geo, units, stores, buybacks, shares at 9-Jul-26</t>
  </si>
  <si>
    <t>S8</t>
  </si>
  <si>
    <t>Q4 &amp; FY26 results press release; FY27 outlook</t>
  </si>
  <si>
    <t>https://www.sec.gov/Archives/edgar/data/910521/000091052126000007/deckex991pressrelease-3312.htm</t>
  </si>
  <si>
    <t>4Q26 shares, EPS, DTC comp 8.2%, constant currency 7.7%; FY27 guidance</t>
  </si>
  <si>
    <t>S9</t>
  </si>
  <si>
    <t>Deckers Brands (SEC 8-K Ex.99.1) and earnings call transcript (AlphaStreet)</t>
  </si>
  <si>
    <t>Q1 FY27 results press release and call</t>
  </si>
  <si>
    <t>https://www.sec.gov/Archives/edgar/data/910521/000091052126000015/deckex991pressrelease-6302.htm ; https://news.alphastreet.com/deckers-outdoor-corporation-deck-q1-2027-earnings-call-transcript/</t>
  </si>
  <si>
    <t>Updated FY27 guidance; 2Q27 guidance (revenue ~+5%, EPS $1.73-1.78, HOKA HSD, UGG MSD, Other ~-50%, GM down on tariffs/freight)</t>
  </si>
  <si>
    <t>S10</t>
  </si>
  <si>
    <t>Deckers Brands (press release)</t>
  </si>
  <si>
    <t>Conference call date for Q2 FY27 results</t>
  </si>
  <si>
    <t>https://ir.deckers.com/news-events/press-releases/detail/665/deckers-brands-announces-conference-call-to-review-second-quarter-fiscal-2027-earnings-results</t>
  </si>
  <si>
    <t>Issuer report date 22-Oct-2026 (CapIQ snapshot: 29-Oct-2026)</t>
  </si>
  <si>
    <t>Q1 FY26 results &amp; 2Q26 outlook</t>
  </si>
  <si>
    <t>https://www.sec.gov/Archives/edgar/data/910521/000091052125000028/deckex991pressrelease-6302.htm</t>
  </si>
  <si>
    <t>Guidance: 2Q26 net sales $1.38-1.42bn, EPS $1.50-1.55</t>
  </si>
  <si>
    <t>Deckers Brands / The Motley Fool transcript</t>
  </si>
  <si>
    <t>Q2 FY26 results; FY26 outlook</t>
  </si>
  <si>
    <t>https://www.fool.com/earnings/call-transcripts/2025/10/24/deckers-deck-q2-2026-earnings-call-transcript/</t>
  </si>
  <si>
    <t>Guidance: FY26 net sales ~$5.35bn, EPS $6.30-6.39, GM ~56%, OM ~21.5%</t>
  </si>
  <si>
    <t>S13</t>
  </si>
  <si>
    <t>S&amp;P Capital IQ (attached file)</t>
  </si>
  <si>
    <t>DECK_consensus.json and DECK_history.csv (snapshot 18-Oct-2026)</t>
  </si>
  <si>
    <t>workspace/DECK_consensus.json ; workspace/DECK_history.csv</t>
  </si>
  <si>
    <t>Frozen consensus (EPS 1.79, revenue 1,506.33), six-quarter beat history -&gt; Inputs tab</t>
  </si>
  <si>
    <t>S14</t>
  </si>
  <si>
    <t>Public.com</t>
  </si>
  <si>
    <t>DECK market capitalization</t>
  </si>
  <si>
    <t>https://public.com/stocks/deck/market-cap</t>
  </si>
  <si>
    <t>Market cap $11.68bn as of 16-Oct-2026 (size bucket: large)</t>
  </si>
  <si>
    <t>WhichIndex / S&amp;P DJI</t>
  </si>
  <si>
    <t>S&amp;P 500 membership (added 18-Mar-2024; member as of 2-Oct-2026)</t>
  </si>
  <si>
    <t>https://whichindex.com/companies/deckers-brands/ ; https://press.spglobal.com/2024-03-01-Super-Micro-Computer-and-Deckers-Outdoor-Set-to-Join-S-P-500-Others-to-Join-S-P-100,-S-P-MidCap-400-and-S-P-SmallCap-600</t>
  </si>
  <si>
    <t>S&amp;P 500 constituent -&gt; cohort prior 0.78</t>
  </si>
  <si>
    <t>S16</t>
  </si>
  <si>
    <t>Daily Digest Invest / TheFly (UBS note)</t>
  </si>
  <si>
    <t>UBS: Q2 a sentiment check on Hoka; PT $140 from $161</t>
  </si>
  <si>
    <t>https://dailydigestinvest.com/ubs-deckers-q2-is-a-sentiment-check-on-hoka-not-a-reset</t>
  </si>
  <si>
    <t>Downside evidence: UBS channel checks show HOKA US demand cooling y/y and q/q; expects in-line quarter</t>
  </si>
  <si>
    <t>S17</t>
  </si>
  <si>
    <t>WWD (Footwear News)</t>
  </si>
  <si>
    <t>Discounting among shoe brands trended higher in September</t>
  </si>
  <si>
    <t>https://wwd.com/footwear-news/shoe-industry-news/hoka-vans-boot-barn-shoe-brand-discounts-september-1239343280/</t>
  </si>
  <si>
    <t>HOKA more advertised promotions in Sep-2026; UGG slightly fewer</t>
  </si>
  <si>
    <t>S18</t>
  </si>
  <si>
    <t>Investing.com</t>
  </si>
  <si>
    <t>BMO initiates DECK at Underperform ($70 PT)</t>
  </si>
  <si>
    <t>https://www.investing.com/news/analyst-ratings/deckers-outdoor-stock-initiated-with-underperform-at-bmo-capital-93CH-4892494</t>
  </si>
  <si>
    <t>Downside: weaker athletic demand/promotions; expects HOKA guide cut at Q2</t>
  </si>
  <si>
    <t>S19</t>
  </si>
  <si>
    <t>Stifel reiterates Buy ($133 PT)</t>
  </si>
  <si>
    <t>https://www.investing.com/news/analyst-ratings/stifel-reaffirms-deckers-outdoor-stock-rating-on-valuation-appeal-93CH-4944758</t>
  </si>
  <si>
    <t>Expects revenue guide unchanged and buybacks to lift EPS outlook; weather/HOKA share concerns</t>
  </si>
  <si>
    <t>S20</t>
  </si>
  <si>
    <t>Circana</t>
  </si>
  <si>
    <t>US Footwear H1 2026: performance shoes +6%, running +13%</t>
  </si>
  <si>
    <t>https://www.circana.com/post/performance-shoe-sales-pick-up-the-pace-amid-selective-us-consumer-spending-in-the-footwear-market</t>
  </si>
  <si>
    <t>Industry backdrop: running category healthy; total footwear +1%</t>
  </si>
  <si>
    <t>S21</t>
  </si>
  <si>
    <t>NIKE, Inc.</t>
  </si>
  <si>
    <t>Fiscal 2027 Q1 results (quarter ended 31-Aug-2026)</t>
  </si>
  <si>
    <t>https://investors.nike.com/news-events/press-releases/detail/575/nike-inc-reports-fiscal-2027-first-quarter-results</t>
  </si>
  <si>
    <t>Peer: revenue -4%, footwear -6% c-n, but Nike Running growing (competitive pressure on HOKA)</t>
  </si>
  <si>
    <t>S22</t>
  </si>
  <si>
    <t>On Holding AG</t>
  </si>
  <si>
    <t>Q2 2026 results</t>
  </si>
  <si>
    <t>https://investors.on-running.com/news/news-details/2026/On-Reports-Results-for-the-Second-Quarter-and-Six-Month-Period-Ended-June-30-2026/default.aspx</t>
  </si>
  <si>
    <t>Peer: Americas cc growth slowed to 13%; DTC strong</t>
  </si>
  <si>
    <t>S23</t>
  </si>
  <si>
    <t>MarketBeat (Zacks Research)</t>
  </si>
  <si>
    <t>Zacks cuts DECK Q2 FY27 EPS estimate to $1.77 from $1.90</t>
  </si>
  <si>
    <t>https://www.marketbeat.com/instant-alerts/zacks-research-expects-reduced-earnings-for-deckers-outdoor-2026-08-12/</t>
  </si>
  <si>
    <t>Estimate revisions after Q2 guide (already in frozen consensus)</t>
  </si>
  <si>
    <t>S24</t>
  </si>
  <si>
    <t>SGB Media</t>
  </si>
  <si>
    <t>Hoka growth expected to reawaken as distribution broadens</t>
  </si>
  <si>
    <t>https://sgbonline.com/exec-hokas-growth-momentum-expected-to-reawaken-as-distribution-broadens/</t>
  </si>
  <si>
    <t>Analyst reaction to Q1/Q2 guide; H2 acceleration from timing and distribution</t>
  </si>
  <si>
    <t>Notes</t>
  </si>
  <si>
    <t>Tabs: all checklist tabs carry content; none omitted. Geo is included because Deckers discloses Domestic and International net sales (S7 Revenue Recognition note).</t>
  </si>
  <si>
    <t>All web sources retrieved 18-19 Oct 2026 via web_fetch / web search; only items published before the 18-Oct-2026 21:34 UTC cutoff are used. Post-cutoff previews surfaced by search (dated 19-Oct-2026) were excluded. No target-quarter (2Q27) results were seen.</t>
  </si>
  <si>
    <t>Header blocks: the period strip was removed from non-time-series tabs (Cover, Guidance, Sources, Inputs) in repair r1; their tables use their own column headings.</t>
  </si>
  <si>
    <t>Units: USD millions except per-share data (USD per diluted common share) and share counts (millions). Reported thousands divided by 1,000.</t>
  </si>
  <si>
    <t>Inputs — S&amp;P Capital IQ snapshot (raw, as captured 18-Oct-2026)</t>
  </si>
  <si>
    <t>A. DECK_consensus.json — top-level fields (SHA256 e29b2241…d8; captured 2026-10-18, date precision)</t>
  </si>
  <si>
    <t>source</t>
  </si>
  <si>
    <t>S&amp;P Capital IQ</t>
  </si>
  <si>
    <t>ticker</t>
  </si>
  <si>
    <t>DECK</t>
  </si>
  <si>
    <t>company</t>
  </si>
  <si>
    <t>Deckers Outdoor Corporation</t>
  </si>
  <si>
    <t>fiscal_period</t>
  </si>
  <si>
    <t>FQ2 2027 -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</si>
  <si>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</si>
  <si>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</si>
  <si>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</si>
  <si>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</si>
  <si>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</si>
  <si>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</si>
  <si>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</si>
  <si>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</si>
  <si>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</si>
  <si>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</si>
  <si>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</si>
  <si>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</si>
  <si>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</si>
  <si>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</si>
  <si>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B. summary_row — all 68 raw fields (blank source values preserved as blank)</t>
  </si>
  <si>
    <t>company_name</t>
  </si>
  <si>
    <t>exchange_ticker</t>
  </si>
  <si>
    <t>NYSE:DECK</t>
  </si>
  <si>
    <t>capiq_company_id</t>
  </si>
  <si>
    <t>currency_basis</t>
  </si>
  <si>
    <t>fiscal_year_end</t>
  </si>
  <si>
    <t>Mar-31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</si>
  <si>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</si>
  <si>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</si>
  <si>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</si>
  <si>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</si>
  <si>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</si>
  <si>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</si>
  <si>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</si>
  <si>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</si>
  <si>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</si>
  <si>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</si>
  <si>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</si>
  <si>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</si>
  <si>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</si>
  <si>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</si>
  <si>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</si>
  <si>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</si>
  <si>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</si>
  <si>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</si>
  <si>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</si>
  <si>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</si>
  <si>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</si>
  <si>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</si>
  <si>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</si>
  <si>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</si>
  <si>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</si>
  <si>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</si>
  <si>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</si>
  <si>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</si>
  <si>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</si>
  <si>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</si>
  <si>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</si>
  <si>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</si>
  <si>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</si>
  <si>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</si>
  <si>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</si>
  <si>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</si>
  <si>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</si>
  <si>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</si>
  <si>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</si>
  <si>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</si>
  <si>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</si>
  <si>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</si>
  <si>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</si>
  <si>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</si>
  <si>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</si>
  <si>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</si>
  <si>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</si>
  <si>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</si>
  <si>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</si>
  <si>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</si>
  <si>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</si>
  <si>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</si>
  <si>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</si>
  <si>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</si>
  <si>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</si>
  <si>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</si>
  <si>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</si>
  <si>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</si>
  <si>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</si>
  <si>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</si>
  <si>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</si>
  <si>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122.29/77.20</t>
  </si>
  <si>
    <t>estimates_captured_at</t>
  </si>
  <si>
    <t>notes</t>
  </si>
  <si>
    <t>Mar fiscal year end, so the Sep-2026 quarter is fiscal Q2 2027. CapIQ expects the release Oct-29-2026, outside the Oct 19-23 window. Consensus has understated actuals in all six prior quarters.</t>
  </si>
  <si>
    <t>C. metric_units and target_manifest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</si>
  <si>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</si>
  <si>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</si>
  <si>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</si>
  <si>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</si>
  <si>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</si>
  <si>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</si>
  <si>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</si>
  <si>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</si>
  <si>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</si>
  <si>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</si>
  <si>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D. DECK_history.csv — all six rows (SHA256 8e37ac1d…18), columns as in source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</si>
  <si>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</si>
  <si>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</si>
  <si>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</si>
  <si>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</si>
  <si>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</si>
  <si>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</si>
  <si>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</si>
  <si>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Raw CapIQ history; EPS USD per diluted share; revenue USD m. Source text dates (yyyy-mm-dd) stored as Excel date serials; values unchanged.</t>
  </si>
</sst>
</file>

<file path=xl/styles.xml><?xml version="1.0" encoding="utf-8"?>
<styleSheet xmlns="http://schemas.openxmlformats.org/spreadsheetml/2006/main">
  <numFmts count="12">
    <numFmt numFmtId="164" formatCode="#,##0.0_);(#,##0.0);&quot;–&quot;_)"/>
    <numFmt numFmtId="165" formatCode="0.0%_);(0.0%);&quot;–&quot;_)"/>
    <numFmt numFmtId="166" formatCode="dd-mmm-yy"/>
    <numFmt numFmtId="167" formatCode="#,##0.00_);(#,##0.00);&quot;–&quot;_)"/>
    <numFmt numFmtId="168" formatCode="$0.00_);($0.00);&quot;–&quot;_)"/>
    <numFmt numFmtId="169" formatCode="0"/>
    <numFmt numFmtId="170" formatCode="$#,##0.00_);($#,##0.00);&quot;–&quot;_)"/>
    <numFmt numFmtId="171" formatCode="yyyy-mm-dd"/>
    <numFmt numFmtId="172" formatCode="#,##0_);(#,##0);&quot;–&quot;_)"/>
    <numFmt numFmtId="173" formatCode="0.0%"/>
    <numFmt numFmtId="174" formatCode="0.00"/>
    <numFmt numFmtId="175" formatCode="General"/>
  </numFmts>
  <fonts count="22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9"/>
      <color rgb="FF595959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/>
      <strike val="0"/>
      <sz val="9"/>
      <color rgb="FF595959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1"/>
      <color rgb="FF000000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top style="thin">
        <color rgb="FF000000"/>
      </top>
    </border>
    <border>
      <top style="thin">
        <color rgb="FF808080"/>
      </top>
    </border>
    <border>
      <bottom style="thin">
        <color rgb="FF808080"/>
      </bottom>
    </border>
    <border>
      <left/>
      <right/>
      <top/>
      <bottom>
        <color rgb="FF808080"/>
      </bottom>
    </border>
    <border>
      <left/>
      <right/>
      <top>
        <color rgb="FF808080"/>
      </top>
      <bottom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Fill="1" applyAlignment="1" applyProtection="1">
      <alignment horizontal="left" vertical="bottom" indent="2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 indent="1"/>
      <protection locked="1" hidden="0"/>
    </xf>
    <xf numFmtId="0" fontId="2" fillId="2" borderId="0" xfId="0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8" fontId="2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7" fontId="8" fillId="0" borderId="1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left" vertical="bottom" indent="1"/>
      <protection locked="1" hidden="0"/>
    </xf>
    <xf numFmtId="0" fontId="3" fillId="3" borderId="2" xfId="0" applyFont="1" applyFill="1" applyBorder="1" applyAlignment="1" applyProtection="1">
      <alignment horizontal="right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9" fillId="0" borderId="0" xfId="0" applyFont="1" applyFill="1" applyAlignment="1" applyProtection="1">
      <alignment horizontal="left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9" fontId="2" fillId="3" borderId="3" xfId="0" applyNumberFormat="1" applyFont="1" applyFill="1" applyBorder="1" applyAlignment="1" applyProtection="1">
      <alignment horizontal="right" vertical="bottom"/>
      <protection locked="1" hidden="0"/>
    </xf>
    <xf numFmtId="0" fontId="2" fillId="3" borderId="2" xfId="0" applyFont="1" applyFill="1" applyBorder="1" applyAlignment="1" applyProtection="1">
      <alignment horizontal="general" vertical="bottom"/>
      <protection locked="1" hidden="0"/>
    </xf>
    <xf numFmtId="0" fontId="7" fillId="0" borderId="0" xfId="0" applyFont="1" applyFill="1" applyAlignment="1" applyProtection="1">
      <alignment horizontal="right" vertical="bottom"/>
      <protection locked="1" hidden="0"/>
    </xf>
    <xf numFmtId="0" fontId="3" fillId="0" borderId="3" xfId="0" applyFont="1" applyFill="1" applyBorder="1" applyAlignment="1" applyProtection="1">
      <alignment horizontal="right" vertical="bottom"/>
      <protection locked="1" hidden="0"/>
    </xf>
    <xf numFmtId="169" fontId="2" fillId="2" borderId="3" xfId="0" applyNumberFormat="1" applyFont="1" applyFill="1" applyBorder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right" vertical="bottom"/>
      <protection locked="1" hidden="0"/>
    </xf>
    <xf numFmtId="168" fontId="3" fillId="0" borderId="1" xfId="0" applyNumberFormat="1" applyFont="1" applyFill="1" applyBorder="1" applyAlignment="1" applyProtection="1">
      <alignment horizontal="right" vertical="bottom"/>
      <protection locked="1" hidden="0"/>
    </xf>
    <xf numFmtId="0" fontId="3" fillId="2" borderId="3" xfId="0" applyFont="1" applyFill="1" applyBorder="1" applyAlignment="1" applyProtection="1">
      <alignment horizontal="righ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7" fontId="5" fillId="2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6" fontId="2" fillId="2" borderId="0" xfId="0" applyNumberFormat="1" applyFont="1" applyFill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5" fontId="7" fillId="2" borderId="0" xfId="0" applyNumberFormat="1" applyFont="1" applyFill="1" applyAlignment="1" applyProtection="1">
      <alignment horizontal="right" vertical="bottom"/>
      <protection locked="1" hidden="0"/>
    </xf>
    <xf numFmtId="0" fontId="10" fillId="0" borderId="3" xfId="0" applyFont="1" applyFill="1" applyBorder="1" applyAlignment="1" applyProtection="1">
      <alignment horizontal="general" vertical="bottom"/>
      <protection locked="1" hidden="0"/>
    </xf>
    <xf numFmtId="0" fontId="3" fillId="2" borderId="2" xfId="0" applyFont="1" applyFill="1" applyBorder="1" applyAlignment="1" applyProtection="1">
      <alignment horizontal="right" vertical="bottom"/>
      <protection locked="1" hidden="0"/>
    </xf>
    <xf numFmtId="0" fontId="3" fillId="0" borderId="3" xfId="0" applyFont="1" applyFill="1" applyBorder="1" applyAlignment="1" applyProtection="1">
      <alignment horizontal="general" vertical="bottom"/>
      <protection locked="1" hidden="0"/>
    </xf>
    <xf numFmtId="167" fontId="3" fillId="2" borderId="1" xfId="0" applyNumberFormat="1" applyFont="1" applyFill="1" applyBorder="1" applyAlignment="1" applyProtection="1">
      <alignment horizontal="right" vertical="bottom"/>
      <protection locked="1" hidden="0"/>
    </xf>
    <xf numFmtId="0" fontId="2" fillId="3" borderId="3" xfId="0" applyFont="1" applyFill="1" applyBorder="1" applyAlignment="1" applyProtection="1">
      <alignment horizontal="general" vertical="bottom"/>
      <protection locked="1" hidden="0"/>
    </xf>
    <xf numFmtId="165" fontId="11" fillId="0" borderId="0" xfId="0" applyNumberFormat="1" applyFont="1" applyFill="1" applyAlignment="1" applyProtection="1">
      <alignment horizontal="right" vertical="bottom"/>
      <protection locked="1" hidden="0"/>
    </xf>
    <xf numFmtId="164" fontId="3" fillId="2" borderId="1" xfId="0" applyNumberFormat="1" applyFont="1" applyFill="1" applyBorder="1" applyAlignment="1" applyProtection="1">
      <alignment horizontal="right" vertical="bottom"/>
      <protection locked="1" hidden="0"/>
    </xf>
    <xf numFmtId="170" fontId="5" fillId="2" borderId="0" xfId="0" applyNumberFormat="1" applyFont="1" applyFill="1" applyAlignment="1" applyProtection="1">
      <alignment horizontal="right" vertical="bottom"/>
      <protection locked="1" hidden="0"/>
    </xf>
    <xf numFmtId="0" fontId="3" fillId="3" borderId="0" xfId="0" applyFont="1" applyFill="1" applyAlignment="1" applyProtection="1">
      <alignment horizontal="left" vertical="bottom"/>
      <protection locked="1" hidden="0"/>
    </xf>
    <xf numFmtId="0" fontId="3" fillId="0" borderId="3" xfId="0" applyFont="1" applyFill="1" applyBorder="1" applyAlignment="1" applyProtection="1">
      <alignment horizontal="left" vertical="bottom"/>
      <protection locked="1" hidden="0"/>
    </xf>
    <xf numFmtId="0" fontId="2" fillId="3" borderId="0" xfId="0" applyFont="1" applyFill="1" applyAlignment="1" applyProtection="1">
      <alignment horizontal="general" vertical="bottom"/>
      <protection locked="1" hidden="0"/>
    </xf>
    <xf numFmtId="0" fontId="3" fillId="3" borderId="3" xfId="0" applyFont="1" applyFill="1" applyBorder="1" applyAlignment="1" applyProtection="1">
      <alignment horizontal="lef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lef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68" fontId="3" fillId="2" borderId="1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lef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170" fontId="2" fillId="2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right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67" fontId="3" fillId="0" borderId="1" xfId="0" applyNumberFormat="1" applyFont="1" applyFill="1" applyBorder="1" applyAlignment="1" applyProtection="1">
      <alignment horizontal="right" vertical="bottom"/>
      <protection locked="1" hidden="0"/>
    </xf>
    <xf numFmtId="173" fontId="3" fillId="2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72" fontId="2" fillId="2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2" fontId="5" fillId="0" borderId="0" xfId="0" applyNumberFormat="1" applyFont="1" applyFill="1" applyAlignment="1" applyProtection="1">
      <alignment horizontal="right" vertical="bottom"/>
      <protection locked="1" hidden="0"/>
    </xf>
    <xf numFmtId="164" fontId="12" fillId="0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center"/>
      <protection locked="1" hidden="0"/>
    </xf>
    <xf numFmtId="0" fontId="2" fillId="0" borderId="0" xfId="0" applyFont="1" applyFill="1" applyAlignment="1" applyProtection="1">
      <alignment horizontal="left" vertical="bottom" indent="2"/>
      <protection locked="1" hidden="0"/>
    </xf>
    <xf numFmtId="170" fontId="5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71" fontId="5" fillId="0" borderId="0" xfId="0" applyNumberFormat="1" applyFont="1" applyFill="1" applyAlignment="1" applyProtection="1">
      <alignment horizontal="left" vertical="bottom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174" fontId="5" fillId="0" borderId="0" xfId="0" applyNumberFormat="1" applyFont="1" applyFill="1" applyAlignment="1" applyProtection="1">
      <alignment horizontal="right" vertical="bottom"/>
      <protection locked="1" hidden="0"/>
    </xf>
    <xf numFmtId="164" fontId="12" fillId="2" borderId="0" xfId="0" applyNumberFormat="1" applyFont="1" applyFill="1" applyAlignment="1" applyProtection="1">
      <alignment horizontal="right" vertical="bottom"/>
      <protection locked="1" hidden="0"/>
    </xf>
    <xf numFmtId="171" fontId="5" fillId="0" borderId="0" xfId="0" applyNumberFormat="1" applyFont="1" applyFill="1" applyAlignment="1" applyProtection="1">
      <alignment horizontal="general" vertical="bottom"/>
      <protection locked="1" hidden="0"/>
    </xf>
    <xf numFmtId="165" fontId="11" fillId="2" borderId="0" xfId="0" applyNumberFormat="1" applyFont="1" applyFill="1" applyAlignment="1" applyProtection="1">
      <alignment horizontal="right" vertical="bottom"/>
      <protection locked="1" hidden="0"/>
    </xf>
    <xf numFmtId="172" fontId="11" fillId="0" borderId="0" xfId="0" applyNumberFormat="1" applyFont="1" applyFill="1" applyAlignment="1" applyProtection="1">
      <alignment horizontal="right" vertical="bottom"/>
      <protection locked="1" hidden="0"/>
    </xf>
    <xf numFmtId="172" fontId="8" fillId="0" borderId="1" xfId="0" applyNumberFormat="1" applyFont="1" applyFill="1" applyBorder="1" applyAlignment="1" applyProtection="1">
      <alignment horizontal="right" vertical="bottom"/>
      <protection locked="1" hidden="0"/>
    </xf>
    <xf numFmtId="172" fontId="4" fillId="2" borderId="0" xfId="0" applyNumberFormat="1" applyFont="1" applyFill="1" applyAlignment="1" applyProtection="1">
      <alignment horizontal="right" vertical="bottom"/>
      <protection locked="1" hidden="0"/>
    </xf>
    <xf numFmtId="172" fontId="8" fillId="2" borderId="1" xfId="0" applyNumberFormat="1" applyFont="1" applyFill="1" applyBorder="1" applyAlignment="1" applyProtection="1">
      <alignment horizontal="right" vertical="bottom"/>
      <protection locked="1" hidden="0"/>
    </xf>
    <xf numFmtId="167" fontId="4" fillId="2" borderId="0" xfId="0" applyNumberFormat="1" applyFont="1" applyFill="1" applyAlignment="1" applyProtection="1">
      <alignment horizontal="right" vertical="bottom"/>
      <protection locked="1" hidden="0"/>
    </xf>
    <xf numFmtId="172" fontId="11" fillId="2" borderId="0" xfId="0" applyNumberFormat="1" applyFont="1" applyFill="1" applyAlignment="1" applyProtection="1">
      <alignment horizontal="right" vertical="bottom"/>
      <protection locked="1" hidden="0"/>
    </xf>
    <xf numFmtId="172" fontId="3" fillId="0" borderId="1" xfId="0" applyNumberFormat="1" applyFont="1" applyFill="1" applyBorder="1" applyAlignment="1" applyProtection="1">
      <alignment horizontal="right" vertical="bottom"/>
      <protection locked="1" hidden="0"/>
    </xf>
    <xf numFmtId="175" fontId="14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166" fontId="1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4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15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8" fontId="14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4" fillId="0" borderId="3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9" fontId="20" fillId="0" borderId="4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0" fillId="0" borderId="0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5" fontId="21" fillId="0" borderId="0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5" fontId="21" fillId="0" borderId="5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1" fillId="0" borderId="4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5" fontId="21" fillId="0" borderId="5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5" fontId="20" fillId="0" borderId="4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5" fontId="20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5" fontId="20" fillId="0" borderId="5" xfId="0" applyNumberFormat="1" applyFont="1" applyFill="1" applyBorder="1" applyAlignment="1" applyProtection="1">
      <alignment horizontal="general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5"/>
  <sheetViews>
    <sheetView showGridLines="0" tabSelected="1" workbookViewId="0"/>
  </sheetViews>
  <sheetFormatPr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 ht="49.5">
      <c r="A1" s="2"/>
      <c r="B1" s="2"/>
      <c r="C1" s="87" t="s">
        <v>0</v>
      </c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2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131"/>
      <c r="C5" s="129"/>
      <c r="D5" s="129"/>
      <c r="E5" s="129"/>
      <c r="F5" s="129"/>
      <c r="G5" s="129"/>
      <c r="H5" s="129"/>
      <c r="I5" s="129"/>
      <c r="J5" s="127"/>
    </row>
    <row r="6">
      <c r="A6" s="2"/>
      <c r="B6" s="128"/>
      <c r="C6" s="125"/>
      <c r="D6" s="125"/>
      <c r="E6" s="125"/>
      <c r="F6" s="125"/>
      <c r="G6" s="125"/>
      <c r="H6" s="125"/>
      <c r="I6" s="125"/>
      <c r="J6" s="127"/>
    </row>
    <row r="7">
      <c r="A7" s="2"/>
      <c r="B7" s="130"/>
      <c r="C7" s="126"/>
      <c r="D7" s="126"/>
      <c r="E7" s="126"/>
      <c r="F7" s="126"/>
      <c r="G7" s="126"/>
      <c r="H7" s="126"/>
      <c r="I7" s="126"/>
      <c r="J7" s="132"/>
    </row>
    <row r="8">
      <c r="A8" s="2"/>
      <c r="B8" s="2"/>
      <c r="C8" s="2"/>
      <c r="D8" s="2"/>
      <c r="E8" s="2"/>
      <c r="F8" s="2"/>
      <c r="G8" s="2"/>
      <c r="H8" s="2"/>
      <c r="I8" s="105"/>
      <c r="J8" s="2"/>
    </row>
    <row r="9">
      <c r="A9" s="2"/>
      <c r="B9" s="27" t="s">
        <v>4</v>
      </c>
      <c r="C9" s="27"/>
      <c r="D9" s="15"/>
      <c r="E9" s="33"/>
      <c r="F9" s="33"/>
      <c r="G9" s="33"/>
      <c r="H9" s="33"/>
      <c r="I9" s="109"/>
      <c r="J9" s="13"/>
    </row>
    <row r="10">
      <c r="A10" s="2"/>
      <c r="B10" s="18" t="s">
        <v>5</v>
      </c>
      <c r="C10" s="69" t="s">
        <v>6</v>
      </c>
      <c r="D10" s="5"/>
      <c r="E10" s="2"/>
      <c r="F10" s="2"/>
      <c r="G10" s="2"/>
      <c r="H10" s="2"/>
      <c r="I10" s="105"/>
      <c r="J10" s="13"/>
    </row>
    <row r="11">
      <c r="A11" s="2"/>
      <c r="B11" s="18" t="s">
        <v>7</v>
      </c>
      <c r="C11" s="69" t="s">
        <v>8</v>
      </c>
      <c r="D11" s="5"/>
      <c r="E11" s="2"/>
      <c r="F11" s="2"/>
      <c r="G11" s="2"/>
      <c r="H11" s="2"/>
      <c r="I11" s="105"/>
      <c r="J11" s="13"/>
    </row>
    <row r="12">
      <c r="A12" s="2"/>
      <c r="B12" s="18" t="s">
        <v>9</v>
      </c>
      <c r="C12" s="69" t="s">
        <v>10</v>
      </c>
      <c r="D12" s="5"/>
      <c r="E12" s="2"/>
      <c r="F12" s="2"/>
      <c r="G12" s="2"/>
      <c r="H12" s="2"/>
      <c r="I12" s="105"/>
      <c r="J12" s="13"/>
    </row>
    <row r="13">
      <c r="A13" s="2"/>
      <c r="B13" s="18" t="s">
        <v>11</v>
      </c>
      <c r="C13" s="69" t="s">
        <v>12</v>
      </c>
      <c r="D13" s="5"/>
      <c r="E13" s="2"/>
      <c r="F13" s="2"/>
      <c r="G13" s="2"/>
      <c r="H13" s="2"/>
      <c r="I13" s="105"/>
      <c r="J13" s="13"/>
    </row>
    <row r="14">
      <c r="A14" s="2"/>
      <c r="B14" s="18" t="s">
        <v>13</v>
      </c>
      <c r="C14" s="69" t="s">
        <v>14</v>
      </c>
      <c r="D14" s="5"/>
      <c r="E14" s="2"/>
      <c r="F14" s="2"/>
      <c r="G14" s="2"/>
      <c r="H14" s="2"/>
      <c r="I14" s="105"/>
      <c r="J14" s="13"/>
    </row>
    <row r="15">
      <c r="A15" s="2"/>
      <c r="B15" s="18" t="s">
        <v>15</v>
      </c>
      <c r="C15" s="69" t="s">
        <v>16</v>
      </c>
      <c r="D15" s="5"/>
      <c r="E15" s="2"/>
      <c r="F15" s="2"/>
      <c r="G15" s="2"/>
      <c r="H15" s="2"/>
      <c r="I15" s="105"/>
      <c r="J15" s="13"/>
    </row>
    <row r="16">
      <c r="A16" s="2"/>
      <c r="B16" s="18" t="s">
        <v>17</v>
      </c>
      <c r="C16" s="69" t="s">
        <v>18</v>
      </c>
      <c r="D16" s="5"/>
      <c r="E16" s="2"/>
      <c r="F16" s="2"/>
      <c r="G16" s="2"/>
      <c r="H16" s="2"/>
      <c r="I16" s="105"/>
      <c r="J16" s="13"/>
    </row>
    <row r="17">
      <c r="A17" s="2"/>
      <c r="B17" s="18" t="s">
        <v>19</v>
      </c>
      <c r="C17" s="69" t="s">
        <v>20</v>
      </c>
      <c r="D17" s="5"/>
      <c r="E17" s="2"/>
      <c r="F17" s="2"/>
      <c r="G17" s="2"/>
      <c r="H17" s="2"/>
      <c r="I17" s="105"/>
      <c r="J17" s="13"/>
    </row>
    <row r="18">
      <c r="A18" s="2"/>
      <c r="B18" s="18" t="s">
        <v>21</v>
      </c>
      <c r="C18" s="69" t="s">
        <v>22</v>
      </c>
      <c r="D18" s="5"/>
      <c r="E18" s="2"/>
      <c r="F18" s="2"/>
      <c r="G18" s="2"/>
      <c r="H18" s="2"/>
      <c r="I18" s="105"/>
      <c r="J18" s="13"/>
    </row>
    <row r="19">
      <c r="A19" s="2"/>
      <c r="B19" s="18" t="s">
        <v>23</v>
      </c>
      <c r="C19" s="69" t="s">
        <v>24</v>
      </c>
      <c r="D19" s="5"/>
      <c r="E19" s="2"/>
      <c r="F19" s="2"/>
      <c r="G19" s="2"/>
      <c r="H19" s="2"/>
      <c r="I19" s="105"/>
      <c r="J19" s="13"/>
    </row>
    <row r="20">
      <c r="A20" s="2"/>
      <c r="B20" s="18"/>
      <c r="C20" s="18"/>
      <c r="D20" s="5"/>
      <c r="E20" s="2"/>
      <c r="F20" s="2"/>
      <c r="G20" s="2"/>
      <c r="H20" s="2"/>
      <c r="I20" s="105"/>
      <c r="J20" s="13"/>
    </row>
    <row r="21">
      <c r="A21" s="2"/>
      <c r="B21" s="27" t="s">
        <v>25</v>
      </c>
      <c r="C21" s="33"/>
      <c r="D21" s="15"/>
      <c r="E21" s="33"/>
      <c r="F21" s="33"/>
      <c r="G21" s="33"/>
      <c r="H21" s="33"/>
      <c r="I21" s="109"/>
      <c r="J21" s="13"/>
    </row>
    <row r="22">
      <c r="A22" s="2"/>
      <c r="B22" s="62" t="s">
        <v>26</v>
      </c>
      <c r="C22" s="39" t="s">
        <v>27</v>
      </c>
      <c r="D22" s="39" t="s">
        <v>28</v>
      </c>
      <c r="E22" s="39" t="s">
        <v>29</v>
      </c>
      <c r="F22" s="39" t="s">
        <v>30</v>
      </c>
      <c r="G22" s="39" t="s">
        <v>31</v>
      </c>
      <c r="H22" s="39" t="s">
        <v>32</v>
      </c>
      <c r="I22" s="108" t="s">
        <v>33</v>
      </c>
      <c r="J22" s="53"/>
    </row>
    <row r="23">
      <c r="A23" s="2"/>
      <c r="B23" s="18" t="s">
        <v>34</v>
      </c>
      <c r="C23" s="11">
        <f>'Income Statement'!D10</f>
        <v>1430.84</v>
      </c>
      <c r="D23" s="11">
        <f>'Income Statement'!I10</f>
        <v>1501.4237400000002</v>
      </c>
      <c r="E23" s="11">
        <f>Inputs!C57</f>
        <v>1506.33</v>
      </c>
      <c r="F23" s="17">
        <f>D23-E23</f>
        <v>-4.906259999999747</v>
      </c>
      <c r="G23" s="65">
        <f>IFERROR(D23/E23-1,"n/a")</f>
        <v>-0.0032570950588515224</v>
      </c>
      <c r="H23" s="11">
        <f>Guidance!I49</f>
        <v>1502.382</v>
      </c>
      <c r="I23" s="112">
        <f>IFERROR(D23-H23,"n/a")</f>
        <v>-0.958259999999882</v>
      </c>
      <c r="J23" s="13" t="s">
        <v>35</v>
      </c>
    </row>
    <row r="24">
      <c r="A24" s="2"/>
      <c r="B24" s="18" t="s">
        <v>36</v>
      </c>
      <c r="C24" s="11">
        <f>'Income Statement'!D101</f>
        <v>268.1519999999998</v>
      </c>
      <c r="D24" s="11">
        <f>'Income Statement'!I101</f>
        <v>245.23860336675014</v>
      </c>
      <c r="E24" s="11">
        <f>Inputs!C70</f>
        <v>245.83</v>
      </c>
      <c r="F24" s="17">
        <f>D24-E24</f>
        <v>-0.5913966332498717</v>
      </c>
      <c r="G24" s="65">
        <f>IFERROR(D24/E24-1,"n/a")</f>
        <v>-0.0024057138398481115</v>
      </c>
      <c r="H24" s="17" t="s">
        <v>37</v>
      </c>
      <c r="I24" s="112" t="str">
        <f>IFERROR(D24-H24,"n/a")</f>
        <v>n/a</v>
      </c>
      <c r="J24" s="13" t="s">
        <v>38</v>
      </c>
    </row>
    <row r="25">
      <c r="A25" s="2"/>
      <c r="B25" s="18" t="s">
        <v>39</v>
      </c>
      <c r="C25" s="11">
        <f>'Income Statement'!D75</f>
        <v>268.1519999999998</v>
      </c>
      <c r="D25" s="11">
        <f>'Income Statement'!I75</f>
        <v>245.23860336675014</v>
      </c>
      <c r="E25" s="11">
        <f>Inputs!C71</f>
        <v>245.25</v>
      </c>
      <c r="F25" s="17">
        <f>D25-E25</f>
        <v>-0.011396633249859178</v>
      </c>
      <c r="G25" s="65">
        <f>IFERROR(D25/E25-1,"n/a")</f>
        <v>-0.00004646945259878521</v>
      </c>
      <c r="H25" s="17" t="s">
        <v>37</v>
      </c>
      <c r="I25" s="112" t="str">
        <f>IFERROR(D25-H25,"n/a")</f>
        <v>n/a</v>
      </c>
      <c r="J25" s="13" t="s">
        <v>40</v>
      </c>
    </row>
    <row r="26">
      <c r="A26" s="2"/>
      <c r="B26" s="18" t="s">
        <v>41</v>
      </c>
      <c r="C26" s="51">
        <f>'Income Statement'!D102</f>
        <v>1.816108146181561</v>
      </c>
      <c r="D26" s="51">
        <f>'Income Statement'!I102</f>
        <v>1.8092647762881247</v>
      </c>
      <c r="E26" s="51">
        <f>Inputs!C39</f>
        <v>1.79</v>
      </c>
      <c r="F26" s="21">
        <f>D26-E26</f>
        <v>0.01926477628812462</v>
      </c>
      <c r="G26" s="65">
        <f>IFERROR(D26/E26-1,"n/a")</f>
        <v>0.010762444853700925</v>
      </c>
      <c r="H26" s="51">
        <f>Guidance!I50</f>
        <v>1.755</v>
      </c>
      <c r="I26" s="118">
        <f>IFERROR(D26-H26,"n/a")</f>
        <v>0.05426477628812476</v>
      </c>
      <c r="J26" s="13" t="s">
        <v>42</v>
      </c>
    </row>
    <row r="27">
      <c r="A27" s="2"/>
      <c r="B27" s="18" t="s">
        <v>43</v>
      </c>
      <c r="C27" s="51">
        <f>'Income Statement'!D87</f>
        <v>1.816108146181561</v>
      </c>
      <c r="D27" s="51">
        <f>'Income Statement'!I87</f>
        <v>1.8092647762881247</v>
      </c>
      <c r="E27" s="51">
        <f>Inputs!C48</f>
        <v>1.79</v>
      </c>
      <c r="F27" s="21">
        <f>D27-E27</f>
        <v>0.01926477628812462</v>
      </c>
      <c r="G27" s="65">
        <f>IFERROR(D27/E27-1,"n/a")</f>
        <v>0.010762444853700925</v>
      </c>
      <c r="H27" s="51">
        <f>Guidance!I50</f>
        <v>1.755</v>
      </c>
      <c r="I27" s="118">
        <f>IFERROR(D27-H27,"n/a")</f>
        <v>0.05426477628812476</v>
      </c>
      <c r="J27" s="13" t="s">
        <v>44</v>
      </c>
    </row>
    <row r="28">
      <c r="A28" s="2"/>
      <c r="B28" s="18" t="s">
        <v>45</v>
      </c>
      <c r="C28" s="2"/>
      <c r="D28" s="82" t="b">
        <f>AND(ABS(D23-'Income Statement'!I10)&lt;0.000001,ABS(D24-'Income Statement'!I101)&lt;0.000001,ABS(D26-'Income Statement'!I102)&lt;0.000001)</f>
        <v>1</v>
      </c>
      <c r="E28" s="2"/>
      <c r="F28" s="2"/>
      <c r="G28" s="2"/>
      <c r="H28" s="2"/>
      <c r="I28" s="105"/>
      <c r="J28" s="13"/>
    </row>
    <row r="29">
      <c r="A29" s="2"/>
      <c r="B29" s="27" t="s">
        <v>46</v>
      </c>
      <c r="C29" s="33"/>
      <c r="D29" s="85" t="str">
        <f>IF(AND('Revenue summary'!C92:I92,'Income Statement'!C93:I93,'Income Statement'!C107:I107,'Balance Sheet'!C47:I47,'Cash Flow Statement'!C66:H66,Geo!C34:H34),"PASS","FAIL")</f>
        <v>PASS</v>
      </c>
      <c r="E29" s="33"/>
      <c r="F29" s="33"/>
      <c r="G29" s="33"/>
      <c r="H29" s="33"/>
      <c r="I29" s="109"/>
      <c r="J29" s="13" t="s">
        <v>47</v>
      </c>
    </row>
    <row r="30">
      <c r="A30" s="2"/>
      <c r="B30" s="27" t="s">
        <v>48</v>
      </c>
      <c r="C30" s="71"/>
      <c r="D30" s="71">
        <f>D47</f>
        <v>0.7</v>
      </c>
      <c r="E30" s="71"/>
      <c r="F30" s="71"/>
      <c r="G30" s="71"/>
      <c r="H30" s="71"/>
      <c r="I30" s="113"/>
      <c r="J30" s="13" t="s">
        <v>49</v>
      </c>
    </row>
    <row r="31">
      <c r="A31" s="2"/>
      <c r="B31" s="27" t="s">
        <v>50</v>
      </c>
      <c r="C31" s="33"/>
      <c r="D31" s="76" t="s">
        <v>51</v>
      </c>
      <c r="E31" s="33"/>
      <c r="F31" s="33"/>
      <c r="G31" s="33"/>
      <c r="H31" s="33"/>
      <c r="I31" s="109"/>
      <c r="J31" s="13" t="s">
        <v>52</v>
      </c>
    </row>
    <row r="32">
      <c r="A32" s="2"/>
      <c r="B32" s="18"/>
      <c r="C32" s="2"/>
      <c r="D32" s="5"/>
      <c r="E32" s="2"/>
      <c r="F32" s="2"/>
      <c r="G32" s="2"/>
      <c r="H32" s="2"/>
      <c r="I32" s="105"/>
      <c r="J32" s="13"/>
    </row>
    <row r="33">
      <c r="A33" s="2"/>
      <c r="B33" s="27" t="s">
        <v>53</v>
      </c>
      <c r="C33" s="33"/>
      <c r="D33" s="15"/>
      <c r="E33" s="33"/>
      <c r="F33" s="33"/>
      <c r="G33" s="33"/>
      <c r="H33" s="33"/>
      <c r="I33" s="109"/>
      <c r="J33" s="13"/>
    </row>
    <row r="34">
      <c r="A34" s="2"/>
      <c r="B34" s="18" t="s">
        <v>54</v>
      </c>
      <c r="C34" s="14"/>
      <c r="D34" s="16">
        <v>11.68</v>
      </c>
      <c r="E34" s="14"/>
      <c r="F34" s="14"/>
      <c r="G34" s="14"/>
      <c r="H34" s="14"/>
      <c r="I34" s="115"/>
      <c r="J34" s="13" t="s">
        <v>55</v>
      </c>
    </row>
    <row r="35">
      <c r="A35" s="2"/>
      <c r="B35" s="18" t="s">
        <v>56</v>
      </c>
      <c r="C35" s="2"/>
      <c r="D35" s="26" t="s">
        <v>57</v>
      </c>
      <c r="E35" s="2"/>
      <c r="F35" s="2"/>
      <c r="G35" s="2"/>
      <c r="H35" s="2"/>
      <c r="I35" s="105"/>
      <c r="J35" s="13" t="s">
        <v>58</v>
      </c>
    </row>
    <row r="36">
      <c r="A36" s="2"/>
      <c r="B36" s="18" t="s">
        <v>59</v>
      </c>
      <c r="C36" s="14"/>
      <c r="D36" s="16">
        <v>10</v>
      </c>
      <c r="E36" s="14"/>
      <c r="F36" s="14"/>
      <c r="G36" s="14"/>
      <c r="H36" s="14"/>
      <c r="I36" s="115"/>
      <c r="J36" s="13" t="s">
        <v>60</v>
      </c>
    </row>
    <row r="37">
      <c r="A37" s="2"/>
      <c r="B37" s="18" t="s">
        <v>61</v>
      </c>
      <c r="C37" s="14"/>
      <c r="D37" s="16">
        <v>2</v>
      </c>
      <c r="E37" s="14"/>
      <c r="F37" s="14"/>
      <c r="G37" s="14"/>
      <c r="H37" s="14"/>
      <c r="I37" s="115"/>
      <c r="J37" s="13" t="s">
        <v>62</v>
      </c>
    </row>
    <row r="38">
      <c r="A38" s="2"/>
      <c r="B38" s="18" t="s">
        <v>63</v>
      </c>
      <c r="C38" s="65"/>
      <c r="D38" s="74">
        <v>0.78</v>
      </c>
      <c r="E38" s="65"/>
      <c r="F38" s="65"/>
      <c r="G38" s="65"/>
      <c r="H38" s="65"/>
      <c r="I38" s="117"/>
      <c r="J38" s="13" t="s">
        <v>64</v>
      </c>
    </row>
    <row r="39">
      <c r="A39" s="2"/>
      <c r="B39" s="18" t="s">
        <v>65</v>
      </c>
      <c r="C39" s="65"/>
      <c r="D39" s="74">
        <v>0.7</v>
      </c>
      <c r="E39" s="65"/>
      <c r="F39" s="65"/>
      <c r="G39" s="65"/>
      <c r="H39" s="65"/>
      <c r="I39" s="117"/>
      <c r="J39" s="13"/>
    </row>
    <row r="40">
      <c r="A40" s="2"/>
      <c r="B40" s="18" t="s">
        <v>66</v>
      </c>
      <c r="C40" s="65"/>
      <c r="D40" s="74">
        <v>0.6</v>
      </c>
      <c r="E40" s="65"/>
      <c r="F40" s="65"/>
      <c r="G40" s="65"/>
      <c r="H40" s="65"/>
      <c r="I40" s="117"/>
      <c r="J40" s="13"/>
    </row>
    <row r="41">
      <c r="A41" s="2"/>
      <c r="B41" s="18" t="s">
        <v>67</v>
      </c>
      <c r="C41" s="2"/>
      <c r="D41" s="5" t="str">
        <f>IF(D34&gt;D36,"Large",IF(D34&gt;=D37,"Mid","Small"))</f>
        <v>Large</v>
      </c>
      <c r="E41" s="2"/>
      <c r="F41" s="2"/>
      <c r="G41" s="2"/>
      <c r="H41" s="2"/>
      <c r="I41" s="105"/>
      <c r="J41" s="13"/>
    </row>
    <row r="42">
      <c r="A42" s="2"/>
      <c r="B42" s="18" t="s">
        <v>68</v>
      </c>
      <c r="C42" s="65"/>
      <c r="D42" s="65">
        <f>IF(OR(D41="Large",D35="Yes"),D38,IF(D41="Mid",D39,D40))</f>
        <v>0.78</v>
      </c>
      <c r="E42" s="65"/>
      <c r="F42" s="65"/>
      <c r="G42" s="65"/>
      <c r="H42" s="65"/>
      <c r="I42" s="117"/>
      <c r="J42" s="13"/>
    </row>
    <row r="43">
      <c r="A43" s="2"/>
      <c r="B43" s="18" t="s">
        <v>69</v>
      </c>
      <c r="C43" s="67"/>
      <c r="D43" s="75">
        <f>SUMPRODUCT(--(Inputs!E105:E110&gt;Inputs!D105:D110))</f>
        <v>6</v>
      </c>
      <c r="E43" s="67"/>
      <c r="F43" s="67"/>
      <c r="G43" s="67"/>
      <c r="H43" s="67"/>
      <c r="I43" s="114"/>
      <c r="J43" s="13"/>
    </row>
    <row r="44">
      <c r="A44" s="2"/>
      <c r="B44" s="18" t="s">
        <v>70</v>
      </c>
      <c r="C44" s="67"/>
      <c r="D44" s="75">
        <f>SUMPRODUCT(--ISNUMBER(Inputs!E105:E110),--ISNUMBER(Inputs!D105:D110))</f>
        <v>6</v>
      </c>
      <c r="E44" s="67"/>
      <c r="F44" s="67"/>
      <c r="G44" s="67"/>
      <c r="H44" s="67"/>
      <c r="I44" s="114"/>
      <c r="J44" s="13"/>
    </row>
    <row r="45">
      <c r="A45" s="2"/>
      <c r="B45" s="18" t="s">
        <v>71</v>
      </c>
      <c r="C45" s="67"/>
      <c r="D45" s="84">
        <v>8</v>
      </c>
      <c r="E45" s="67"/>
      <c r="F45" s="67"/>
      <c r="G45" s="67"/>
      <c r="H45" s="67"/>
      <c r="I45" s="114"/>
      <c r="J45" s="13"/>
    </row>
    <row r="46">
      <c r="A46" s="2"/>
      <c r="B46" s="18" t="s">
        <v>72</v>
      </c>
      <c r="C46" s="65"/>
      <c r="D46" s="65">
        <f>(D45*D42+D43)/(D45+D44)</f>
        <v>0.8742857142857143</v>
      </c>
      <c r="E46" s="65"/>
      <c r="F46" s="65"/>
      <c r="G46" s="65"/>
      <c r="H46" s="65"/>
      <c r="I46" s="117"/>
      <c r="J46" s="13"/>
    </row>
    <row r="47">
      <c r="A47" s="2"/>
      <c r="B47" s="18" t="s">
        <v>73</v>
      </c>
      <c r="C47" s="65"/>
      <c r="D47" s="74">
        <v>0.7</v>
      </c>
      <c r="E47" s="65"/>
      <c r="F47" s="65"/>
      <c r="G47" s="65"/>
      <c r="H47" s="65"/>
      <c r="I47" s="117"/>
      <c r="J47" s="13" t="s">
        <v>74</v>
      </c>
    </row>
    <row r="48">
      <c r="A48" s="2"/>
      <c r="B48" s="18" t="s">
        <v>75</v>
      </c>
      <c r="C48" s="65"/>
      <c r="D48" s="65">
        <f>D47-D46</f>
        <v>-0.17428571428571438</v>
      </c>
      <c r="E48" s="65"/>
      <c r="F48" s="65"/>
      <c r="G48" s="65"/>
      <c r="H48" s="65"/>
      <c r="I48" s="117"/>
      <c r="J48" s="13"/>
    </row>
    <row r="49">
      <c r="A49" s="2"/>
      <c r="B49" s="18"/>
      <c r="C49" s="2"/>
      <c r="D49" s="5"/>
      <c r="E49" s="2"/>
      <c r="F49" s="2"/>
      <c r="G49" s="2"/>
      <c r="H49" s="2"/>
      <c r="I49" s="105"/>
      <c r="J49" s="13"/>
    </row>
    <row r="50">
      <c r="A50" s="2"/>
      <c r="B50" s="27" t="s">
        <v>76</v>
      </c>
      <c r="C50" s="33"/>
      <c r="D50" s="15"/>
      <c r="E50" s="33"/>
      <c r="F50" s="33"/>
      <c r="G50" s="33"/>
      <c r="H50" s="33"/>
      <c r="I50" s="109"/>
      <c r="J50" s="13"/>
    </row>
    <row r="51">
      <c r="A51" s="2"/>
      <c r="B51" s="62" t="s">
        <v>77</v>
      </c>
      <c r="C51" s="39" t="s">
        <v>78</v>
      </c>
      <c r="D51" s="39" t="s">
        <v>29</v>
      </c>
      <c r="E51" s="39" t="s">
        <v>79</v>
      </c>
      <c r="F51" s="39" t="s">
        <v>80</v>
      </c>
      <c r="G51" s="39" t="s">
        <v>81</v>
      </c>
      <c r="H51" s="39"/>
      <c r="I51" s="108"/>
      <c r="J51" s="53"/>
    </row>
    <row r="52">
      <c r="A52" s="2"/>
      <c r="B52" s="66">
        <f>Inputs!B105</f>
        <v>45747</v>
      </c>
      <c r="C52" s="70">
        <f>Inputs!C105</f>
        <v>45799</v>
      </c>
      <c r="D52" s="51">
        <f>Inputs!D105</f>
        <v>0.6</v>
      </c>
      <c r="E52" s="51">
        <f>Inputs!E105</f>
        <v>1</v>
      </c>
      <c r="F52" s="21">
        <f>E52-D52</f>
        <v>0.4</v>
      </c>
      <c r="G52" s="21" t="str">
        <f>IF(E52&gt;D52,"Beat","No")</f>
        <v>Beat</v>
      </c>
      <c r="H52" s="2"/>
      <c r="I52" s="105"/>
      <c r="J52" s="13"/>
    </row>
    <row r="53">
      <c r="A53" s="2"/>
      <c r="B53" s="66">
        <f>Inputs!B106</f>
        <v>45838</v>
      </c>
      <c r="C53" s="70">
        <f>Inputs!C106</f>
        <v>45862</v>
      </c>
      <c r="D53" s="51">
        <f>Inputs!D106</f>
        <v>0.68</v>
      </c>
      <c r="E53" s="51">
        <f>Inputs!E106</f>
        <v>0.93</v>
      </c>
      <c r="F53" s="21">
        <f>E53-D53</f>
        <v>0.25</v>
      </c>
      <c r="G53" s="21" t="str">
        <f>IF(E53&gt;D53,"Beat","No")</f>
        <v>Beat</v>
      </c>
      <c r="H53" s="2"/>
      <c r="I53" s="105"/>
      <c r="J53" s="13"/>
    </row>
    <row r="54">
      <c r="A54" s="2"/>
      <c r="B54" s="66">
        <f>Inputs!B107</f>
        <v>45930</v>
      </c>
      <c r="C54" s="70">
        <f>Inputs!C107</f>
        <v>45953</v>
      </c>
      <c r="D54" s="51">
        <f>Inputs!D107</f>
        <v>1.58</v>
      </c>
      <c r="E54" s="51">
        <f>Inputs!E107</f>
        <v>1.82</v>
      </c>
      <c r="F54" s="21">
        <f>E54-D54</f>
        <v>0.24</v>
      </c>
      <c r="G54" s="21" t="str">
        <f>IF(E54&gt;D54,"Beat","No")</f>
        <v>Beat</v>
      </c>
      <c r="H54" s="2"/>
      <c r="I54" s="105"/>
      <c r="J54" s="13"/>
    </row>
    <row r="55">
      <c r="A55" s="2"/>
      <c r="B55" s="66">
        <f>Inputs!B108</f>
        <v>46022</v>
      </c>
      <c r="C55" s="70">
        <f>Inputs!C108</f>
        <v>46051</v>
      </c>
      <c r="D55" s="51">
        <f>Inputs!D108</f>
        <v>2.77</v>
      </c>
      <c r="E55" s="51">
        <f>Inputs!E108</f>
        <v>3.33</v>
      </c>
      <c r="F55" s="21">
        <f>E55-D55</f>
        <v>0.56</v>
      </c>
      <c r="G55" s="21" t="str">
        <f>IF(E55&gt;D55,"Beat","No")</f>
        <v>Beat</v>
      </c>
      <c r="H55" s="2"/>
      <c r="I55" s="105"/>
      <c r="J55" s="13"/>
    </row>
    <row r="56">
      <c r="A56" s="2"/>
      <c r="B56" s="66">
        <f>Inputs!B109</f>
        <v>46112</v>
      </c>
      <c r="C56" s="70">
        <f>Inputs!C109</f>
        <v>46163</v>
      </c>
      <c r="D56" s="51">
        <f>Inputs!D109</f>
        <v>0.83</v>
      </c>
      <c r="E56" s="51">
        <f>Inputs!E109</f>
        <v>0.96</v>
      </c>
      <c r="F56" s="21">
        <f>E56-D56</f>
        <v>0.13</v>
      </c>
      <c r="G56" s="21" t="str">
        <f>IF(E56&gt;D56,"Beat","No")</f>
        <v>Beat</v>
      </c>
      <c r="H56" s="2"/>
      <c r="I56" s="105"/>
      <c r="J56" s="13"/>
    </row>
    <row r="57">
      <c r="A57" s="2"/>
      <c r="B57" s="66">
        <f>Inputs!B110</f>
        <v>46203</v>
      </c>
      <c r="C57" s="70">
        <f>Inputs!C110</f>
        <v>46226</v>
      </c>
      <c r="D57" s="51">
        <f>Inputs!D110</f>
        <v>0.87</v>
      </c>
      <c r="E57" s="51">
        <f>Inputs!E110</f>
        <v>0.94</v>
      </c>
      <c r="F57" s="21">
        <f>E57-D57</f>
        <v>0.06999999999999995</v>
      </c>
      <c r="G57" s="21" t="str">
        <f>IF(E57&gt;D57,"Beat","No")</f>
        <v>Beat</v>
      </c>
      <c r="H57" s="2"/>
      <c r="I57" s="105"/>
      <c r="J57" s="13"/>
    </row>
    <row r="58">
      <c r="A58" s="2"/>
      <c r="B58" s="27" t="s">
        <v>82</v>
      </c>
      <c r="C58" s="42"/>
      <c r="D58" s="42"/>
      <c r="E58" s="42"/>
      <c r="F58" s="42">
        <f>AVERAGE(F52:F57)</f>
        <v>0.27499999999999997</v>
      </c>
      <c r="G58" s="42"/>
      <c r="H58" s="42"/>
      <c r="I58" s="111"/>
      <c r="J58" s="13"/>
    </row>
    <row r="59">
      <c r="A59" s="2"/>
      <c r="B59" s="18" t="s">
        <v>83</v>
      </c>
      <c r="C59" s="21"/>
      <c r="D59" s="21"/>
      <c r="E59" s="21"/>
      <c r="F59" s="21">
        <f>AVERAGE(F56:F57)</f>
        <v>0.09999999999999998</v>
      </c>
      <c r="G59" s="21"/>
      <c r="H59" s="21"/>
      <c r="I59" s="118"/>
      <c r="J59" s="13"/>
    </row>
    <row r="60">
      <c r="A60" s="2"/>
      <c r="B60" s="18" t="s">
        <v>84</v>
      </c>
      <c r="C60" s="21"/>
      <c r="D60" s="21"/>
      <c r="E60" s="21"/>
      <c r="F60" s="21">
        <f>D26-E26</f>
        <v>0.01926477628812462</v>
      </c>
      <c r="G60" s="21"/>
      <c r="H60" s="21"/>
      <c r="I60" s="118"/>
      <c r="J60" s="13"/>
    </row>
    <row r="61">
      <c r="A61" s="2"/>
      <c r="B61" s="18"/>
      <c r="C61" s="2"/>
      <c r="D61" s="5"/>
      <c r="E61" s="2"/>
      <c r="F61" s="2"/>
      <c r="G61" s="2"/>
      <c r="H61" s="2"/>
      <c r="I61" s="105"/>
      <c r="J61" s="13"/>
    </row>
    <row r="62">
      <c r="A62" s="2"/>
      <c r="B62" s="27" t="s">
        <v>85</v>
      </c>
      <c r="C62" s="33"/>
      <c r="D62" s="15"/>
      <c r="E62" s="33"/>
      <c r="F62" s="33"/>
      <c r="G62" s="33"/>
      <c r="H62" s="33"/>
      <c r="I62" s="109"/>
      <c r="J62" s="13"/>
    </row>
    <row r="63">
      <c r="A63" s="2"/>
      <c r="B63" s="19" t="s">
        <v>86</v>
      </c>
      <c r="C63" s="4"/>
      <c r="D63" s="58">
        <f>IFERROR('Segment - HOKA'!I26/'Segment - HOKA'!I27-1,"n/a")</f>
        <v>0.07986042902697732</v>
      </c>
      <c r="E63" s="4"/>
      <c r="F63" s="4"/>
      <c r="G63" s="4"/>
      <c r="H63" s="4"/>
      <c r="I63" s="116"/>
      <c r="J63" s="13"/>
    </row>
    <row r="64">
      <c r="A64" s="2"/>
      <c r="B64" s="19" t="s">
        <v>87</v>
      </c>
      <c r="C64" s="4"/>
      <c r="D64" s="58">
        <f>IFERROR('Segment - UGG'!I26/'Segment - UGG'!I27-1,"n/a")</f>
        <v>0.050697642271392285</v>
      </c>
      <c r="E64" s="4"/>
      <c r="F64" s="4"/>
      <c r="G64" s="4"/>
      <c r="H64" s="4"/>
      <c r="I64" s="116"/>
      <c r="J64" s="13"/>
    </row>
    <row r="65">
      <c r="A65" s="2"/>
      <c r="B65" s="19" t="s">
        <v>88</v>
      </c>
      <c r="C65" s="4"/>
      <c r="D65" s="58">
        <f>IFERROR('Segment - Other brands'!I26/'Segment - Other brands'!I27-1,"n/a")</f>
        <v>-0.4994729195253854</v>
      </c>
      <c r="E65" s="4"/>
      <c r="F65" s="4"/>
      <c r="G65" s="4"/>
      <c r="H65" s="4"/>
      <c r="I65" s="116"/>
      <c r="J65" s="13"/>
    </row>
    <row r="66">
      <c r="A66" s="2"/>
      <c r="B66" s="19" t="s">
        <v>89</v>
      </c>
      <c r="C66" s="4"/>
      <c r="D66" s="58">
        <f>'Income Statement'!I23</f>
        <v>0.5506365561863302</v>
      </c>
      <c r="E66" s="4"/>
      <c r="F66" s="4"/>
      <c r="G66" s="4"/>
      <c r="H66" s="4"/>
      <c r="I66" s="116"/>
      <c r="J66" s="13"/>
    </row>
    <row r="67">
      <c r="A67" s="2"/>
      <c r="B67" s="19" t="s">
        <v>90</v>
      </c>
      <c r="C67" s="4"/>
      <c r="D67" s="58">
        <f>'Income Statement'!I45</f>
        <v>0.2032317056409406</v>
      </c>
      <c r="E67" s="4"/>
      <c r="F67" s="4"/>
      <c r="G67" s="4"/>
      <c r="H67" s="4"/>
      <c r="I67" s="116"/>
      <c r="J67" s="13"/>
    </row>
    <row r="68">
      <c r="A68" s="2"/>
      <c r="B68" s="19" t="s">
        <v>91</v>
      </c>
      <c r="C68" s="4"/>
      <c r="D68" s="58">
        <f>'Income Statement'!I72</f>
        <v>0.225</v>
      </c>
      <c r="E68" s="4"/>
      <c r="F68" s="4"/>
      <c r="G68" s="4"/>
      <c r="H68" s="4"/>
      <c r="I68" s="116"/>
      <c r="J68" s="13"/>
    </row>
    <row r="69">
      <c r="A69" s="2"/>
      <c r="B69" s="18" t="s">
        <v>92</v>
      </c>
      <c r="C69" s="14"/>
      <c r="D69" s="80">
        <f>'Income Statement'!I85</f>
        <v>135.546</v>
      </c>
      <c r="E69" s="14"/>
      <c r="F69" s="14"/>
      <c r="G69" s="14"/>
      <c r="H69" s="14"/>
      <c r="I69" s="115"/>
      <c r="J69" s="13"/>
    </row>
    <row r="70">
      <c r="A70" s="2"/>
      <c r="B70" s="18"/>
      <c r="C70" s="2"/>
      <c r="D70" s="5"/>
      <c r="E70" s="2"/>
      <c r="F70" s="2"/>
      <c r="G70" s="2"/>
      <c r="H70" s="2"/>
      <c r="I70" s="105"/>
      <c r="J70" s="13"/>
    </row>
    <row r="71">
      <c r="A71" s="2"/>
      <c r="B71" s="18"/>
      <c r="C71" s="2"/>
      <c r="D71" s="5"/>
      <c r="E71" s="2"/>
      <c r="F71" s="2"/>
      <c r="G71" s="2"/>
      <c r="H71" s="2"/>
      <c r="I71" s="105"/>
      <c r="J71" s="13"/>
    </row>
    <row r="72">
      <c r="I72" s="106"/>
    </row>
    <row r="73">
      <c r="I73" s="106"/>
    </row>
    <row r="74">
      <c r="I74" s="106"/>
    </row>
    <row r="75">
      <c r="I75" s="10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93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104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105</v>
      </c>
      <c r="C10" s="11">
        <f>'Segment - HOKA'!C26</f>
        <v>653.119</v>
      </c>
      <c r="D10" s="11">
        <f>'Segment - HOKA'!D26</f>
        <v>634.086</v>
      </c>
      <c r="E10" s="11">
        <f>'Segment - HOKA'!E26</f>
        <v>628.8820000000001</v>
      </c>
      <c r="F10" s="11">
        <f>'Segment - HOKA'!F26</f>
        <v>671.243</v>
      </c>
      <c r="G10" s="11">
        <f>'Segment - HOKA'!G26</f>
        <v>2587.33</v>
      </c>
      <c r="H10" s="11">
        <f>'Segment - HOKA'!H26</f>
        <v>703.538</v>
      </c>
      <c r="I10" s="35">
        <f>'Segment - HOKA'!I26</f>
        <v>684.72438</v>
      </c>
      <c r="J10" s="13" t="s">
        <v>106</v>
      </c>
    </row>
    <row r="11">
      <c r="A11" s="2"/>
      <c r="B11" s="8" t="s">
        <v>107</v>
      </c>
      <c r="C11" s="11">
        <f>'Segment - HOKA'!C27</f>
        <v>545.178</v>
      </c>
      <c r="D11" s="11">
        <f>'Segment - HOKA'!D27</f>
        <v>570.896</v>
      </c>
      <c r="E11" s="11">
        <f>'Segment - HOKA'!E27</f>
        <v>530.908</v>
      </c>
      <c r="F11" s="11">
        <f>'Segment - HOKA'!F27</f>
        <v>586.108</v>
      </c>
      <c r="G11" s="11">
        <f>'Segment - HOKA'!G27</f>
        <v>2233.09</v>
      </c>
      <c r="H11" s="11">
        <f>'Segment - HOKA'!H27</f>
        <v>653.119</v>
      </c>
      <c r="I11" s="35">
        <f>'Segment - HOKA'!I27</f>
        <v>634.086</v>
      </c>
      <c r="J11" s="13"/>
    </row>
    <row r="12">
      <c r="A12" s="2"/>
      <c r="B12" s="18" t="s">
        <v>108</v>
      </c>
      <c r="C12" s="11">
        <f>'Segment - UGG'!C26</f>
        <v>265.092</v>
      </c>
      <c r="D12" s="11">
        <f>'Segment - UGG'!D26</f>
        <v>759.587</v>
      </c>
      <c r="E12" s="11">
        <f>'Segment - UGG'!E26</f>
        <v>1305.475</v>
      </c>
      <c r="F12" s="11">
        <f>'Segment - UGG'!F26</f>
        <v>408.6039999999997</v>
      </c>
      <c r="G12" s="11">
        <f>'Segment - UGG'!G26</f>
        <v>2738.758</v>
      </c>
      <c r="H12" s="11">
        <f>'Segment - UGG'!H26</f>
        <v>278.049</v>
      </c>
      <c r="I12" s="35">
        <f>'Segment - UGG'!I26</f>
        <v>798.09627</v>
      </c>
      <c r="J12" s="13" t="s">
        <v>109</v>
      </c>
    </row>
    <row r="13">
      <c r="A13" s="2"/>
      <c r="B13" s="8" t="s">
        <v>107</v>
      </c>
      <c r="C13" s="11">
        <f>'Segment - UGG'!C27</f>
        <v>222.951</v>
      </c>
      <c r="D13" s="11">
        <f>'Segment - UGG'!D27</f>
        <v>689.865</v>
      </c>
      <c r="E13" s="11">
        <f>'Segment - UGG'!E27</f>
        <v>1244.189</v>
      </c>
      <c r="F13" s="11">
        <f>'Segment - UGG'!F27</f>
        <v>374.3460000000002</v>
      </c>
      <c r="G13" s="11">
        <f>'Segment - UGG'!G27</f>
        <v>2531.3509999999997</v>
      </c>
      <c r="H13" s="11">
        <f>'Segment - UGG'!H27</f>
        <v>265.092</v>
      </c>
      <c r="I13" s="35">
        <f>'Segment - UGG'!I27</f>
        <v>759.587</v>
      </c>
      <c r="J13" s="13"/>
    </row>
    <row r="14">
      <c r="A14" s="2"/>
      <c r="B14" s="18" t="s">
        <v>110</v>
      </c>
      <c r="C14" s="11">
        <f>'Segment - Other brands'!C26</f>
        <v>46.327</v>
      </c>
      <c r="D14" s="11">
        <f>'Segment - Other brands'!D26</f>
        <v>37.167</v>
      </c>
      <c r="E14" s="11">
        <f>'Segment - Other brands'!E26</f>
        <v>23.192</v>
      </c>
      <c r="F14" s="11">
        <f>'Segment - Other brands'!F26</f>
        <v>39.522000000000006</v>
      </c>
      <c r="G14" s="11">
        <f>'Segment - Other brands'!G26</f>
        <v>146.208</v>
      </c>
      <c r="H14" s="11">
        <f>'Segment - Other brands'!H26</f>
        <v>37.944</v>
      </c>
      <c r="I14" s="35">
        <f>'Segment - Other brands'!I26</f>
        <v>18.60309</v>
      </c>
      <c r="J14" s="13" t="s">
        <v>111</v>
      </c>
    </row>
    <row r="15">
      <c r="A15" s="2"/>
      <c r="B15" s="8" t="s">
        <v>107</v>
      </c>
      <c r="C15" s="11">
        <f>'Segment - Other brands'!C27</f>
        <v>57.218</v>
      </c>
      <c r="D15" s="11">
        <f>'Segment - Other brands'!D27</f>
        <v>50.559</v>
      </c>
      <c r="E15" s="11">
        <f>'Segment - Other brands'!E27</f>
        <v>52.068</v>
      </c>
      <c r="F15" s="11">
        <f>'Segment - Other brands'!F27</f>
        <v>61.32600000000003</v>
      </c>
      <c r="G15" s="11">
        <f>'Segment - Other brands'!G27</f>
        <v>221.17100000000002</v>
      </c>
      <c r="H15" s="11">
        <f>'Segment - Other brands'!H27</f>
        <v>46.327</v>
      </c>
      <c r="I15" s="35">
        <f>'Segment - Other brands'!I27</f>
        <v>37.167</v>
      </c>
      <c r="J15" s="13"/>
    </row>
    <row r="16">
      <c r="A16" s="2"/>
      <c r="B16" s="27" t="s">
        <v>112</v>
      </c>
      <c r="C16" s="3">
        <f>C10+C12+C14</f>
        <v>964.538</v>
      </c>
      <c r="D16" s="3">
        <f>D10+D12+D14</f>
        <v>1430.84</v>
      </c>
      <c r="E16" s="3">
        <f>E10+E12+E14</f>
        <v>1957.549</v>
      </c>
      <c r="F16" s="3">
        <f>F10+F12+F14</f>
        <v>1119.3689999999997</v>
      </c>
      <c r="G16" s="3">
        <f>G10+G12+G14</f>
        <v>5472.295999999999</v>
      </c>
      <c r="H16" s="3">
        <f>H10+H12+H14</f>
        <v>1019.531</v>
      </c>
      <c r="I16" s="59">
        <f>I10+I12+I14</f>
        <v>1501.4237400000002</v>
      </c>
      <c r="J16" s="13"/>
    </row>
    <row r="17">
      <c r="A17" s="2"/>
      <c r="B17" s="8" t="s">
        <v>107</v>
      </c>
      <c r="C17" s="17">
        <f>C11+C13+C15</f>
        <v>825.347</v>
      </c>
      <c r="D17" s="17">
        <f>D11+D13+D15</f>
        <v>1311.32</v>
      </c>
      <c r="E17" s="17">
        <f>E11+E13+E15</f>
        <v>1827.1650000000002</v>
      </c>
      <c r="F17" s="17">
        <f>F11+F13+F15</f>
        <v>1021.7800000000002</v>
      </c>
      <c r="G17" s="17">
        <f>G11+G13+G15</f>
        <v>4985.612</v>
      </c>
      <c r="H17" s="17">
        <f>H11+H13+H15</f>
        <v>964.538</v>
      </c>
      <c r="I17" s="6">
        <f>I11+I13+I15</f>
        <v>1430.84</v>
      </c>
      <c r="J17" s="13"/>
    </row>
    <row r="18">
      <c r="A18" s="2"/>
      <c r="B18" s="28" t="s">
        <v>113</v>
      </c>
      <c r="C18" s="4">
        <f>IFERROR(IF(C17&gt;0,C16/C17-1,"n/a"),"n/a")</f>
        <v>0.16864543034626656</v>
      </c>
      <c r="D18" s="4">
        <f>IFERROR(IF(D17&gt;0,D16/D17-1,"n/a"),"n/a")</f>
        <v>0.09114480065887798</v>
      </c>
      <c r="E18" s="4">
        <f>IFERROR(IF(E17&gt;0,E16/E17-1,"n/a"),"n/a")</f>
        <v>0.07135863482498839</v>
      </c>
      <c r="F18" s="4">
        <f>IFERROR(IF(F17&gt;0,F16/F17-1,"n/a"),"n/a")</f>
        <v>0.09550881794515398</v>
      </c>
      <c r="G18" s="4">
        <f>IFERROR(IF(G17&gt;0,G16/G17-1,"n/a"),"n/a")</f>
        <v>0.09761770470706499</v>
      </c>
      <c r="H18" s="4">
        <f>IFERROR(IF(H17&gt;0,H16/H17-1,"n/a"),"n/a")</f>
        <v>0.05701486100081077</v>
      </c>
      <c r="I18" s="23">
        <f>IFERROR(IF(I17&gt;0,I16/I17-1,"n/a"),"n/a")</f>
        <v>0.04933028151295771</v>
      </c>
      <c r="J18" s="13"/>
    </row>
    <row r="19">
      <c r="A19" s="2"/>
      <c r="B19" s="28" t="s">
        <v>114</v>
      </c>
      <c r="C19" s="4" t="s">
        <v>37</v>
      </c>
      <c r="D19" s="4">
        <f>IFERROR(IF(C16&gt;0,D16/C16-1,"n/a"),"n/a")</f>
        <v>0.4834459606568118</v>
      </c>
      <c r="E19" s="4">
        <f>IFERROR(IF(D16&gt;0,E16/D16-1,"n/a"),"n/a")</f>
        <v>0.3681117385591681</v>
      </c>
      <c r="F19" s="4">
        <f>IFERROR(IF(E16&gt;0,F16/E16-1,"n/a"),"n/a")</f>
        <v>-0.4281782984742657</v>
      </c>
      <c r="G19" s="4" t="s">
        <v>37</v>
      </c>
      <c r="H19" s="4">
        <f>IFERROR(IF(F16&gt;0,H16/F16-1,"n/a"),"n/a")</f>
        <v>-0.08919132118184425</v>
      </c>
      <c r="I19" s="23">
        <f>IFERROR(IF(H16&gt;0,I16/H16-1,"n/a"),"n/a")</f>
        <v>0.4726611942157719</v>
      </c>
      <c r="J19" s="13"/>
    </row>
    <row r="20">
      <c r="A20" s="2"/>
      <c r="B20" s="8" t="s">
        <v>115</v>
      </c>
      <c r="C20" s="17" t="s">
        <v>37</v>
      </c>
      <c r="D20" s="17">
        <f>IFERROR(D16-C16,"n/a")</f>
        <v>466.3019999999999</v>
      </c>
      <c r="E20" s="17">
        <f>IFERROR(E16-D16,"n/a")</f>
        <v>526.7090000000001</v>
      </c>
      <c r="F20" s="17">
        <f>IFERROR(F16-E16,"n/a")</f>
        <v>-838.1800000000003</v>
      </c>
      <c r="G20" s="17" t="s">
        <v>37</v>
      </c>
      <c r="H20" s="17">
        <f>IFERROR(H16-F16,"n/a")</f>
        <v>-99.83799999999974</v>
      </c>
      <c r="I20" s="6">
        <f>IFERROR(I16-H16,"n/a")</f>
        <v>481.89274000000023</v>
      </c>
      <c r="J20" s="13"/>
    </row>
    <row r="21">
      <c r="A21" s="2"/>
      <c r="B21" s="28" t="s">
        <v>116</v>
      </c>
      <c r="C21" s="20">
        <v>0.163</v>
      </c>
      <c r="D21" s="20">
        <v>0.083</v>
      </c>
      <c r="E21" s="20">
        <v>0.068</v>
      </c>
      <c r="F21" s="20">
        <v>0.077</v>
      </c>
      <c r="G21" s="20">
        <v>0.09</v>
      </c>
      <c r="H21" s="20">
        <v>0.048</v>
      </c>
      <c r="I21" s="23" t="s">
        <v>37</v>
      </c>
      <c r="J21" s="13" t="s">
        <v>117</v>
      </c>
    </row>
    <row r="22">
      <c r="A22" s="2"/>
      <c r="B22" s="1" t="s">
        <v>118</v>
      </c>
      <c r="C22" s="4" t="s">
        <v>37</v>
      </c>
      <c r="D22" s="4" t="s">
        <v>37</v>
      </c>
      <c r="E22" s="20">
        <v>0</v>
      </c>
      <c r="F22" s="20">
        <v>0</v>
      </c>
      <c r="G22" s="4" t="s">
        <v>37</v>
      </c>
      <c r="H22" s="20">
        <v>0</v>
      </c>
      <c r="I22" s="52">
        <v>0</v>
      </c>
      <c r="J22" s="13" t="s">
        <v>119</v>
      </c>
    </row>
    <row r="23">
      <c r="A23" s="2"/>
      <c r="B23" s="1" t="s">
        <v>120</v>
      </c>
      <c r="C23" s="4">
        <f>IFERROR((1+C18)/(1+C21)-1,"n/a")</f>
        <v>0.004854196342447548</v>
      </c>
      <c r="D23" s="4">
        <f>IFERROR((1+D18)/(1+D21)-1,"n/a")</f>
        <v>0.0075205915594440675</v>
      </c>
      <c r="E23" s="4">
        <f>IFERROR((1+E18)/(1+E21)-1,"n/a")</f>
        <v>0.0031447891619740265</v>
      </c>
      <c r="F23" s="4">
        <f>IFERROR((1+F18)/(1+F21)-1,"n/a")</f>
        <v>0.01718553198250139</v>
      </c>
      <c r="G23" s="4">
        <f>IFERROR((1+G18)/(1+G21)-1,"n/a")</f>
        <v>0.006988719914738484</v>
      </c>
      <c r="H23" s="4">
        <f>IFERROR((1+H18)/(1+H21)-1,"n/a")</f>
        <v>0.00860196660382706</v>
      </c>
      <c r="I23" s="23" t="s">
        <v>37</v>
      </c>
      <c r="J23" s="13" t="s">
        <v>121</v>
      </c>
    </row>
    <row r="24">
      <c r="A24" s="2"/>
      <c r="B24" s="1" t="s">
        <v>122</v>
      </c>
      <c r="C24" s="4" t="str">
        <f>IFERROR((1+C18)/((1+C22)*(1+C23))-1,"n/a")</f>
        <v>n/a</v>
      </c>
      <c r="D24" s="4" t="str">
        <f>IFERROR((1+D18)/((1+D22)*(1+D23))-1,"n/a")</f>
        <v>n/a</v>
      </c>
      <c r="E24" s="4">
        <f>IFERROR((1+E18)/((1+E22)*(1+E23))-1,"n/a")</f>
        <v>0.06800000000000006</v>
      </c>
      <c r="F24" s="4">
        <f>IFERROR((1+F18)/((1+F22)*(1+F23))-1,"n/a")</f>
        <v>0.07699999999999996</v>
      </c>
      <c r="G24" s="4" t="str">
        <f>IFERROR((1+G18)/((1+G22)*(1+G23))-1,"n/a")</f>
        <v>n/a</v>
      </c>
      <c r="H24" s="4">
        <f>IFERROR((1+H18)/((1+H22)*(1+H23))-1,"n/a")</f>
        <v>0.04800000000000004</v>
      </c>
      <c r="I24" s="23" t="str">
        <f>IFERROR((1+I18)/((1+I22)*(1+I23))-1,"n/a")</f>
        <v>n/a</v>
      </c>
      <c r="J24" s="13"/>
    </row>
    <row r="25">
      <c r="A25" s="2"/>
      <c r="B25" s="1" t="s">
        <v>123</v>
      </c>
      <c r="C25" s="4">
        <f>C18</f>
        <v>0.16864543034626656</v>
      </c>
      <c r="D25" s="4">
        <f>D18</f>
        <v>0.09114480065887798</v>
      </c>
      <c r="E25" s="4">
        <f>E18</f>
        <v>0.07135863482498839</v>
      </c>
      <c r="F25" s="4">
        <f>F18</f>
        <v>0.09550881794515398</v>
      </c>
      <c r="G25" s="4">
        <f>G18</f>
        <v>0.09761770470706499</v>
      </c>
      <c r="H25" s="4">
        <f>H18</f>
        <v>0.05701486100081077</v>
      </c>
      <c r="I25" s="23">
        <f>I18</f>
        <v>0.04933028151295771</v>
      </c>
      <c r="J25" s="13"/>
    </row>
    <row r="26">
      <c r="A26" s="2"/>
      <c r="B26" s="18"/>
      <c r="C26" s="5"/>
      <c r="D26" s="5"/>
      <c r="E26" s="5"/>
      <c r="F26" s="5"/>
      <c r="G26" s="5"/>
      <c r="H26" s="5"/>
      <c r="I26" s="9"/>
      <c r="J26" s="13"/>
    </row>
    <row r="27">
      <c r="A27" s="2"/>
      <c r="B27" s="27" t="s">
        <v>124</v>
      </c>
      <c r="C27" s="15"/>
      <c r="D27" s="15"/>
      <c r="E27" s="15"/>
      <c r="F27" s="15"/>
      <c r="G27" s="15"/>
      <c r="H27" s="15"/>
      <c r="I27" s="41"/>
      <c r="J27" s="13"/>
    </row>
    <row r="28">
      <c r="A28" s="2"/>
      <c r="B28" s="27" t="s">
        <v>125</v>
      </c>
      <c r="C28" s="15"/>
      <c r="D28" s="15"/>
      <c r="E28" s="15"/>
      <c r="F28" s="15"/>
      <c r="G28" s="15"/>
      <c r="H28" s="15"/>
      <c r="I28" s="41"/>
      <c r="J28" s="13"/>
    </row>
    <row r="29">
      <c r="A29" s="2"/>
      <c r="B29" s="28" t="s">
        <v>113</v>
      </c>
      <c r="C29" s="4">
        <f>IFERROR(IF(C11&gt;0,C10/C11-1,"n/a"),"n/a")</f>
        <v>0.19799221538653433</v>
      </c>
      <c r="D29" s="4">
        <f>IFERROR(IF(D11&gt;0,D10/D11-1,"n/a"),"n/a")</f>
        <v>0.11068565903422001</v>
      </c>
      <c r="E29" s="4">
        <f>IFERROR(IF(E11&gt;0,E10/E11-1,"n/a"),"n/a")</f>
        <v>0.18454044768585143</v>
      </c>
      <c r="F29" s="4">
        <f>IFERROR(IF(F11&gt;0,F10/F11-1,"n/a"),"n/a")</f>
        <v>0.14525479945675568</v>
      </c>
      <c r="G29" s="4">
        <f>IFERROR(IF(G11&gt;0,G10/G11-1,"n/a"),"n/a")</f>
        <v>0.15863220918100018</v>
      </c>
      <c r="H29" s="4">
        <f>IFERROR(IF(H11&gt;0,H10/H11-1,"n/a"),"n/a")</f>
        <v>0.07719726420453243</v>
      </c>
      <c r="I29" s="23">
        <f>IFERROR(IF(I11&gt;0,I10/I11-1,"n/a"),"n/a")</f>
        <v>0.07986042902697732</v>
      </c>
      <c r="J29" s="13"/>
    </row>
    <row r="30">
      <c r="A30" s="2"/>
      <c r="B30" s="28" t="s">
        <v>114</v>
      </c>
      <c r="C30" s="4" t="s">
        <v>37</v>
      </c>
      <c r="D30" s="4">
        <f>IFERROR(IF(C10&gt;0,D10/C10-1,"n/a"),"n/a")</f>
        <v>-0.029141703119952123</v>
      </c>
      <c r="E30" s="4">
        <f>IFERROR(IF(D10&gt;0,E10/D10-1,"n/a"),"n/a")</f>
        <v>-0.008207088628356285</v>
      </c>
      <c r="F30" s="4">
        <f>IFERROR(IF(E10&gt;0,F10/E10-1,"n/a"),"n/a")</f>
        <v>0.067359218422534</v>
      </c>
      <c r="G30" s="4" t="s">
        <v>37</v>
      </c>
      <c r="H30" s="4">
        <f>IFERROR(IF(F10&gt;0,H10/F10-1,"n/a"),"n/a")</f>
        <v>0.048112233572640495</v>
      </c>
      <c r="I30" s="23">
        <f>IFERROR(IF(H10&gt;0,I10/H10-1,"n/a"),"n/a")</f>
        <v>-0.026741441116187037</v>
      </c>
      <c r="J30" s="13"/>
    </row>
    <row r="31">
      <c r="A31" s="2"/>
      <c r="B31" s="28" t="s">
        <v>126</v>
      </c>
      <c r="C31" s="4">
        <f>IFERROR(C10/C16,"n/a")</f>
        <v>0.6771314349460571</v>
      </c>
      <c r="D31" s="4">
        <f>IFERROR(D10/D16,"n/a")</f>
        <v>0.4431564675295631</v>
      </c>
      <c r="E31" s="4">
        <f>IFERROR(E10/E16,"n/a")</f>
        <v>0.3212599020509832</v>
      </c>
      <c r="F31" s="4">
        <f>IFERROR(F10/F16,"n/a")</f>
        <v>0.5996619524035418</v>
      </c>
      <c r="G31" s="4">
        <f>IFERROR(G10/G16,"n/a")</f>
        <v>0.472805199133965</v>
      </c>
      <c r="H31" s="4">
        <f>IFERROR(H10/H16,"n/a")</f>
        <v>0.6900604297466189</v>
      </c>
      <c r="I31" s="23">
        <f>IFERROR(I10/I16,"n/a")</f>
        <v>0.4560500555292938</v>
      </c>
      <c r="J31" s="13"/>
    </row>
    <row r="32">
      <c r="A32" s="2"/>
      <c r="B32" s="1" t="s">
        <v>127</v>
      </c>
      <c r="C32" s="83">
        <f>IFERROR((C10/C16-C11/C17)*10000,"n/a")</f>
        <v>165.87445569467562</v>
      </c>
      <c r="D32" s="83">
        <f>IFERROR((D10/D16-D11/D17)*10000,"n/a")</f>
        <v>77.96677394432128</v>
      </c>
      <c r="E32" s="83">
        <f>IFERROR((E10/E16-E11/E17)*10000,"n/a")</f>
        <v>306.9610513061755</v>
      </c>
      <c r="F32" s="83">
        <f>IFERROR((F10/F16-F11/F17)*10000,"n/a")</f>
        <v>260.47279969162787</v>
      </c>
      <c r="G32" s="83">
        <f>IFERROR((G10/G16-G11/G17)*10000,"n/a")</f>
        <v>248.9830224748446</v>
      </c>
      <c r="H32" s="83">
        <f>IFERROR((H10/H16-H11/H17)*10000,"n/a")</f>
        <v>129.28994800561756</v>
      </c>
      <c r="I32" s="86">
        <f>IFERROR((I10/I16-I11/I17)*10000,"n/a")</f>
        <v>128.9358799973067</v>
      </c>
      <c r="J32" s="13"/>
    </row>
    <row r="33">
      <c r="A33" s="2"/>
      <c r="B33" s="1" t="s">
        <v>128</v>
      </c>
      <c r="C33" s="83" t="s">
        <v>37</v>
      </c>
      <c r="D33" s="83">
        <f>IFERROR((D31-C31)*10000,"n/a")</f>
        <v>-2339.7496741649397</v>
      </c>
      <c r="E33" s="83">
        <f>IFERROR((E31-D31)*10000,"n/a")</f>
        <v>-1218.9656547857992</v>
      </c>
      <c r="F33" s="83">
        <f>IFERROR((F31-E31)*10000,"n/a")</f>
        <v>2784.0205035255863</v>
      </c>
      <c r="G33" s="83" t="s">
        <v>37</v>
      </c>
      <c r="H33" s="83">
        <f>IFERROR((H31-F31)*10000,"n/a")</f>
        <v>903.9847734307705</v>
      </c>
      <c r="I33" s="86">
        <f>IFERROR((I31-H31)*10000,"n/a")</f>
        <v>-2340.103742173251</v>
      </c>
      <c r="J33" s="13"/>
    </row>
    <row r="34">
      <c r="A34" s="2"/>
      <c r="B34" s="27" t="s">
        <v>129</v>
      </c>
      <c r="C34" s="15"/>
      <c r="D34" s="15"/>
      <c r="E34" s="15"/>
      <c r="F34" s="15"/>
      <c r="G34" s="15"/>
      <c r="H34" s="15"/>
      <c r="I34" s="41"/>
      <c r="J34" s="13"/>
    </row>
    <row r="35">
      <c r="A35" s="2"/>
      <c r="B35" s="28" t="s">
        <v>113</v>
      </c>
      <c r="C35" s="4">
        <f>IFERROR(IF(C13&gt;0,C12/C13-1,"n/a"),"n/a")</f>
        <v>0.1890146265322874</v>
      </c>
      <c r="D35" s="4">
        <f>IFERROR(IF(D13&gt;0,D12/D13-1,"n/a"),"n/a")</f>
        <v>0.10106615062367275</v>
      </c>
      <c r="E35" s="4">
        <f>IFERROR(IF(E13&gt;0,E12/E13-1,"n/a"),"n/a")</f>
        <v>0.049257789612349834</v>
      </c>
      <c r="F35" s="4">
        <f>IFERROR(IF(F13&gt;0,F12/F13-1,"n/a"),"n/a")</f>
        <v>0.09151426754927128</v>
      </c>
      <c r="G35" s="4">
        <f>IFERROR(IF(G13&gt;0,G12/G13-1,"n/a"),"n/a")</f>
        <v>0.0819352985816666</v>
      </c>
      <c r="H35" s="4">
        <f>IFERROR(IF(H13&gt;0,H12/H13-1,"n/a"),"n/a")</f>
        <v>0.04887737087501698</v>
      </c>
      <c r="I35" s="23">
        <f>IFERROR(IF(I13&gt;0,I12/I13-1,"n/a"),"n/a")</f>
        <v>0.050697642271392285</v>
      </c>
      <c r="J35" s="13"/>
    </row>
    <row r="36">
      <c r="A36" s="2"/>
      <c r="B36" s="28" t="s">
        <v>114</v>
      </c>
      <c r="C36" s="4" t="s">
        <v>37</v>
      </c>
      <c r="D36" s="4">
        <f>IFERROR(IF(C12&gt;0,D12/C12-1,"n/a"),"n/a")</f>
        <v>1.8653712673336051</v>
      </c>
      <c r="E36" s="4">
        <f>IFERROR(IF(D12&gt;0,E12/D12-1,"n/a"),"n/a")</f>
        <v>0.7186642214782506</v>
      </c>
      <c r="F36" s="4">
        <f>IFERROR(IF(E12&gt;0,F12/E12-1,"n/a"),"n/a")</f>
        <v>-0.6870074110955784</v>
      </c>
      <c r="G36" s="4" t="s">
        <v>37</v>
      </c>
      <c r="H36" s="4">
        <f>IFERROR(IF(F12&gt;0,H12/F12-1,"n/a"),"n/a")</f>
        <v>-0.31951473798592234</v>
      </c>
      <c r="I36" s="23">
        <f>IFERROR(IF(H12&gt;0,I12/H12-1,"n/a"),"n/a")</f>
        <v>1.8703439681494989</v>
      </c>
      <c r="J36" s="13"/>
    </row>
    <row r="37">
      <c r="A37" s="2"/>
      <c r="B37" s="28" t="s">
        <v>126</v>
      </c>
      <c r="C37" s="4">
        <f>IFERROR(C12/C16,"n/a")</f>
        <v>0.27483831637530093</v>
      </c>
      <c r="D37" s="4">
        <f>IFERROR(D12/D16,"n/a")</f>
        <v>0.5308678818036957</v>
      </c>
      <c r="E37" s="4">
        <f>IFERROR(E12/E16,"n/a")</f>
        <v>0.6668926295076139</v>
      </c>
      <c r="F37" s="4">
        <f>IFERROR(F12/F16,"n/a")</f>
        <v>0.36503065566403914</v>
      </c>
      <c r="G37" s="4">
        <f>IFERROR(G12/G16,"n/a")</f>
        <v>0.5004769478843981</v>
      </c>
      <c r="H37" s="4">
        <f>IFERROR(H12/H16,"n/a")</f>
        <v>0.27272245767907005</v>
      </c>
      <c r="I37" s="23">
        <f>IFERROR(I12/I16,"n/a")</f>
        <v>0.5315596448474965</v>
      </c>
      <c r="J37" s="13"/>
    </row>
    <row r="38">
      <c r="A38" s="2"/>
      <c r="B38" s="1" t="s">
        <v>127</v>
      </c>
      <c r="C38" s="83">
        <f>IFERROR((C12/C16-C13/C17)*10000,"n/a")</f>
        <v>47.08298334404171</v>
      </c>
      <c r="D38" s="83">
        <f>IFERROR((D12/D16-D13/D17)*10000,"n/a")</f>
        <v>47.8347830188075</v>
      </c>
      <c r="E38" s="83">
        <f>IFERROR((E12/E16-E13/E17)*10000,"n/a")</f>
        <v>-140.46968175135066</v>
      </c>
      <c r="F38" s="83">
        <f>IFERROR((F12/F16-F13/F17)*10000,"n/a")</f>
        <v>-13.358811638495283</v>
      </c>
      <c r="G38" s="83">
        <f>IFERROR((G12/G16-G13/G17)*10000,"n/a")</f>
        <v>-72.54299553228316</v>
      </c>
      <c r="H38" s="83">
        <f>IFERROR((H12/H16-H13/H17)*10000,"n/a")</f>
        <v>-21.158586962308767</v>
      </c>
      <c r="I38" s="86">
        <f>IFERROR((I12/I16-I13/I17)*10000,"n/a")</f>
        <v>6.917630438008082</v>
      </c>
      <c r="J38" s="13"/>
    </row>
    <row r="39">
      <c r="A39" s="2"/>
      <c r="B39" s="1" t="s">
        <v>128</v>
      </c>
      <c r="C39" s="83" t="s">
        <v>37</v>
      </c>
      <c r="D39" s="83">
        <f>IFERROR((D37-C37)*10000,"n/a")</f>
        <v>2560.295654283948</v>
      </c>
      <c r="E39" s="83">
        <f>IFERROR((E37-D37)*10000,"n/a")</f>
        <v>1360.2474770391814</v>
      </c>
      <c r="F39" s="83">
        <f>IFERROR((F37-E37)*10000,"n/a")</f>
        <v>-3018.619738435747</v>
      </c>
      <c r="G39" s="83" t="s">
        <v>37</v>
      </c>
      <c r="H39" s="83">
        <f>IFERROR((H37-F37)*10000,"n/a")</f>
        <v>-923.0819798496909</v>
      </c>
      <c r="I39" s="86">
        <f>IFERROR((I37-H37)*10000,"n/a")</f>
        <v>2588.3718716842645</v>
      </c>
      <c r="J39" s="13"/>
    </row>
    <row r="40">
      <c r="A40" s="2"/>
      <c r="B40" s="27" t="s">
        <v>110</v>
      </c>
      <c r="C40" s="15"/>
      <c r="D40" s="15"/>
      <c r="E40" s="15"/>
      <c r="F40" s="15"/>
      <c r="G40" s="15"/>
      <c r="H40" s="15"/>
      <c r="I40" s="41"/>
      <c r="J40" s="13"/>
    </row>
    <row r="41">
      <c r="A41" s="2"/>
      <c r="B41" s="28" t="s">
        <v>113</v>
      </c>
      <c r="C41" s="4">
        <f>IFERROR(IF(C15&gt;0,C14/C15-1,"n/a"),"n/a")</f>
        <v>-0.19034220000699087</v>
      </c>
      <c r="D41" s="4">
        <f>IFERROR(IF(D15&gt;0,D14/D15-1,"n/a"),"n/a")</f>
        <v>-0.26487865661899956</v>
      </c>
      <c r="E41" s="4">
        <f>IFERROR(IF(E15&gt;0,E14/E15-1,"n/a"),"n/a")</f>
        <v>-0.5545824690788967</v>
      </c>
      <c r="F41" s="4">
        <f>IFERROR(IF(F15&gt;0,F14/F15-1,"n/a"),"n/a")</f>
        <v>-0.35554251051756214</v>
      </c>
      <c r="G41" s="4">
        <f>IFERROR(IF(G15&gt;0,G14/G15-1,"n/a"),"n/a")</f>
        <v>-0.3389368407250499</v>
      </c>
      <c r="H41" s="4">
        <f>IFERROR(IF(H15&gt;0,H14/H15-1,"n/a"),"n/a")</f>
        <v>-0.18095279210827375</v>
      </c>
      <c r="I41" s="23">
        <f>IFERROR(IF(I15&gt;0,I14/I15-1,"n/a"),"n/a")</f>
        <v>-0.4994729195253854</v>
      </c>
      <c r="J41" s="13"/>
    </row>
    <row r="42">
      <c r="A42" s="2"/>
      <c r="B42" s="28" t="s">
        <v>114</v>
      </c>
      <c r="C42" s="4" t="s">
        <v>37</v>
      </c>
      <c r="D42" s="4">
        <f>IFERROR(IF(C14&gt;0,D14/C14-1,"n/a"),"n/a")</f>
        <v>-0.19772486886696738</v>
      </c>
      <c r="E42" s="4">
        <f>IFERROR(IF(D14&gt;0,E14/D14-1,"n/a"),"n/a")</f>
        <v>-0.3760055963623645</v>
      </c>
      <c r="F42" s="4">
        <f>IFERROR(IF(E14&gt;0,F14/E14-1,"n/a"),"n/a")</f>
        <v>0.704122111072784</v>
      </c>
      <c r="G42" s="4" t="s">
        <v>37</v>
      </c>
      <c r="H42" s="4">
        <f>IFERROR(IF(F14&gt;0,H14/F14-1,"n/a"),"n/a")</f>
        <v>-0.03992712919386676</v>
      </c>
      <c r="I42" s="23">
        <f>IFERROR(IF(H14&gt;0,I14/H14-1,"n/a"),"n/a")</f>
        <v>-0.509722485768501</v>
      </c>
      <c r="J42" s="13"/>
    </row>
    <row r="43">
      <c r="A43" s="2"/>
      <c r="B43" s="28" t="s">
        <v>126</v>
      </c>
      <c r="C43" s="4">
        <f>IFERROR(C14/C16,"n/a")</f>
        <v>0.048030248678642</v>
      </c>
      <c r="D43" s="4">
        <f>IFERROR(D14/D16,"n/a")</f>
        <v>0.025975650666741217</v>
      </c>
      <c r="E43" s="4">
        <f>IFERROR(E14/E16,"n/a")</f>
        <v>0.011847468441402999</v>
      </c>
      <c r="F43" s="4">
        <f>IFERROR(F14/F16,"n/a")</f>
        <v>0.03530739193241908</v>
      </c>
      <c r="G43" s="4">
        <f>IFERROR(G14/G16,"n/a")</f>
        <v>0.02671785298163696</v>
      </c>
      <c r="H43" s="4">
        <f>IFERROR(H14/H16,"n/a")</f>
        <v>0.03721711257431114</v>
      </c>
      <c r="I43" s="23">
        <f>IFERROR(I14/I16,"n/a")</f>
        <v>0.012390299623209634</v>
      </c>
      <c r="J43" s="13"/>
    </row>
    <row r="44">
      <c r="A44" s="2"/>
      <c r="B44" s="1" t="s">
        <v>127</v>
      </c>
      <c r="C44" s="83">
        <f>IFERROR((C14/C16-C15/C17)*10000,"n/a")</f>
        <v>-212.9574390387179</v>
      </c>
      <c r="D44" s="83">
        <f>IFERROR((D14/D16-D15/D17)*10000,"n/a")</f>
        <v>-125.80155696312805</v>
      </c>
      <c r="E44" s="83">
        <f>IFERROR((E14/E16-E15/E17)*10000,"n/a")</f>
        <v>-166.49136955482334</v>
      </c>
      <c r="F44" s="83">
        <f>IFERROR((F14/F16-F15/F17)*10000,"n/a")</f>
        <v>-247.11398805313132</v>
      </c>
      <c r="G44" s="83">
        <f>IFERROR((G14/G16-G15/G17)*10000,"n/a")</f>
        <v>-176.4400269425599</v>
      </c>
      <c r="H44" s="83">
        <f>IFERROR((H14/H16-H15/H17)*10000,"n/a")</f>
        <v>-108.13136104330864</v>
      </c>
      <c r="I44" s="86">
        <f>IFERROR((I14/I16-I15/I17)*10000,"n/a")</f>
        <v>-135.85351043531583</v>
      </c>
      <c r="J44" s="13"/>
    </row>
    <row r="45">
      <c r="A45" s="2"/>
      <c r="B45" s="1" t="s">
        <v>128</v>
      </c>
      <c r="C45" s="83" t="s">
        <v>37</v>
      </c>
      <c r="D45" s="83">
        <f>IFERROR((D43-C43)*10000,"n/a")</f>
        <v>-220.54598011900785</v>
      </c>
      <c r="E45" s="83">
        <f>IFERROR((E43-D43)*10000,"n/a")</f>
        <v>-141.2818222533822</v>
      </c>
      <c r="F45" s="83">
        <f>IFERROR((F43-E43)*10000,"n/a")</f>
        <v>234.59923491016082</v>
      </c>
      <c r="G45" s="83" t="s">
        <v>37</v>
      </c>
      <c r="H45" s="83">
        <f>IFERROR((H43-F43)*10000,"n/a")</f>
        <v>19.09720641892057</v>
      </c>
      <c r="I45" s="86">
        <f>IFERROR((I43-H43)*10000,"n/a")</f>
        <v>-248.26812951101502</v>
      </c>
      <c r="J45" s="13"/>
    </row>
    <row r="46">
      <c r="A46" s="2"/>
      <c r="B46" s="18"/>
      <c r="C46" s="5"/>
      <c r="D46" s="5"/>
      <c r="E46" s="5"/>
      <c r="F46" s="5"/>
      <c r="G46" s="5"/>
      <c r="H46" s="5"/>
      <c r="I46" s="9"/>
      <c r="J46" s="13"/>
    </row>
    <row r="47">
      <c r="A47" s="2"/>
      <c r="B47" s="27" t="s">
        <v>130</v>
      </c>
      <c r="C47" s="15"/>
      <c r="D47" s="15"/>
      <c r="E47" s="15"/>
      <c r="F47" s="15"/>
      <c r="G47" s="15"/>
      <c r="H47" s="15"/>
      <c r="I47" s="41"/>
      <c r="J47" s="13"/>
    </row>
    <row r="48">
      <c r="A48" s="2"/>
      <c r="B48" s="18" t="s">
        <v>131</v>
      </c>
      <c r="C48" s="11">
        <f>'Segment - HOKA'!C10+'Segment - UGG'!C10+'Segment - Other brands'!C10</f>
        <v>652.364</v>
      </c>
      <c r="D48" s="11">
        <f>'Segment - HOKA'!D10+'Segment - UGG'!D10+'Segment - Other brands'!D10</f>
        <v>1036.229</v>
      </c>
      <c r="E48" s="11">
        <f>'Segment - HOKA'!E10+'Segment - UGG'!E10+'Segment - Other brands'!E10</f>
        <v>864.57</v>
      </c>
      <c r="F48" s="11">
        <f>'Segment - HOKA'!F10+'Segment - UGG'!F10+'Segment - Other brands'!F10</f>
        <v>654.944</v>
      </c>
      <c r="G48" s="11">
        <f>'Segment - HOKA'!G10+'Segment - UGG'!G10+'Segment - Other brands'!G10</f>
        <v>3208.107</v>
      </c>
      <c r="H48" s="11">
        <f>'Segment - HOKA'!H10+'Segment - UGG'!H10+'Segment - Other brands'!H10</f>
        <v>666.7139999999999</v>
      </c>
      <c r="I48" s="35">
        <f>'Segment - HOKA'!I10+'Segment - UGG'!I10+'Segment - Other brands'!I10</f>
        <v>1065.035445</v>
      </c>
      <c r="J48" s="13" t="s">
        <v>132</v>
      </c>
    </row>
    <row r="49">
      <c r="A49" s="2"/>
      <c r="B49" s="8" t="s">
        <v>107</v>
      </c>
      <c r="C49" s="11">
        <f>'Segment - HOKA'!C11+'Segment - UGG'!C11+'Segment - Other brands'!C11</f>
        <v>514.782</v>
      </c>
      <c r="D49" s="11">
        <f>'Segment - HOKA'!D11+'Segment - UGG'!D11+'Segment - Other brands'!D11</f>
        <v>913.6529999999999</v>
      </c>
      <c r="E49" s="11">
        <f>'Segment - HOKA'!E11+'Segment - UGG'!E11+'Segment - Other brands'!E11</f>
        <v>815.828</v>
      </c>
      <c r="F49" s="11">
        <f>'Segment - HOKA'!F11+'Segment - UGG'!F11+'Segment - Other brands'!F11</f>
        <v>611.6020000000003</v>
      </c>
      <c r="G49" s="11">
        <f>'Segment - HOKA'!G11+'Segment - UGG'!G11+'Segment - Other brands'!G11</f>
        <v>2855.8650000000002</v>
      </c>
      <c r="H49" s="11">
        <f>'Segment - HOKA'!H11+'Segment - UGG'!H11+'Segment - Other brands'!H11</f>
        <v>652.364</v>
      </c>
      <c r="I49" s="35">
        <f>'Segment - HOKA'!I11+'Segment - UGG'!I11+'Segment - Other brands'!I11</f>
        <v>1036.229</v>
      </c>
      <c r="J49" s="13"/>
    </row>
    <row r="50">
      <c r="A50" s="2"/>
      <c r="B50" s="28" t="s">
        <v>113</v>
      </c>
      <c r="C50" s="4">
        <f>IFERROR(IF(C49&gt;0,C48/C49-1,"n/a"),"n/a")</f>
        <v>0.26726264710110303</v>
      </c>
      <c r="D50" s="4">
        <f>IFERROR(IF(D49&gt;0,D48/D49-1,"n/a"),"n/a")</f>
        <v>0.13416034314997072</v>
      </c>
      <c r="E50" s="4">
        <f>IFERROR(IF(E49&gt;0,E48/E49-1,"n/a"),"n/a")</f>
        <v>0.05974543653809383</v>
      </c>
      <c r="F50" s="4">
        <f>IFERROR(IF(F49&gt;0,F48/F49-1,"n/a"),"n/a")</f>
        <v>0.07086634772286482</v>
      </c>
      <c r="G50" s="4">
        <f>IFERROR(IF(G49&gt;0,G48/G49-1,"n/a"),"n/a")</f>
        <v>0.12333986375406392</v>
      </c>
      <c r="H50" s="4">
        <f>IFERROR(IF(H49&gt;0,H48/H49-1,"n/a"),"n/a")</f>
        <v>0.021996921963811422</v>
      </c>
      <c r="I50" s="23">
        <f>IFERROR(IF(I49&gt;0,I48/I49-1,"n/a"),"n/a")</f>
        <v>0.027799304014846093</v>
      </c>
      <c r="J50" s="13"/>
    </row>
    <row r="51">
      <c r="A51" s="2"/>
      <c r="B51" s="28" t="s">
        <v>114</v>
      </c>
      <c r="C51" s="4" t="s">
        <v>37</v>
      </c>
      <c r="D51" s="4">
        <f>IFERROR(IF(C48&gt;0,D48/C48-1,"n/a"),"n/a")</f>
        <v>0.5884214947483306</v>
      </c>
      <c r="E51" s="4">
        <f>IFERROR(IF(D48&gt;0,E48/D48-1,"n/a"),"n/a")</f>
        <v>-0.16565739812338776</v>
      </c>
      <c r="F51" s="4">
        <f>IFERROR(IF(E48&gt;0,F48/E48-1,"n/a"),"n/a")</f>
        <v>-0.242462727136033</v>
      </c>
      <c r="G51" s="4" t="s">
        <v>37</v>
      </c>
      <c r="H51" s="4">
        <f>IFERROR(IF(F48&gt;0,H48/F48-1,"n/a"),"n/a")</f>
        <v>0.017971002100942934</v>
      </c>
      <c r="I51" s="23">
        <f>IFERROR(IF(H48&gt;0,I48/H48-1,"n/a"),"n/a")</f>
        <v>0.5974397492778014</v>
      </c>
      <c r="J51" s="13"/>
    </row>
    <row r="52">
      <c r="A52" s="2"/>
      <c r="B52" s="8" t="s">
        <v>115</v>
      </c>
      <c r="C52" s="17" t="s">
        <v>37</v>
      </c>
      <c r="D52" s="17">
        <f>IFERROR(D48-C48,"n/a")</f>
        <v>383.865</v>
      </c>
      <c r="E52" s="17">
        <f>IFERROR(E48-D48,"n/a")</f>
        <v>-171.659</v>
      </c>
      <c r="F52" s="17">
        <f>IFERROR(F48-E48,"n/a")</f>
        <v>-209.6260000000001</v>
      </c>
      <c r="G52" s="17" t="s">
        <v>37</v>
      </c>
      <c r="H52" s="17">
        <f>IFERROR(H48-F48,"n/a")</f>
        <v>11.769999999999982</v>
      </c>
      <c r="I52" s="6">
        <f>IFERROR(I48-H48,"n/a")</f>
        <v>398.32144500000004</v>
      </c>
      <c r="J52" s="13"/>
    </row>
    <row r="53">
      <c r="A53" s="2"/>
      <c r="B53" s="28" t="s">
        <v>126</v>
      </c>
      <c r="C53" s="4">
        <f>IFERROR(C48/C16,"n/a")</f>
        <v>0.6763486767758243</v>
      </c>
      <c r="D53" s="4">
        <f>IFERROR(D48/D16,"n/a")</f>
        <v>0.7242102541164631</v>
      </c>
      <c r="E53" s="4">
        <f>IFERROR(E48/E16,"n/a")</f>
        <v>0.441659442496714</v>
      </c>
      <c r="F53" s="4">
        <f>IFERROR(F48/F16,"n/a")</f>
        <v>0.5851010703351621</v>
      </c>
      <c r="G53" s="4">
        <f>IFERROR(G48/G16,"n/a")</f>
        <v>0.5862451519435353</v>
      </c>
      <c r="H53" s="4">
        <f>IFERROR(H48/H16,"n/a")</f>
        <v>0.6539418615029852</v>
      </c>
      <c r="I53" s="23">
        <f>IFERROR(I48/I16,"n/a")</f>
        <v>0.709350343028411</v>
      </c>
      <c r="J53" s="13"/>
    </row>
    <row r="54">
      <c r="A54" s="2"/>
      <c r="B54" s="1" t="s">
        <v>127</v>
      </c>
      <c r="C54" s="83">
        <f>IFERROR((C48/C16-C49/C17)*10000,"n/a")</f>
        <v>526.3283362136928</v>
      </c>
      <c r="D54" s="83">
        <f>IFERROR((D48/D16-D49/D17)*10000,"n/a")</f>
        <v>274.67277573742786</v>
      </c>
      <c r="E54" s="83">
        <f>IFERROR((E48/E16-E49/E17)*10000,"n/a")</f>
        <v>-48.39915798787398</v>
      </c>
      <c r="F54" s="83">
        <f>IFERROR((F48/F16-F49/F17)*10000,"n/a")</f>
        <v>-134.64178544244643</v>
      </c>
      <c r="G54" s="83">
        <f>IFERROR((G48/G16-G49/G17)*10000,"n/a")</f>
        <v>134.23801224706767</v>
      </c>
      <c r="H54" s="83">
        <f>IFERROR((H48/H16-H49/H17)*10000,"n/a")</f>
        <v>-224.06815272839165</v>
      </c>
      <c r="I54" s="86">
        <f>IFERROR((I48/I16-I49/I17)*10000,"n/a")</f>
        <v>-148.5991108805207</v>
      </c>
      <c r="J54" s="13"/>
    </row>
    <row r="55">
      <c r="A55" s="2"/>
      <c r="B55" s="1" t="s">
        <v>128</v>
      </c>
      <c r="C55" s="83" t="s">
        <v>37</v>
      </c>
      <c r="D55" s="83">
        <f>IFERROR((D53-C53)*10000,"n/a")</f>
        <v>478.61577340638786</v>
      </c>
      <c r="E55" s="83">
        <f>IFERROR((E53-D53)*10000,"n/a")</f>
        <v>-2825.508116197491</v>
      </c>
      <c r="F55" s="83">
        <f>IFERROR((F53-E53)*10000,"n/a")</f>
        <v>1434.416278384481</v>
      </c>
      <c r="G55" s="83" t="s">
        <v>37</v>
      </c>
      <c r="H55" s="83">
        <f>IFERROR((H53-F53)*10000,"n/a")</f>
        <v>688.4079116782304</v>
      </c>
      <c r="I55" s="86">
        <f>IFERROR((I53-H53)*10000,"n/a")</f>
        <v>554.0848152542588</v>
      </c>
      <c r="J55" s="13"/>
    </row>
    <row r="56">
      <c r="A56" s="2"/>
      <c r="B56" s="1" t="s">
        <v>118</v>
      </c>
      <c r="C56" s="4" t="s">
        <v>37</v>
      </c>
      <c r="D56" s="4" t="s">
        <v>37</v>
      </c>
      <c r="E56" s="20">
        <v>0</v>
      </c>
      <c r="F56" s="20">
        <v>0</v>
      </c>
      <c r="G56" s="4" t="s">
        <v>37</v>
      </c>
      <c r="H56" s="20">
        <v>0</v>
      </c>
      <c r="I56" s="52">
        <v>0</v>
      </c>
      <c r="J56" s="13"/>
    </row>
    <row r="57">
      <c r="A57" s="2"/>
      <c r="B57" s="1" t="s">
        <v>120</v>
      </c>
      <c r="C57" s="4" t="s">
        <v>37</v>
      </c>
      <c r="D57" s="4" t="s">
        <v>37</v>
      </c>
      <c r="E57" s="4" t="s">
        <v>37</v>
      </c>
      <c r="F57" s="4" t="s">
        <v>37</v>
      </c>
      <c r="G57" s="4" t="s">
        <v>37</v>
      </c>
      <c r="H57" s="4" t="s">
        <v>37</v>
      </c>
      <c r="I57" s="23" t="s">
        <v>37</v>
      </c>
      <c r="J57" s="13"/>
    </row>
    <row r="58">
      <c r="A58" s="2"/>
      <c r="B58" s="1" t="s">
        <v>122</v>
      </c>
      <c r="C58" s="4" t="str">
        <f>IFERROR((1+C50)/((1+C56)*(1+C57))-1,"n/a")</f>
        <v>n/a</v>
      </c>
      <c r="D58" s="4" t="str">
        <f>IFERROR((1+D50)/((1+D56)*(1+D57))-1,"n/a")</f>
        <v>n/a</v>
      </c>
      <c r="E58" s="4" t="str">
        <f>IFERROR((1+E50)/((1+E56)*(1+E57))-1,"n/a")</f>
        <v>n/a</v>
      </c>
      <c r="F58" s="4" t="str">
        <f>IFERROR((1+F50)/((1+F56)*(1+F57))-1,"n/a")</f>
        <v>n/a</v>
      </c>
      <c r="G58" s="4" t="str">
        <f>IFERROR((1+G50)/((1+G56)*(1+G57))-1,"n/a")</f>
        <v>n/a</v>
      </c>
      <c r="H58" s="4" t="str">
        <f>IFERROR((1+H50)/((1+H56)*(1+H57))-1,"n/a")</f>
        <v>n/a</v>
      </c>
      <c r="I58" s="23" t="str">
        <f>IFERROR((1+I50)/((1+I56)*(1+I57))-1,"n/a")</f>
        <v>n/a</v>
      </c>
      <c r="J58" s="13"/>
    </row>
    <row r="59">
      <c r="A59" s="2"/>
      <c r="B59" s="1" t="s">
        <v>123</v>
      </c>
      <c r="C59" s="4">
        <f>C50</f>
        <v>0.26726264710110303</v>
      </c>
      <c r="D59" s="4">
        <f>D50</f>
        <v>0.13416034314997072</v>
      </c>
      <c r="E59" s="4">
        <f>E50</f>
        <v>0.05974543653809383</v>
      </c>
      <c r="F59" s="4">
        <f>F50</f>
        <v>0.07086634772286482</v>
      </c>
      <c r="G59" s="4">
        <f>G50</f>
        <v>0.12333986375406392</v>
      </c>
      <c r="H59" s="4">
        <f>H50</f>
        <v>0.021996921963811422</v>
      </c>
      <c r="I59" s="23">
        <f>I50</f>
        <v>0.027799304014846093</v>
      </c>
      <c r="J59" s="13"/>
    </row>
    <row r="60">
      <c r="A60" s="2"/>
      <c r="B60" s="18" t="s">
        <v>133</v>
      </c>
      <c r="C60" s="11">
        <f>'Segment - HOKA'!C18+'Segment - UGG'!C18+'Segment - Other brands'!C18</f>
        <v>312.174</v>
      </c>
      <c r="D60" s="11">
        <f>'Segment - HOKA'!D18+'Segment - UGG'!D18+'Segment - Other brands'!D18</f>
        <v>394.611</v>
      </c>
      <c r="E60" s="11">
        <f>'Segment - HOKA'!E18+'Segment - UGG'!E18+'Segment - Other brands'!E18</f>
        <v>1092.979</v>
      </c>
      <c r="F60" s="11">
        <f>'Segment - HOKA'!F18+'Segment - UGG'!F18+'Segment - Other brands'!F18</f>
        <v>464.4249999999997</v>
      </c>
      <c r="G60" s="11">
        <f>'Segment - HOKA'!G18+'Segment - UGG'!G18+'Segment - Other brands'!G18</f>
        <v>2264.189</v>
      </c>
      <c r="H60" s="11">
        <f>'Segment - HOKA'!H18+'Segment - UGG'!H18+'Segment - Other brands'!H18</f>
        <v>352.817</v>
      </c>
      <c r="I60" s="35">
        <f>'Segment - HOKA'!I18+'Segment - UGG'!I18+'Segment - Other brands'!I18</f>
        <v>436.388295</v>
      </c>
      <c r="J60" s="13" t="s">
        <v>132</v>
      </c>
    </row>
    <row r="61">
      <c r="A61" s="2"/>
      <c r="B61" s="8" t="s">
        <v>107</v>
      </c>
      <c r="C61" s="11">
        <f>'Segment - HOKA'!C19+'Segment - UGG'!C19+'Segment - Other brands'!C19</f>
        <v>310.565</v>
      </c>
      <c r="D61" s="11">
        <f>'Segment - HOKA'!D19+'Segment - UGG'!D19+'Segment - Other brands'!D19</f>
        <v>397.667</v>
      </c>
      <c r="E61" s="11">
        <f>'Segment - HOKA'!E19+'Segment - UGG'!E19+'Segment - Other brands'!E19</f>
        <v>1011.3370000000001</v>
      </c>
      <c r="F61" s="11">
        <f>'Segment - HOKA'!F19+'Segment - UGG'!F19+'Segment - Other brands'!F19</f>
        <v>410.17799999999994</v>
      </c>
      <c r="G61" s="11">
        <f>'Segment - HOKA'!G19+'Segment - UGG'!G19+'Segment - Other brands'!G19</f>
        <v>2129.747</v>
      </c>
      <c r="H61" s="11">
        <f>'Segment - HOKA'!H19+'Segment - UGG'!H19+'Segment - Other brands'!H19</f>
        <v>312.174</v>
      </c>
      <c r="I61" s="35">
        <f>'Segment - HOKA'!I19+'Segment - UGG'!I19+'Segment - Other brands'!I19</f>
        <v>394.611</v>
      </c>
      <c r="J61" s="13"/>
    </row>
    <row r="62">
      <c r="A62" s="2"/>
      <c r="B62" s="28" t="s">
        <v>113</v>
      </c>
      <c r="C62" s="4">
        <f>IFERROR(IF(C61&gt;0,C60/C61-1,"n/a"),"n/a")</f>
        <v>0.0051808800090158424</v>
      </c>
      <c r="D62" s="4">
        <f>IFERROR(IF(D61&gt;0,D60/D61-1,"n/a"),"n/a")</f>
        <v>-0.007684821722697577</v>
      </c>
      <c r="E62" s="4">
        <f>IFERROR(IF(E61&gt;0,E60/E61-1,"n/a"),"n/a")</f>
        <v>0.08072680026539114</v>
      </c>
      <c r="F62" s="4">
        <f>IFERROR(IF(F61&gt;0,F60/F61-1,"n/a"),"n/a")</f>
        <v>0.13225233922833457</v>
      </c>
      <c r="G62" s="4">
        <f>IFERROR(IF(G61&gt;0,G60/G61-1,"n/a"),"n/a")</f>
        <v>0.06312580790112632</v>
      </c>
      <c r="H62" s="4">
        <f>IFERROR(IF(H61&gt;0,H60/H61-1,"n/a"),"n/a")</f>
        <v>0.13019341777342142</v>
      </c>
      <c r="I62" s="23">
        <f>IFERROR(IF(I61&gt;0,I60/I61-1,"n/a"),"n/a")</f>
        <v>0.10586956521739133</v>
      </c>
      <c r="J62" s="13"/>
    </row>
    <row r="63">
      <c r="A63" s="2"/>
      <c r="B63" s="28" t="s">
        <v>114</v>
      </c>
      <c r="C63" s="4" t="s">
        <v>37</v>
      </c>
      <c r="D63" s="4">
        <f>IFERROR(IF(C60&gt;0,D60/C60-1,"n/a"),"n/a")</f>
        <v>0.2640738818735706</v>
      </c>
      <c r="E63" s="4">
        <f>IFERROR(IF(D60&gt;0,E60/D60-1,"n/a"),"n/a")</f>
        <v>1.7697631338203954</v>
      </c>
      <c r="F63" s="4">
        <f>IFERROR(IF(E60&gt;0,F60/E60-1,"n/a"),"n/a")</f>
        <v>-0.5750833273100401</v>
      </c>
      <c r="G63" s="4" t="s">
        <v>37</v>
      </c>
      <c r="H63" s="4">
        <f>IFERROR(IF(F60&gt;0,H60/F60-1,"n/a"),"n/a")</f>
        <v>-0.24031436722829258</v>
      </c>
      <c r="I63" s="23">
        <f>IFERROR(IF(H60&gt;0,I60/H60-1,"n/a"),"n/a")</f>
        <v>0.2368686741285142</v>
      </c>
      <c r="J63" s="13"/>
    </row>
    <row r="64">
      <c r="A64" s="2"/>
      <c r="B64" s="8" t="s">
        <v>115</v>
      </c>
      <c r="C64" s="17" t="s">
        <v>37</v>
      </c>
      <c r="D64" s="17">
        <f>IFERROR(D60-C60,"n/a")</f>
        <v>82.43700000000001</v>
      </c>
      <c r="E64" s="17">
        <f>IFERROR(E60-D60,"n/a")</f>
        <v>698.368</v>
      </c>
      <c r="F64" s="17">
        <f>IFERROR(F60-E60,"n/a")</f>
        <v>-628.5540000000003</v>
      </c>
      <c r="G64" s="17" t="s">
        <v>37</v>
      </c>
      <c r="H64" s="17">
        <f>IFERROR(H60-F60,"n/a")</f>
        <v>-111.60799999999972</v>
      </c>
      <c r="I64" s="6">
        <f>IFERROR(I60-H60,"n/a")</f>
        <v>83.57129500000002</v>
      </c>
      <c r="J64" s="13"/>
    </row>
    <row r="65">
      <c r="A65" s="2"/>
      <c r="B65" s="28" t="s">
        <v>126</v>
      </c>
      <c r="C65" s="4">
        <f>IFERROR(C60/C16,"n/a")</f>
        <v>0.32365132322417567</v>
      </c>
      <c r="D65" s="4">
        <f>IFERROR(D60/D16,"n/a")</f>
        <v>0.27578974588353694</v>
      </c>
      <c r="E65" s="4">
        <f>IFERROR(E60/E16,"n/a")</f>
        <v>0.558340557503286</v>
      </c>
      <c r="F65" s="4">
        <f>IFERROR(F60/F16,"n/a")</f>
        <v>0.4148989296648378</v>
      </c>
      <c r="G65" s="4">
        <f>IFERROR(G60/G16,"n/a")</f>
        <v>0.4137548480564648</v>
      </c>
      <c r="H65" s="4">
        <f>IFERROR(H60/H16,"n/a")</f>
        <v>0.34605813849701483</v>
      </c>
      <c r="I65" s="23">
        <f>IFERROR(I60/I16,"n/a")</f>
        <v>0.29064965697158884</v>
      </c>
      <c r="J65" s="13"/>
    </row>
    <row r="66">
      <c r="A66" s="2"/>
      <c r="B66" s="1" t="s">
        <v>127</v>
      </c>
      <c r="C66" s="83">
        <f>IFERROR((C60/C16-C61/C17)*10000,"n/a")</f>
        <v>-526.3283362136928</v>
      </c>
      <c r="D66" s="83">
        <f>IFERROR((D60/D16-D61/D17)*10000,"n/a")</f>
        <v>-274.67277573742734</v>
      </c>
      <c r="E66" s="83">
        <f>IFERROR((E60/E16-E61/E17)*10000,"n/a")</f>
        <v>48.399157987875085</v>
      </c>
      <c r="F66" s="83">
        <f>IFERROR((F60/F16-F61/F17)*10000,"n/a")</f>
        <v>134.64178544244476</v>
      </c>
      <c r="G66" s="83">
        <f>IFERROR((G60/G16-G61/G17)*10000,"n/a")</f>
        <v>-134.23801224706656</v>
      </c>
      <c r="H66" s="83">
        <f>IFERROR((H60/H16-H61/H17)*10000,"n/a")</f>
        <v>224.06815272839165</v>
      </c>
      <c r="I66" s="86">
        <f>IFERROR((I60/I16-I61/I17)*10000,"n/a")</f>
        <v>148.59911088051902</v>
      </c>
      <c r="J66" s="13"/>
    </row>
    <row r="67">
      <c r="A67" s="2"/>
      <c r="B67" s="1" t="s">
        <v>128</v>
      </c>
      <c r="C67" s="83" t="s">
        <v>37</v>
      </c>
      <c r="D67" s="83">
        <f>IFERROR((D65-C65)*10000,"n/a")</f>
        <v>-478.6157734063873</v>
      </c>
      <c r="E67" s="83">
        <f>IFERROR((E65-D65)*10000,"n/a")</f>
        <v>2825.508116197491</v>
      </c>
      <c r="F67" s="83">
        <f>IFERROR((F65-E65)*10000,"n/a")</f>
        <v>-1434.4162783844822</v>
      </c>
      <c r="G67" s="83" t="s">
        <v>37</v>
      </c>
      <c r="H67" s="83">
        <f>IFERROR((H65-F65)*10000,"n/a")</f>
        <v>-688.4079116782299</v>
      </c>
      <c r="I67" s="86">
        <f>IFERROR((I65-H65)*10000,"n/a")</f>
        <v>-554.0848152542599</v>
      </c>
      <c r="J67" s="13"/>
    </row>
    <row r="68">
      <c r="A68" s="2"/>
      <c r="B68" s="1" t="s">
        <v>118</v>
      </c>
      <c r="C68" s="4" t="s">
        <v>37</v>
      </c>
      <c r="D68" s="4" t="s">
        <v>37</v>
      </c>
      <c r="E68" s="20">
        <v>0</v>
      </c>
      <c r="F68" s="20">
        <v>0</v>
      </c>
      <c r="G68" s="4" t="s">
        <v>37</v>
      </c>
      <c r="H68" s="20">
        <v>0</v>
      </c>
      <c r="I68" s="52">
        <v>0</v>
      </c>
      <c r="J68" s="13"/>
    </row>
    <row r="69">
      <c r="A69" s="2"/>
      <c r="B69" s="1" t="s">
        <v>120</v>
      </c>
      <c r="C69" s="4" t="s">
        <v>37</v>
      </c>
      <c r="D69" s="4" t="s">
        <v>37</v>
      </c>
      <c r="E69" s="4" t="s">
        <v>37</v>
      </c>
      <c r="F69" s="4" t="s">
        <v>37</v>
      </c>
      <c r="G69" s="4" t="s">
        <v>37</v>
      </c>
      <c r="H69" s="4" t="s">
        <v>37</v>
      </c>
      <c r="I69" s="23" t="s">
        <v>37</v>
      </c>
      <c r="J69" s="13"/>
    </row>
    <row r="70">
      <c r="A70" s="2"/>
      <c r="B70" s="1" t="s">
        <v>122</v>
      </c>
      <c r="C70" s="4" t="str">
        <f>IFERROR((1+C62)/((1+C68)*(1+C69))-1,"n/a")</f>
        <v>n/a</v>
      </c>
      <c r="D70" s="4" t="str">
        <f>IFERROR((1+D62)/((1+D68)*(1+D69))-1,"n/a")</f>
        <v>n/a</v>
      </c>
      <c r="E70" s="4" t="str">
        <f>IFERROR((1+E62)/((1+E68)*(1+E69))-1,"n/a")</f>
        <v>n/a</v>
      </c>
      <c r="F70" s="4" t="str">
        <f>IFERROR((1+F62)/((1+F68)*(1+F69))-1,"n/a")</f>
        <v>n/a</v>
      </c>
      <c r="G70" s="4" t="str">
        <f>IFERROR((1+G62)/((1+G68)*(1+G69))-1,"n/a")</f>
        <v>n/a</v>
      </c>
      <c r="H70" s="4" t="str">
        <f>IFERROR((1+H62)/((1+H68)*(1+H69))-1,"n/a")</f>
        <v>n/a</v>
      </c>
      <c r="I70" s="23" t="str">
        <f>IFERROR((1+I62)/((1+I68)*(1+I69))-1,"n/a")</f>
        <v>n/a</v>
      </c>
      <c r="J70" s="13"/>
    </row>
    <row r="71">
      <c r="A71" s="2"/>
      <c r="B71" s="1" t="s">
        <v>123</v>
      </c>
      <c r="C71" s="4">
        <f>C62</f>
        <v>0.0051808800090158424</v>
      </c>
      <c r="D71" s="4">
        <f>D62</f>
        <v>-0.007684821722697577</v>
      </c>
      <c r="E71" s="4">
        <f>E62</f>
        <v>0.08072680026539114</v>
      </c>
      <c r="F71" s="4">
        <f>F62</f>
        <v>0.13225233922833457</v>
      </c>
      <c r="G71" s="4">
        <f>G62</f>
        <v>0.06312580790112632</v>
      </c>
      <c r="H71" s="4">
        <f>H62</f>
        <v>0.13019341777342142</v>
      </c>
      <c r="I71" s="23">
        <f>I62</f>
        <v>0.10586956521739133</v>
      </c>
      <c r="J71" s="13"/>
    </row>
    <row r="72">
      <c r="A72" s="2"/>
      <c r="B72" s="28" t="s">
        <v>134</v>
      </c>
      <c r="C72" s="20">
        <v>-0.022</v>
      </c>
      <c r="D72" s="20">
        <v>-0.029</v>
      </c>
      <c r="E72" s="20">
        <v>0.073</v>
      </c>
      <c r="F72" s="20">
        <v>0.082</v>
      </c>
      <c r="G72" s="20">
        <v>0.046</v>
      </c>
      <c r="H72" s="20">
        <v>0.068</v>
      </c>
      <c r="I72" s="23" t="s">
        <v>37</v>
      </c>
      <c r="J72" s="13" t="s">
        <v>135</v>
      </c>
    </row>
    <row r="73">
      <c r="A73" s="2"/>
      <c r="B73" s="1" t="s">
        <v>127</v>
      </c>
      <c r="C73" s="83" t="s">
        <v>37</v>
      </c>
      <c r="D73" s="83" t="s">
        <v>37</v>
      </c>
      <c r="E73" s="83" t="s">
        <v>37</v>
      </c>
      <c r="F73" s="83" t="s">
        <v>37</v>
      </c>
      <c r="G73" s="83" t="s">
        <v>37</v>
      </c>
      <c r="H73" s="83">
        <f>IFERROR((H72-C72)*10000,"n/a")</f>
        <v>900</v>
      </c>
      <c r="I73" s="86" t="s">
        <v>37</v>
      </c>
      <c r="J73" s="13" t="s">
        <v>136</v>
      </c>
    </row>
    <row r="74">
      <c r="A74" s="2"/>
      <c r="B74" s="1" t="s">
        <v>128</v>
      </c>
      <c r="C74" s="83" t="s">
        <v>37</v>
      </c>
      <c r="D74" s="83">
        <f>IFERROR((D72-C72)*10000,"n/a")</f>
        <v>-70.00000000000003</v>
      </c>
      <c r="E74" s="83">
        <f>IFERROR((E72-D72)*10000,"n/a")</f>
        <v>1019.9999999999999</v>
      </c>
      <c r="F74" s="83">
        <f>IFERROR((F72-E72)*10000,"n/a")</f>
        <v>90.00000000000009</v>
      </c>
      <c r="G74" s="83" t="s">
        <v>37</v>
      </c>
      <c r="H74" s="83">
        <f>IFERROR((H72-F72)*10000,"n/a")</f>
        <v>-139.99999999999997</v>
      </c>
      <c r="I74" s="86" t="str">
        <f>IFERROR((I72-H72)*10000,"n/a")</f>
        <v>n/a</v>
      </c>
      <c r="J74" s="13"/>
    </row>
    <row r="75">
      <c r="A75" s="2"/>
      <c r="B75" s="18"/>
      <c r="C75" s="5"/>
      <c r="D75" s="5"/>
      <c r="E75" s="5"/>
      <c r="F75" s="5"/>
      <c r="G75" s="5"/>
      <c r="H75" s="5"/>
      <c r="I75" s="9"/>
      <c r="J75" s="13"/>
    </row>
    <row r="76">
      <c r="A76" s="2"/>
      <c r="B76" s="27" t="s">
        <v>137</v>
      </c>
      <c r="C76" s="15"/>
      <c r="D76" s="15"/>
      <c r="E76" s="15"/>
      <c r="F76" s="15"/>
      <c r="G76" s="15"/>
      <c r="H76" s="15"/>
      <c r="I76" s="41"/>
      <c r="J76" s="13"/>
    </row>
    <row r="77">
      <c r="A77" s="2"/>
      <c r="B77" s="18" t="s">
        <v>138</v>
      </c>
      <c r="C77" s="12">
        <v>14.7</v>
      </c>
      <c r="D77" s="12">
        <v>22.7</v>
      </c>
      <c r="E77" s="12">
        <v>26.1</v>
      </c>
      <c r="F77" s="17">
        <f>G77-C77-D77-E77</f>
        <v>15.199999999999996</v>
      </c>
      <c r="G77" s="12">
        <v>78.7</v>
      </c>
      <c r="H77" s="12">
        <v>14.5</v>
      </c>
      <c r="I77" s="6">
        <f>I16/I81</f>
        <v>22.685521324137273</v>
      </c>
      <c r="J77" s="13" t="s">
        <v>139</v>
      </c>
    </row>
    <row r="78">
      <c r="A78" s="2"/>
      <c r="B78" s="8" t="s">
        <v>107</v>
      </c>
      <c r="C78" s="12">
        <v>12.7</v>
      </c>
      <c r="D78" s="12">
        <v>21.3</v>
      </c>
      <c r="E78" s="12">
        <v>24.9</v>
      </c>
      <c r="F78" s="17">
        <f>G78-C78-D78-E78</f>
        <v>15.199999999999996</v>
      </c>
      <c r="G78" s="12">
        <v>74.1</v>
      </c>
      <c r="H78" s="17">
        <f>C77</f>
        <v>14.7</v>
      </c>
      <c r="I78" s="6">
        <f>D77</f>
        <v>22.7</v>
      </c>
      <c r="J78" s="13"/>
    </row>
    <row r="79">
      <c r="A79" s="2"/>
      <c r="B79" s="28" t="s">
        <v>113</v>
      </c>
      <c r="C79" s="4">
        <f>IFERROR(IF(C78&gt;0,C77/C78-1,"n/a"),"n/a")</f>
        <v>0.15748031496062986</v>
      </c>
      <c r="D79" s="4">
        <f>IFERROR(IF(D78&gt;0,D77/D78-1,"n/a"),"n/a")</f>
        <v>0.06572769953051627</v>
      </c>
      <c r="E79" s="4">
        <f>IFERROR(IF(E78&gt;0,E77/E78-1,"n/a"),"n/a")</f>
        <v>0.048192771084337505</v>
      </c>
      <c r="F79" s="4">
        <f>IFERROR(IF(F78&gt;0,F77/F78-1,"n/a"),"n/a")</f>
        <v>0</v>
      </c>
      <c r="G79" s="4">
        <f>IFERROR(IF(G78&gt;0,G77/G78-1,"n/a"),"n/a")</f>
        <v>0.062078272604588536</v>
      </c>
      <c r="H79" s="4">
        <f>IFERROR(IF(H78&gt;0,H77/H78-1,"n/a"),"n/a")</f>
        <v>-0.013605442176870652</v>
      </c>
      <c r="I79" s="23">
        <f>IFERROR(IF(I78&gt;0,I77/I78-1,"n/a"),"n/a")</f>
        <v>-0.0006378271305165217</v>
      </c>
      <c r="J79" s="13" t="s">
        <v>140</v>
      </c>
    </row>
    <row r="80">
      <c r="A80" s="2"/>
      <c r="B80" s="8" t="s">
        <v>141</v>
      </c>
      <c r="C80" s="17" t="s">
        <v>37</v>
      </c>
      <c r="D80" s="17">
        <f>IFERROR(D77-C77,"n/a")</f>
        <v>8</v>
      </c>
      <c r="E80" s="17">
        <f>IFERROR(E77-D77,"n/a")</f>
        <v>3.400000000000002</v>
      </c>
      <c r="F80" s="17">
        <f>IFERROR(F77-E77,"n/a")</f>
        <v>-10.900000000000006</v>
      </c>
      <c r="G80" s="17" t="s">
        <v>37</v>
      </c>
      <c r="H80" s="17">
        <f>IFERROR(H77-F77,"n/a")</f>
        <v>-0.6999999999999957</v>
      </c>
      <c r="I80" s="6">
        <f>IFERROR(I77-H77,"n/a")</f>
        <v>8.185521324137273</v>
      </c>
      <c r="J80" s="13"/>
    </row>
    <row r="81">
      <c r="A81" s="2"/>
      <c r="B81" s="18" t="s">
        <v>142</v>
      </c>
      <c r="C81" s="46">
        <f>C16/C77</f>
        <v>65.61482993197279</v>
      </c>
      <c r="D81" s="46">
        <f>D16/D77</f>
        <v>63.03259911894273</v>
      </c>
      <c r="E81" s="46">
        <f>E16/E77</f>
        <v>75.00187739463601</v>
      </c>
      <c r="F81" s="46">
        <f>F16/F77</f>
        <v>73.64269736842105</v>
      </c>
      <c r="G81" s="46">
        <f>G16/G77</f>
        <v>69.5336213468869</v>
      </c>
      <c r="H81" s="46">
        <f>H16/H77</f>
        <v>70.31248275862069</v>
      </c>
      <c r="I81" s="72">
        <f>I82*(1+I83)</f>
        <v>66.18422907488987</v>
      </c>
      <c r="J81" s="13" t="s">
        <v>143</v>
      </c>
    </row>
    <row r="82">
      <c r="A82" s="2"/>
      <c r="B82" s="8" t="s">
        <v>144</v>
      </c>
      <c r="C82" s="46">
        <f>C17/C78</f>
        <v>64.98795275590551</v>
      </c>
      <c r="D82" s="46">
        <f>D17/D78</f>
        <v>61.56431924882629</v>
      </c>
      <c r="E82" s="46">
        <f>E17/E78</f>
        <v>73.38012048192772</v>
      </c>
      <c r="F82" s="46">
        <f>F17/F78</f>
        <v>67.22236842105266</v>
      </c>
      <c r="G82" s="46">
        <f>G17/G78</f>
        <v>67.28221322537112</v>
      </c>
      <c r="H82" s="46">
        <f>H17/H78</f>
        <v>65.61482993197279</v>
      </c>
      <c r="I82" s="72">
        <f>I17/I78</f>
        <v>63.03259911894273</v>
      </c>
      <c r="J82" s="13"/>
    </row>
    <row r="83">
      <c r="A83" s="2"/>
      <c r="B83" s="28" t="s">
        <v>113</v>
      </c>
      <c r="C83" s="4">
        <f>IFERROR(IF(C82&gt;0,C81/C82-1,"n/a"),"n/a")</f>
        <v>0.009646052067862954</v>
      </c>
      <c r="D83" s="4">
        <f>IFERROR(IF(D82&gt;0,D81/D82-1,"n/a"),"n/a")</f>
        <v>0.023849526609431848</v>
      </c>
      <c r="E83" s="4">
        <f>IFERROR(IF(E82&gt;0,E81/E82-1,"n/a"),"n/a")</f>
        <v>0.022100766557172635</v>
      </c>
      <c r="F83" s="4">
        <f>IFERROR(IF(F82&gt;0,F81/F82-1,"n/a"),"n/a")</f>
        <v>0.09550881794515398</v>
      </c>
      <c r="G83" s="4">
        <f>IFERROR(IF(G82&gt;0,G81/G82-1,"n/a"),"n/a")</f>
        <v>0.03346215906980321</v>
      </c>
      <c r="H83" s="4">
        <f>IFERROR(IF(H82&gt;0,H81/H82-1,"n/a"),"n/a")</f>
        <v>0.0715943763249598</v>
      </c>
      <c r="I83" s="52">
        <v>0.05</v>
      </c>
      <c r="J83" s="13" t="s">
        <v>145</v>
      </c>
    </row>
    <row r="84">
      <c r="A84" s="2"/>
      <c r="B84" s="8" t="s">
        <v>146</v>
      </c>
      <c r="C84" s="46" t="s">
        <v>37</v>
      </c>
      <c r="D84" s="46">
        <f>IFERROR(D81-C81,"n/a")</f>
        <v>-2.5822308130300655</v>
      </c>
      <c r="E84" s="46">
        <f>IFERROR(E81-D81,"n/a")</f>
        <v>11.969278275693284</v>
      </c>
      <c r="F84" s="46">
        <f>IFERROR(F81-E81,"n/a")</f>
        <v>-1.3591800262149576</v>
      </c>
      <c r="G84" s="46" t="s">
        <v>37</v>
      </c>
      <c r="H84" s="46">
        <f>IFERROR(H81-F81,"n/a")</f>
        <v>-3.3302146098003647</v>
      </c>
      <c r="I84" s="72">
        <f>IFERROR(I81-H81,"n/a")</f>
        <v>-4.128253683730819</v>
      </c>
      <c r="J84" s="13"/>
    </row>
    <row r="85">
      <c r="A85" s="2"/>
      <c r="B85" s="18" t="s">
        <v>147</v>
      </c>
      <c r="C85" s="75">
        <f>'Segment - HOKA'!C50+'Segment - UGG'!C50</f>
        <v>191</v>
      </c>
      <c r="D85" s="75">
        <f>'Segment - HOKA'!D50+'Segment - UGG'!D50</f>
        <v>200</v>
      </c>
      <c r="E85" s="75">
        <f>'Segment - HOKA'!E50+'Segment - UGG'!E50</f>
        <v>205</v>
      </c>
      <c r="F85" s="75">
        <f>'Segment - HOKA'!F50+'Segment - UGG'!F50</f>
        <v>203</v>
      </c>
      <c r="G85" s="75">
        <f>'Segment - HOKA'!G50+'Segment - UGG'!G50</f>
        <v>203</v>
      </c>
      <c r="H85" s="75">
        <f>'Segment - HOKA'!H50+'Segment - UGG'!H50</f>
        <v>212</v>
      </c>
      <c r="I85" s="99">
        <f>'Segment - HOKA'!I50+'Segment - UGG'!I50</f>
        <v>217</v>
      </c>
      <c r="J85" s="13" t="s">
        <v>148</v>
      </c>
    </row>
    <row r="86">
      <c r="A86" s="2"/>
      <c r="B86" s="8" t="s">
        <v>149</v>
      </c>
      <c r="C86" s="67" t="s">
        <v>37</v>
      </c>
      <c r="D86" s="67" t="s">
        <v>37</v>
      </c>
      <c r="E86" s="67" t="s">
        <v>37</v>
      </c>
      <c r="F86" s="67" t="s">
        <v>37</v>
      </c>
      <c r="G86" s="67" t="s">
        <v>37</v>
      </c>
      <c r="H86" s="67">
        <f>IFERROR(H85-C85,"n/a")</f>
        <v>21</v>
      </c>
      <c r="I86" s="81">
        <f>IFERROR(I85-D85,"n/a")</f>
        <v>17</v>
      </c>
      <c r="J86" s="13"/>
    </row>
    <row r="87">
      <c r="A87" s="2"/>
      <c r="B87" s="8" t="s">
        <v>150</v>
      </c>
      <c r="C87" s="67" t="s">
        <v>37</v>
      </c>
      <c r="D87" s="67">
        <f>IFERROR(D85-C85,"n/a")</f>
        <v>9</v>
      </c>
      <c r="E87" s="67">
        <f>IFERROR(E85-D85,"n/a")</f>
        <v>5</v>
      </c>
      <c r="F87" s="67">
        <f>IFERROR(F85-E85,"n/a")</f>
        <v>-2</v>
      </c>
      <c r="G87" s="67" t="s">
        <v>37</v>
      </c>
      <c r="H87" s="67">
        <f>IFERROR(H85-F85,"n/a")</f>
        <v>9</v>
      </c>
      <c r="I87" s="81">
        <f>IFERROR(I85-H85,"n/a")</f>
        <v>5</v>
      </c>
      <c r="J87" s="13"/>
    </row>
    <row r="88">
      <c r="A88" s="2"/>
      <c r="B88" s="18"/>
      <c r="C88" s="5"/>
      <c r="D88" s="5"/>
      <c r="E88" s="5"/>
      <c r="F88" s="5"/>
      <c r="G88" s="5"/>
      <c r="H88" s="5"/>
      <c r="I88" s="9"/>
      <c r="J88" s="13"/>
    </row>
    <row r="89">
      <c r="A89" s="2"/>
      <c r="B89" s="27" t="s">
        <v>151</v>
      </c>
      <c r="C89" s="15"/>
      <c r="D89" s="15"/>
      <c r="E89" s="15"/>
      <c r="F89" s="15"/>
      <c r="G89" s="15"/>
      <c r="H89" s="15"/>
      <c r="I89" s="41"/>
      <c r="J89" s="13"/>
    </row>
    <row r="90">
      <c r="A90" s="2"/>
      <c r="B90" s="18" t="s">
        <v>152</v>
      </c>
      <c r="C90" s="11">
        <f>Inputs!I106</f>
        <v>964.54</v>
      </c>
      <c r="D90" s="11">
        <f>Inputs!I107</f>
        <v>1430.84</v>
      </c>
      <c r="E90" s="11">
        <f>Inputs!I108</f>
        <v>1957.55</v>
      </c>
      <c r="F90" s="11">
        <f>Inputs!I109</f>
        <v>1119.37</v>
      </c>
      <c r="G90" s="17" t="s">
        <v>37</v>
      </c>
      <c r="H90" s="11">
        <f>Inputs!I110</f>
        <v>1019.53</v>
      </c>
      <c r="I90" s="6" t="s">
        <v>37</v>
      </c>
      <c r="J90" s="13" t="s">
        <v>153</v>
      </c>
    </row>
    <row r="91">
      <c r="A91" s="2"/>
      <c r="B91" s="8" t="s">
        <v>154</v>
      </c>
      <c r="C91" s="17">
        <f>C16-C90</f>
        <v>-0.0019999999999527063</v>
      </c>
      <c r="D91" s="17">
        <f>D16-D90</f>
        <v>0</v>
      </c>
      <c r="E91" s="17">
        <f>E16-E90</f>
        <v>-0.0009999999999763531</v>
      </c>
      <c r="F91" s="17">
        <f>F16-F90</f>
        <v>-0.0010000000002037268</v>
      </c>
      <c r="G91" s="17" t="s">
        <v>37</v>
      </c>
      <c r="H91" s="17">
        <f>H16-H90</f>
        <v>0.0009999999999763531</v>
      </c>
      <c r="I91" s="6" t="s">
        <v>37</v>
      </c>
      <c r="J91" s="13"/>
    </row>
    <row r="92">
      <c r="A92" s="2"/>
      <c r="B92" s="18" t="s">
        <v>155</v>
      </c>
      <c r="C92" s="17" t="b">
        <f>ABS(C91)&lt;0.01</f>
        <v>1</v>
      </c>
      <c r="D92" s="17" t="b">
        <f>ABS(D91)&lt;0.01</f>
        <v>1</v>
      </c>
      <c r="E92" s="17" t="b">
        <f>ABS(E91)&lt;0.01</f>
        <v>1</v>
      </c>
      <c r="F92" s="17" t="b">
        <f>ABS(F91)&lt;0.01</f>
        <v>1</v>
      </c>
      <c r="G92" s="5" t="s">
        <v>37</v>
      </c>
      <c r="H92" s="17" t="b">
        <f>ABS(H91)&lt;0.01</f>
        <v>1</v>
      </c>
      <c r="I92" s="9" t="s">
        <v>37</v>
      </c>
      <c r="J92" s="13"/>
    </row>
    <row r="93">
      <c r="A93" s="2"/>
      <c r="B93" s="18" t="s">
        <v>156</v>
      </c>
      <c r="C93" s="17" t="b">
        <f>ABS(C48+C60-C16)&lt;0.0005</f>
        <v>1</v>
      </c>
      <c r="D93" s="17" t="b">
        <f>ABS(D48+D60-D16)&lt;0.0005</f>
        <v>1</v>
      </c>
      <c r="E93" s="17" t="b">
        <f>ABS(E48+E60-E16)&lt;0.0005</f>
        <v>1</v>
      </c>
      <c r="F93" s="17" t="b">
        <f>ABS(F48+F60-F16)&lt;0.0005</f>
        <v>1</v>
      </c>
      <c r="G93" s="17" t="b">
        <f>ABS(G48+G60-G16)&lt;0.0005</f>
        <v>1</v>
      </c>
      <c r="H93" s="17" t="b">
        <f>ABS(H48+H60-H16)&lt;0.0005</f>
        <v>1</v>
      </c>
      <c r="I93" s="6" t="b">
        <f>ABS(I48+I60-I16)&lt;0.0005</f>
        <v>1</v>
      </c>
      <c r="J93" s="13" t="s">
        <v>157</v>
      </c>
    </row>
    <row r="94">
      <c r="A94" s="2"/>
      <c r="B94" s="18"/>
      <c r="C94" s="5"/>
      <c r="D94" s="5"/>
      <c r="E94" s="5"/>
      <c r="F94" s="5"/>
      <c r="G94" s="5"/>
      <c r="H94" s="5"/>
      <c r="I94" s="9"/>
      <c r="J94" s="13"/>
    </row>
    <row r="95">
      <c r="A95" s="2"/>
      <c r="B95" s="18"/>
      <c r="C95" s="5"/>
      <c r="D95" s="5"/>
      <c r="E95" s="5"/>
      <c r="F95" s="5"/>
      <c r="G95" s="5"/>
      <c r="H95" s="5"/>
      <c r="I95" s="9"/>
      <c r="J95" s="1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158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159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160</v>
      </c>
      <c r="C10" s="12">
        <v>434.206</v>
      </c>
      <c r="D10" s="12">
        <v>408.891</v>
      </c>
      <c r="E10" s="12">
        <v>359.56</v>
      </c>
      <c r="F10" s="17">
        <f>G10-C10-D10-E10</f>
        <v>449.1370000000001</v>
      </c>
      <c r="G10" s="12">
        <v>1651.794</v>
      </c>
      <c r="H10" s="12">
        <v>446.763</v>
      </c>
      <c r="I10" s="6">
        <f>I11*(1+I12)</f>
        <v>431.380005</v>
      </c>
      <c r="J10" s="13" t="s">
        <v>161</v>
      </c>
    </row>
    <row r="11">
      <c r="A11" s="2"/>
      <c r="B11" s="8" t="s">
        <v>107</v>
      </c>
      <c r="C11" s="12">
        <v>332.732</v>
      </c>
      <c r="D11" s="12">
        <v>362.344</v>
      </c>
      <c r="E11" s="12">
        <v>305.241</v>
      </c>
      <c r="F11" s="17">
        <f>G11-C11-D11-E11</f>
        <v>397.45900000000006</v>
      </c>
      <c r="G11" s="12">
        <v>1397.776</v>
      </c>
      <c r="H11" s="17">
        <f>C10</f>
        <v>434.206</v>
      </c>
      <c r="I11" s="6">
        <f>D10</f>
        <v>408.891</v>
      </c>
      <c r="J11" s="13"/>
    </row>
    <row r="12">
      <c r="A12" s="2"/>
      <c r="B12" s="28" t="s">
        <v>113</v>
      </c>
      <c r="C12" s="4">
        <f>IFERROR(IF(C11&gt;0,C10/C11-1,"n/a"),"n/a")</f>
        <v>0.30497216979430886</v>
      </c>
      <c r="D12" s="4">
        <f>IFERROR(IF(D11&gt;0,D10/D11-1,"n/a"),"n/a")</f>
        <v>0.12846079968207014</v>
      </c>
      <c r="E12" s="4">
        <f>IFERROR(IF(E11&gt;0,E10/E11-1,"n/a"),"n/a")</f>
        <v>0.17795446876402576</v>
      </c>
      <c r="F12" s="4">
        <f>IFERROR(IF(F11&gt;0,F10/F11-1,"n/a"),"n/a")</f>
        <v>0.13002095813656256</v>
      </c>
      <c r="G12" s="4">
        <f>IFERROR(IF(G11&gt;0,G10/G11-1,"n/a"),"n/a")</f>
        <v>0.18173011984752918</v>
      </c>
      <c r="H12" s="4">
        <f>IFERROR(IF(H11&gt;0,H10/H11-1,"n/a"),"n/a")</f>
        <v>0.02891945297854015</v>
      </c>
      <c r="I12" s="52">
        <v>0.055</v>
      </c>
      <c r="J12" s="13" t="s">
        <v>162</v>
      </c>
    </row>
    <row r="13">
      <c r="A13" s="2"/>
      <c r="B13" s="8" t="s">
        <v>115</v>
      </c>
      <c r="C13" s="17" t="s">
        <v>37</v>
      </c>
      <c r="D13" s="17">
        <f>IFERROR(D10-C10,"n/a")</f>
        <v>-25.314999999999998</v>
      </c>
      <c r="E13" s="17">
        <f>IFERROR(E10-D10,"n/a")</f>
        <v>-49.33100000000002</v>
      </c>
      <c r="F13" s="17">
        <f>IFERROR(F10-E10,"n/a")</f>
        <v>89.57700000000011</v>
      </c>
      <c r="G13" s="17" t="s">
        <v>37</v>
      </c>
      <c r="H13" s="17">
        <f>IFERROR(H10-F10,"n/a")</f>
        <v>-2.3740000000001373</v>
      </c>
      <c r="I13" s="6">
        <f>IFERROR(I10-H10,"n/a")</f>
        <v>-15.382994999999994</v>
      </c>
      <c r="J13" s="13"/>
    </row>
    <row r="14">
      <c r="A14" s="2"/>
      <c r="B14" s="1" t="s">
        <v>118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52">
        <v>0</v>
      </c>
      <c r="J14" s="13"/>
    </row>
    <row r="15">
      <c r="A15" s="2"/>
      <c r="B15" s="1" t="s">
        <v>120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23" t="s">
        <v>37</v>
      </c>
      <c r="J15" s="13"/>
    </row>
    <row r="16">
      <c r="A16" s="2"/>
      <c r="B16" s="1" t="s">
        <v>122</v>
      </c>
      <c r="C16" s="4" t="str">
        <f>IFERROR((1+C12)/((1+C14)*(1+C15))-1,"n/a")</f>
        <v>n/a</v>
      </c>
      <c r="D16" s="4" t="str">
        <f>IFERROR((1+D12)/((1+D14)*(1+D15))-1,"n/a")</f>
        <v>n/a</v>
      </c>
      <c r="E16" s="4" t="str">
        <f>IFERROR((1+E12)/((1+E14)*(1+E15))-1,"n/a")</f>
        <v>n/a</v>
      </c>
      <c r="F16" s="4" t="str">
        <f>IFERROR((1+F12)/((1+F14)*(1+F15))-1,"n/a")</f>
        <v>n/a</v>
      </c>
      <c r="G16" s="4" t="str">
        <f>IFERROR((1+G12)/((1+G14)*(1+G15))-1,"n/a")</f>
        <v>n/a</v>
      </c>
      <c r="H16" s="4" t="str">
        <f>IFERROR((1+H12)/((1+H14)*(1+H15))-1,"n/a")</f>
        <v>n/a</v>
      </c>
      <c r="I16" s="23" t="str">
        <f>IFERROR((1+I12)/((1+I14)*(1+I15))-1,"n/a")</f>
        <v>n/a</v>
      </c>
      <c r="J16" s="13"/>
    </row>
    <row r="17">
      <c r="A17" s="2"/>
      <c r="B17" s="1" t="s">
        <v>123</v>
      </c>
      <c r="C17" s="4">
        <f>C12</f>
        <v>0.30497216979430886</v>
      </c>
      <c r="D17" s="4">
        <f>D12</f>
        <v>0.12846079968207014</v>
      </c>
      <c r="E17" s="4">
        <f>E12</f>
        <v>0.17795446876402576</v>
      </c>
      <c r="F17" s="4">
        <f>F12</f>
        <v>0.13002095813656256</v>
      </c>
      <c r="G17" s="4">
        <f>G12</f>
        <v>0.18173011984752918</v>
      </c>
      <c r="H17" s="4">
        <f>H12</f>
        <v>0.02891945297854015</v>
      </c>
      <c r="I17" s="23">
        <f>I12</f>
        <v>0.055</v>
      </c>
      <c r="J17" s="13"/>
    </row>
    <row r="18">
      <c r="A18" s="2"/>
      <c r="B18" s="18" t="s">
        <v>163</v>
      </c>
      <c r="C18" s="12">
        <v>218.913</v>
      </c>
      <c r="D18" s="12">
        <v>225.195</v>
      </c>
      <c r="E18" s="12">
        <v>269.322</v>
      </c>
      <c r="F18" s="17">
        <f>G18-C18-D18-E18</f>
        <v>222.10599999999994</v>
      </c>
      <c r="G18" s="12">
        <v>935.536</v>
      </c>
      <c r="H18" s="12">
        <v>256.775</v>
      </c>
      <c r="I18" s="6">
        <f>I19*(1+I20)</f>
        <v>253.34437499999999</v>
      </c>
      <c r="J18" s="13" t="s">
        <v>161</v>
      </c>
    </row>
    <row r="19">
      <c r="A19" s="2"/>
      <c r="B19" s="8" t="s">
        <v>107</v>
      </c>
      <c r="C19" s="12">
        <v>212.446</v>
      </c>
      <c r="D19" s="12">
        <v>208.552</v>
      </c>
      <c r="E19" s="12">
        <v>225.667</v>
      </c>
      <c r="F19" s="17">
        <f>G19-C19-D19-E19</f>
        <v>188.64899999999992</v>
      </c>
      <c r="G19" s="12">
        <v>835.314</v>
      </c>
      <c r="H19" s="17">
        <f>C18</f>
        <v>218.913</v>
      </c>
      <c r="I19" s="6">
        <f>D18</f>
        <v>225.195</v>
      </c>
      <c r="J19" s="13"/>
    </row>
    <row r="20">
      <c r="A20" s="2"/>
      <c r="B20" s="28" t="s">
        <v>113</v>
      </c>
      <c r="C20" s="4">
        <f>IFERROR(IF(C19&gt;0,C18/C19-1,"n/a"),"n/a")</f>
        <v>0.030440676689605928</v>
      </c>
      <c r="D20" s="4">
        <f>IFERROR(IF(D19&gt;0,D18/D19-1,"n/a"),"n/a")</f>
        <v>0.07980263914994823</v>
      </c>
      <c r="E20" s="4">
        <f>IFERROR(IF(E19&gt;0,E18/E19-1,"n/a"),"n/a")</f>
        <v>0.19344875413773388</v>
      </c>
      <c r="F20" s="4">
        <f>IFERROR(IF(F19&gt;0,F18/F19-1,"n/a"),"n/a")</f>
        <v>0.1773505292898454</v>
      </c>
      <c r="G20" s="4">
        <f>IFERROR(IF(G19&gt;0,G18/G19-1,"n/a"),"n/a")</f>
        <v>0.11998122861582594</v>
      </c>
      <c r="H20" s="4">
        <f>IFERROR(IF(H19&gt;0,H18/H19-1,"n/a"),"n/a")</f>
        <v>0.17295455272185745</v>
      </c>
      <c r="I20" s="52">
        <v>0.125</v>
      </c>
      <c r="J20" s="13" t="s">
        <v>162</v>
      </c>
    </row>
    <row r="21">
      <c r="A21" s="2"/>
      <c r="B21" s="8" t="s">
        <v>115</v>
      </c>
      <c r="C21" s="17" t="s">
        <v>37</v>
      </c>
      <c r="D21" s="17">
        <f>IFERROR(D18-C18,"n/a")</f>
        <v>6.281999999999982</v>
      </c>
      <c r="E21" s="17">
        <f>IFERROR(E18-D18,"n/a")</f>
        <v>44.12700000000001</v>
      </c>
      <c r="F21" s="17">
        <f>IFERROR(F18-E18,"n/a")</f>
        <v>-47.216000000000065</v>
      </c>
      <c r="G21" s="17" t="s">
        <v>37</v>
      </c>
      <c r="H21" s="17">
        <f>IFERROR(H18-F18,"n/a")</f>
        <v>34.66900000000004</v>
      </c>
      <c r="I21" s="6">
        <f>IFERROR(I18-H18,"n/a")</f>
        <v>-3.430624999999992</v>
      </c>
      <c r="J21" s="13"/>
    </row>
    <row r="22">
      <c r="A22" s="2"/>
      <c r="B22" s="1" t="s">
        <v>118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52">
        <v>0</v>
      </c>
      <c r="J22" s="13"/>
    </row>
    <row r="23">
      <c r="A23" s="2"/>
      <c r="B23" s="1" t="s">
        <v>120</v>
      </c>
      <c r="C23" s="4" t="s">
        <v>37</v>
      </c>
      <c r="D23" s="4" t="s">
        <v>37</v>
      </c>
      <c r="E23" s="4" t="s">
        <v>37</v>
      </c>
      <c r="F23" s="4" t="s">
        <v>37</v>
      </c>
      <c r="G23" s="4" t="s">
        <v>37</v>
      </c>
      <c r="H23" s="4" t="s">
        <v>37</v>
      </c>
      <c r="I23" s="23" t="s">
        <v>37</v>
      </c>
      <c r="J23" s="13"/>
    </row>
    <row r="24">
      <c r="A24" s="2"/>
      <c r="B24" s="1" t="s">
        <v>122</v>
      </c>
      <c r="C24" s="4" t="str">
        <f>IFERROR((1+C20)/((1+C22)*(1+C23))-1,"n/a")</f>
        <v>n/a</v>
      </c>
      <c r="D24" s="4" t="str">
        <f>IFERROR((1+D20)/((1+D22)*(1+D23))-1,"n/a")</f>
        <v>n/a</v>
      </c>
      <c r="E24" s="4" t="str">
        <f>IFERROR((1+E20)/((1+E22)*(1+E23))-1,"n/a")</f>
        <v>n/a</v>
      </c>
      <c r="F24" s="4" t="str">
        <f>IFERROR((1+F20)/((1+F22)*(1+F23))-1,"n/a")</f>
        <v>n/a</v>
      </c>
      <c r="G24" s="4" t="str">
        <f>IFERROR((1+G20)/((1+G22)*(1+G23))-1,"n/a")</f>
        <v>n/a</v>
      </c>
      <c r="H24" s="4" t="str">
        <f>IFERROR((1+H20)/((1+H22)*(1+H23))-1,"n/a")</f>
        <v>n/a</v>
      </c>
      <c r="I24" s="23" t="str">
        <f>IFERROR((1+I20)/((1+I22)*(1+I23))-1,"n/a")</f>
        <v>n/a</v>
      </c>
      <c r="J24" s="13"/>
    </row>
    <row r="25">
      <c r="A25" s="2"/>
      <c r="B25" s="1" t="s">
        <v>123</v>
      </c>
      <c r="C25" s="4">
        <f>C20</f>
        <v>0.030440676689605928</v>
      </c>
      <c r="D25" s="4">
        <f>D20</f>
        <v>0.07980263914994823</v>
      </c>
      <c r="E25" s="4">
        <f>E20</f>
        <v>0.19344875413773388</v>
      </c>
      <c r="F25" s="4">
        <f>F20</f>
        <v>0.1773505292898454</v>
      </c>
      <c r="G25" s="4">
        <f>G20</f>
        <v>0.11998122861582594</v>
      </c>
      <c r="H25" s="4">
        <f>H20</f>
        <v>0.17295455272185745</v>
      </c>
      <c r="I25" s="23">
        <f>I20</f>
        <v>0.125</v>
      </c>
      <c r="J25" s="13"/>
    </row>
    <row r="26">
      <c r="A26" s="2"/>
      <c r="B26" s="27" t="s">
        <v>164</v>
      </c>
      <c r="C26" s="3">
        <f>C10+C18</f>
        <v>653.119</v>
      </c>
      <c r="D26" s="3">
        <f>D10+D18</f>
        <v>634.086</v>
      </c>
      <c r="E26" s="3">
        <f>E10+E18</f>
        <v>628.8820000000001</v>
      </c>
      <c r="F26" s="3">
        <f>F10+F18</f>
        <v>671.243</v>
      </c>
      <c r="G26" s="3">
        <f>G10+G18</f>
        <v>2587.33</v>
      </c>
      <c r="H26" s="3">
        <f>H10+H18</f>
        <v>703.538</v>
      </c>
      <c r="I26" s="59">
        <f>I10+I18</f>
        <v>684.72438</v>
      </c>
      <c r="J26" s="13"/>
    </row>
    <row r="27">
      <c r="A27" s="2"/>
      <c r="B27" s="8" t="s">
        <v>107</v>
      </c>
      <c r="C27" s="17">
        <f>C11+C19</f>
        <v>545.178</v>
      </c>
      <c r="D27" s="17">
        <f>D11+D19</f>
        <v>570.896</v>
      </c>
      <c r="E27" s="17">
        <f>E11+E19</f>
        <v>530.908</v>
      </c>
      <c r="F27" s="17">
        <f>F11+F19</f>
        <v>586.108</v>
      </c>
      <c r="G27" s="17">
        <f>G11+G19</f>
        <v>2233.09</v>
      </c>
      <c r="H27" s="17">
        <f>H11+H19</f>
        <v>653.119</v>
      </c>
      <c r="I27" s="6">
        <f>I11+I19</f>
        <v>634.086</v>
      </c>
      <c r="J27" s="13"/>
    </row>
    <row r="28">
      <c r="A28" s="2"/>
      <c r="B28" s="28" t="s">
        <v>113</v>
      </c>
      <c r="C28" s="4">
        <f>IFERROR(IF(C27&gt;0,C26/C27-1,"n/a"),"n/a")</f>
        <v>0.19799221538653433</v>
      </c>
      <c r="D28" s="4">
        <f>IFERROR(IF(D27&gt;0,D26/D27-1,"n/a"),"n/a")</f>
        <v>0.11068565903422001</v>
      </c>
      <c r="E28" s="4">
        <f>IFERROR(IF(E27&gt;0,E26/E27-1,"n/a"),"n/a")</f>
        <v>0.18454044768585143</v>
      </c>
      <c r="F28" s="4">
        <f>IFERROR(IF(F27&gt;0,F26/F27-1,"n/a"),"n/a")</f>
        <v>0.14525479945675568</v>
      </c>
      <c r="G28" s="4">
        <f>IFERROR(IF(G27&gt;0,G26/G27-1,"n/a"),"n/a")</f>
        <v>0.15863220918100018</v>
      </c>
      <c r="H28" s="4">
        <f>IFERROR(IF(H27&gt;0,H26/H27-1,"n/a"),"n/a")</f>
        <v>0.07719726420453243</v>
      </c>
      <c r="I28" s="23">
        <f>IFERROR(IF(I27&gt;0,I26/I27-1,"n/a"),"n/a")</f>
        <v>0.07986042902697732</v>
      </c>
      <c r="J28" s="13"/>
    </row>
    <row r="29">
      <c r="A29" s="2"/>
      <c r="B29" s="8" t="s">
        <v>115</v>
      </c>
      <c r="C29" s="17" t="s">
        <v>37</v>
      </c>
      <c r="D29" s="17">
        <f>IFERROR(D26-C26,"n/a")</f>
        <v>-19.033000000000015</v>
      </c>
      <c r="E29" s="17">
        <f>IFERROR(E26-D26,"n/a")</f>
        <v>-5.203999999999951</v>
      </c>
      <c r="F29" s="17">
        <f>IFERROR(F26-E26,"n/a")</f>
        <v>42.36099999999999</v>
      </c>
      <c r="G29" s="17" t="s">
        <v>37</v>
      </c>
      <c r="H29" s="17">
        <f>IFERROR(H26-F26,"n/a")</f>
        <v>32.29499999999996</v>
      </c>
      <c r="I29" s="6">
        <f>IFERROR(I26-H26,"n/a")</f>
        <v>-18.813620000000014</v>
      </c>
      <c r="J29" s="13"/>
    </row>
    <row r="30">
      <c r="A30" s="2"/>
      <c r="B30" s="28" t="s">
        <v>114</v>
      </c>
      <c r="C30" s="4" t="s">
        <v>37</v>
      </c>
      <c r="D30" s="4">
        <f>IFERROR(IF(C26&gt;0,D26/C26-1,"n/a"),"n/a")</f>
        <v>-0.029141703119952123</v>
      </c>
      <c r="E30" s="4">
        <f>IFERROR(IF(D26&gt;0,E26/D26-1,"n/a"),"n/a")</f>
        <v>-0.008207088628356285</v>
      </c>
      <c r="F30" s="4">
        <f>IFERROR(IF(E26&gt;0,F26/E26-1,"n/a"),"n/a")</f>
        <v>0.067359218422534</v>
      </c>
      <c r="G30" s="4" t="s">
        <v>37</v>
      </c>
      <c r="H30" s="4">
        <f>IFERROR(IF(F26&gt;0,H26/F26-1,"n/a"),"n/a")</f>
        <v>0.048112233572640495</v>
      </c>
      <c r="I30" s="23">
        <f>IFERROR(IF(H26&gt;0,I26/H26-1,"n/a"),"n/a")</f>
        <v>-0.026741441116187037</v>
      </c>
      <c r="J30" s="13"/>
    </row>
    <row r="31">
      <c r="A31" s="2"/>
      <c r="B31" s="28" t="s">
        <v>165</v>
      </c>
      <c r="C31" s="58">
        <f>C26/'Revenue summary'!C16</f>
        <v>0.6771314349460571</v>
      </c>
      <c r="D31" s="58">
        <f>D26/'Revenue summary'!D16</f>
        <v>0.4431564675295631</v>
      </c>
      <c r="E31" s="58">
        <f>E26/'Revenue summary'!E16</f>
        <v>0.3212599020509832</v>
      </c>
      <c r="F31" s="58">
        <f>F26/'Revenue summary'!F16</f>
        <v>0.5996619524035418</v>
      </c>
      <c r="G31" s="58">
        <f>G26/'Revenue summary'!G16</f>
        <v>0.472805199133965</v>
      </c>
      <c r="H31" s="58">
        <f>H26/'Revenue summary'!H16</f>
        <v>0.6900604297466189</v>
      </c>
      <c r="I31" s="96">
        <f>I26/'Revenue summary'!I16</f>
        <v>0.4560500555292938</v>
      </c>
      <c r="J31" s="13"/>
    </row>
    <row r="32">
      <c r="A32" s="2"/>
      <c r="B32" s="1" t="s">
        <v>118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52">
        <v>0</v>
      </c>
      <c r="J32" s="13"/>
    </row>
    <row r="33">
      <c r="A33" s="2"/>
      <c r="B33" s="1" t="s">
        <v>120</v>
      </c>
      <c r="C33" s="4" t="s">
        <v>37</v>
      </c>
      <c r="D33" s="4" t="s">
        <v>37</v>
      </c>
      <c r="E33" s="4" t="s">
        <v>37</v>
      </c>
      <c r="F33" s="4" t="s">
        <v>37</v>
      </c>
      <c r="G33" s="4" t="s">
        <v>37</v>
      </c>
      <c r="H33" s="4" t="s">
        <v>37</v>
      </c>
      <c r="I33" s="23" t="s">
        <v>37</v>
      </c>
      <c r="J33" s="13"/>
    </row>
    <row r="34">
      <c r="A34" s="2"/>
      <c r="B34" s="1" t="s">
        <v>122</v>
      </c>
      <c r="C34" s="4" t="str">
        <f>IFERROR((1+C28)/((1+C32)*(1+C33))-1,"n/a")</f>
        <v>n/a</v>
      </c>
      <c r="D34" s="4" t="str">
        <f>IFERROR((1+D28)/((1+D32)*(1+D33))-1,"n/a")</f>
        <v>n/a</v>
      </c>
      <c r="E34" s="4" t="str">
        <f>IFERROR((1+E28)/((1+E32)*(1+E33))-1,"n/a")</f>
        <v>n/a</v>
      </c>
      <c r="F34" s="4" t="str">
        <f>IFERROR((1+F28)/((1+F32)*(1+F33))-1,"n/a")</f>
        <v>n/a</v>
      </c>
      <c r="G34" s="4" t="str">
        <f>IFERROR((1+G28)/((1+G32)*(1+G33))-1,"n/a")</f>
        <v>n/a</v>
      </c>
      <c r="H34" s="4" t="str">
        <f>IFERROR((1+H28)/((1+H32)*(1+H33))-1,"n/a")</f>
        <v>n/a</v>
      </c>
      <c r="I34" s="23" t="str">
        <f>IFERROR((1+I28)/((1+I32)*(1+I33))-1,"n/a")</f>
        <v>n/a</v>
      </c>
      <c r="J34" s="13"/>
    </row>
    <row r="35">
      <c r="A35" s="2"/>
      <c r="B35" s="1" t="s">
        <v>123</v>
      </c>
      <c r="C35" s="4">
        <f>C28</f>
        <v>0.19799221538653433</v>
      </c>
      <c r="D35" s="4">
        <f>D28</f>
        <v>0.11068565903422001</v>
      </c>
      <c r="E35" s="4">
        <f>E28</f>
        <v>0.18454044768585143</v>
      </c>
      <c r="F35" s="4">
        <f>F28</f>
        <v>0.14525479945675568</v>
      </c>
      <c r="G35" s="4">
        <f>G28</f>
        <v>0.15863220918100018</v>
      </c>
      <c r="H35" s="4">
        <f>H28</f>
        <v>0.07719726420453243</v>
      </c>
      <c r="I35" s="23">
        <f>I28</f>
        <v>0.07986042902697732</v>
      </c>
      <c r="J35" s="13"/>
    </row>
    <row r="36">
      <c r="A36" s="2"/>
      <c r="B36" s="1" t="s">
        <v>127</v>
      </c>
      <c r="C36" s="97">
        <f>IFERROR((C31-C27/'Revenue summary'!C17)*10000,"n/a")</f>
        <v>165.87445569467562</v>
      </c>
      <c r="D36" s="97">
        <f>IFERROR((D31-D27/'Revenue summary'!D17)*10000,"n/a")</f>
        <v>77.96677394432128</v>
      </c>
      <c r="E36" s="97">
        <f>IFERROR((E31-E27/'Revenue summary'!E17)*10000,"n/a")</f>
        <v>306.9610513061755</v>
      </c>
      <c r="F36" s="97">
        <f>IFERROR((F31-F27/'Revenue summary'!F17)*10000,"n/a")</f>
        <v>260.47279969162787</v>
      </c>
      <c r="G36" s="97">
        <f>IFERROR((G31-G27/'Revenue summary'!G17)*10000,"n/a")</f>
        <v>248.9830224748446</v>
      </c>
      <c r="H36" s="97">
        <f>IFERROR((H31-H27/'Revenue summary'!H17)*10000,"n/a")</f>
        <v>129.28994800561756</v>
      </c>
      <c r="I36" s="102">
        <f>IFERROR((I31-I27/'Revenue summary'!I17)*10000,"n/a")</f>
        <v>128.9358799973067</v>
      </c>
      <c r="J36" s="13"/>
    </row>
    <row r="37">
      <c r="A37" s="2"/>
      <c r="B37" s="1" t="s">
        <v>128</v>
      </c>
      <c r="C37" s="83" t="s">
        <v>37</v>
      </c>
      <c r="D37" s="83">
        <f>IFERROR((D31-C31)*10000,"n/a")</f>
        <v>-2339.7496741649397</v>
      </c>
      <c r="E37" s="83">
        <f>IFERROR((E31-D31)*10000,"n/a")</f>
        <v>-1218.9656547857992</v>
      </c>
      <c r="F37" s="83">
        <f>IFERROR((F31-E31)*10000,"n/a")</f>
        <v>2784.0205035255863</v>
      </c>
      <c r="G37" s="83" t="s">
        <v>37</v>
      </c>
      <c r="H37" s="83">
        <f>IFERROR((H31-F31)*10000,"n/a")</f>
        <v>903.9847734307705</v>
      </c>
      <c r="I37" s="86">
        <f>IFERROR((I31-H31)*10000,"n/a")</f>
        <v>-2340.103742173251</v>
      </c>
      <c r="J37" s="13"/>
    </row>
    <row r="38">
      <c r="A38" s="2"/>
      <c r="B38" s="28" t="s">
        <v>166</v>
      </c>
      <c r="C38" s="4">
        <f>IFERROR(C18/C26,"n/a")</f>
        <v>0.33518087821668024</v>
      </c>
      <c r="D38" s="4">
        <f>IFERROR(D18/D26,"n/a")</f>
        <v>0.3551489860996773</v>
      </c>
      <c r="E38" s="4">
        <f>IFERROR(E18/E26,"n/a")</f>
        <v>0.4282552211702672</v>
      </c>
      <c r="F38" s="4">
        <f>IFERROR(F18/F26,"n/a")</f>
        <v>0.33088762191933463</v>
      </c>
      <c r="G38" s="4">
        <f>IFERROR(G18/G26,"n/a")</f>
        <v>0.3615835629780507</v>
      </c>
      <c r="H38" s="4">
        <f>IFERROR(H18/H26,"n/a")</f>
        <v>0.3649767318893933</v>
      </c>
      <c r="I38" s="23">
        <f>IFERROR(I18/I26,"n/a")</f>
        <v>0.3699946758139384</v>
      </c>
      <c r="J38" s="13" t="s">
        <v>167</v>
      </c>
    </row>
    <row r="39">
      <c r="A39" s="2"/>
      <c r="B39" s="1" t="s">
        <v>127</v>
      </c>
      <c r="C39" s="83">
        <f>IFERROR((C18/C26-C19/C27)*10000,"n/a")</f>
        <v>-545.0102384099631</v>
      </c>
      <c r="D39" s="83">
        <f>IFERROR((D18/D26-D19/D27)*10000,"n/a")</f>
        <v>-101.57479526286095</v>
      </c>
      <c r="E39" s="83">
        <f>IFERROR((E18/E26-E19/E27)*10000,"n/a")</f>
        <v>31.966422827763296</v>
      </c>
      <c r="F39" s="83">
        <f>IFERROR((F18/F26-F19/F27)*10000,"n/a")</f>
        <v>90.20321012334686</v>
      </c>
      <c r="G39" s="83">
        <f>IFERROR((G18/G26-G19/G27)*10000,"n/a")</f>
        <v>-124.78387055311069</v>
      </c>
      <c r="H39" s="83">
        <f>IFERROR((H18/H26-H19/H27)*10000,"n/a")</f>
        <v>297.95853672713037</v>
      </c>
      <c r="I39" s="86">
        <f>IFERROR((I18/I26-I19/I27)*10000,"n/a")</f>
        <v>148.4568971426109</v>
      </c>
      <c r="J39" s="13"/>
    </row>
    <row r="40">
      <c r="A40" s="2"/>
      <c r="B40" s="1" t="s">
        <v>128</v>
      </c>
      <c r="C40" s="83" t="s">
        <v>37</v>
      </c>
      <c r="D40" s="83">
        <f>IFERROR((D38-C38)*10000,"n/a")</f>
        <v>199.68107882997077</v>
      </c>
      <c r="E40" s="83">
        <f>IFERROR((E38-D38)*10000,"n/a")</f>
        <v>731.0623507058989</v>
      </c>
      <c r="F40" s="83">
        <f>IFERROR((F38-E38)*10000,"n/a")</f>
        <v>-973.6759925093257</v>
      </c>
      <c r="G40" s="83" t="s">
        <v>37</v>
      </c>
      <c r="H40" s="83">
        <f>IFERROR((H38-F38)*10000,"n/a")</f>
        <v>340.8910997005865</v>
      </c>
      <c r="I40" s="86">
        <f>IFERROR((I38-H38)*10000,"n/a")</f>
        <v>50.17943924545132</v>
      </c>
      <c r="J40" s="13"/>
    </row>
    <row r="41">
      <c r="A41" s="2"/>
      <c r="B41" s="28" t="s">
        <v>168</v>
      </c>
      <c r="C41" s="4">
        <f>IFERROR(C10/C26,"n/a")</f>
        <v>0.6648191217833197</v>
      </c>
      <c r="D41" s="4">
        <f>IFERROR(D10/D26,"n/a")</f>
        <v>0.6448510139003227</v>
      </c>
      <c r="E41" s="4">
        <f>IFERROR(E10/E26,"n/a")</f>
        <v>0.5717447788297327</v>
      </c>
      <c r="F41" s="4">
        <f>IFERROR(F10/F26,"n/a")</f>
        <v>0.6691123780806654</v>
      </c>
      <c r="G41" s="4">
        <f>IFERROR(G10/G26,"n/a")</f>
        <v>0.6384164370219493</v>
      </c>
      <c r="H41" s="4">
        <f>IFERROR(H10/H26,"n/a")</f>
        <v>0.6350232681106066</v>
      </c>
      <c r="I41" s="23">
        <f>IFERROR(I10/I26,"n/a")</f>
        <v>0.6300053241860615</v>
      </c>
      <c r="J41" s="13"/>
    </row>
    <row r="42">
      <c r="A42" s="2"/>
      <c r="B42" s="1" t="s">
        <v>127</v>
      </c>
      <c r="C42" s="83">
        <f>IFERROR((C10/C26-C11/C27)*10000,"n/a")</f>
        <v>545.010238409962</v>
      </c>
      <c r="D42" s="83">
        <f>IFERROR((D10/D26-D11/D27)*10000,"n/a")</f>
        <v>101.57479526286095</v>
      </c>
      <c r="E42" s="83">
        <f>IFERROR((E10/E26-E11/E27)*10000,"n/a")</f>
        <v>-31.96642282776385</v>
      </c>
      <c r="F42" s="83">
        <f>IFERROR((F10/F26-F11/F27)*10000,"n/a")</f>
        <v>-90.20321012334742</v>
      </c>
      <c r="G42" s="83">
        <f>IFERROR((G10/G26-G11/G27)*10000,"n/a")</f>
        <v>124.78387055311124</v>
      </c>
      <c r="H42" s="83">
        <f>IFERROR((H10/H26-H11/H27)*10000,"n/a")</f>
        <v>-297.95853672713093</v>
      </c>
      <c r="I42" s="86">
        <f>IFERROR((I10/I26-I11/I27)*10000,"n/a")</f>
        <v>-148.45689714261258</v>
      </c>
      <c r="J42" s="13"/>
    </row>
    <row r="43">
      <c r="A43" s="2"/>
      <c r="B43" s="1" t="s">
        <v>128</v>
      </c>
      <c r="C43" s="83" t="s">
        <v>37</v>
      </c>
      <c r="D43" s="83">
        <f>IFERROR((D41-C41)*10000,"n/a")</f>
        <v>-199.68107882996966</v>
      </c>
      <c r="E43" s="83">
        <f>IFERROR((E41-D41)*10000,"n/a")</f>
        <v>-731.0623507059</v>
      </c>
      <c r="F43" s="83">
        <f>IFERROR((F41-E41)*10000,"n/a")</f>
        <v>973.6759925093263</v>
      </c>
      <c r="G43" s="83" t="s">
        <v>37</v>
      </c>
      <c r="H43" s="83">
        <f>IFERROR((H41-F41)*10000,"n/a")</f>
        <v>-340.89109970058763</v>
      </c>
      <c r="I43" s="86">
        <f>IFERROR((I41-H41)*10000,"n/a")</f>
        <v>-50.17943924545132</v>
      </c>
      <c r="J43" s="13"/>
    </row>
    <row r="44">
      <c r="A44" s="2"/>
      <c r="B44" s="18"/>
      <c r="C44" s="5"/>
      <c r="D44" s="5"/>
      <c r="E44" s="5"/>
      <c r="F44" s="5"/>
      <c r="G44" s="5"/>
      <c r="H44" s="5"/>
      <c r="I44" s="9"/>
      <c r="J44" s="13"/>
    </row>
    <row r="45">
      <c r="A45" s="2"/>
      <c r="B45" s="27" t="s">
        <v>169</v>
      </c>
      <c r="C45" s="15"/>
      <c r="D45" s="15"/>
      <c r="E45" s="15"/>
      <c r="F45" s="15"/>
      <c r="G45" s="15"/>
      <c r="H45" s="15"/>
      <c r="I45" s="41"/>
      <c r="J45" s="13"/>
    </row>
    <row r="46">
      <c r="A46" s="2"/>
      <c r="B46" s="18" t="s">
        <v>170</v>
      </c>
      <c r="C46" s="67" t="s">
        <v>37</v>
      </c>
      <c r="D46" s="67">
        <f>C50</f>
        <v>48</v>
      </c>
      <c r="E46" s="67">
        <f>D50</f>
        <v>55</v>
      </c>
      <c r="F46" s="67">
        <f>E50</f>
        <v>61</v>
      </c>
      <c r="G46" s="67" t="s">
        <v>37</v>
      </c>
      <c r="H46" s="67">
        <f>F50</f>
        <v>62</v>
      </c>
      <c r="I46" s="81">
        <f>H50</f>
        <v>68</v>
      </c>
      <c r="J46" s="13" t="s">
        <v>171</v>
      </c>
    </row>
    <row r="47">
      <c r="A47" s="2"/>
      <c r="B47" s="8" t="s">
        <v>172</v>
      </c>
      <c r="C47" s="67" t="s">
        <v>37</v>
      </c>
      <c r="D47" s="67" t="s">
        <v>37</v>
      </c>
      <c r="E47" s="67" t="s">
        <v>37</v>
      </c>
      <c r="F47" s="67" t="s">
        <v>37</v>
      </c>
      <c r="G47" s="67" t="s">
        <v>37</v>
      </c>
      <c r="H47" s="67" t="s">
        <v>37</v>
      </c>
      <c r="I47" s="81" t="s">
        <v>37</v>
      </c>
      <c r="J47" s="13" t="s">
        <v>173</v>
      </c>
    </row>
    <row r="48">
      <c r="A48" s="2"/>
      <c r="B48" s="8" t="s">
        <v>174</v>
      </c>
      <c r="C48" s="67" t="s">
        <v>37</v>
      </c>
      <c r="D48" s="67" t="s">
        <v>37</v>
      </c>
      <c r="E48" s="67" t="s">
        <v>37</v>
      </c>
      <c r="F48" s="67" t="s">
        <v>37</v>
      </c>
      <c r="G48" s="67" t="s">
        <v>37</v>
      </c>
      <c r="H48" s="67" t="s">
        <v>37</v>
      </c>
      <c r="I48" s="81" t="s">
        <v>37</v>
      </c>
      <c r="J48" s="13" t="s">
        <v>175</v>
      </c>
    </row>
    <row r="49">
      <c r="A49" s="2"/>
      <c r="B49" s="8" t="s">
        <v>176</v>
      </c>
      <c r="C49" s="67" t="str">
        <f>IFERROR(C50-C46,"n/a")</f>
        <v>n/a</v>
      </c>
      <c r="D49" s="67">
        <f>IFERROR(D50-D46,"n/a")</f>
        <v>7</v>
      </c>
      <c r="E49" s="67">
        <f>IFERROR(E50-E46,"n/a")</f>
        <v>6</v>
      </c>
      <c r="F49" s="67">
        <f>IFERROR(F50-F46,"n/a")</f>
        <v>1</v>
      </c>
      <c r="G49" s="67" t="str">
        <f>IFERROR(G50-G46,"n/a")</f>
        <v>n/a</v>
      </c>
      <c r="H49" s="67">
        <f>IFERROR(H50-H46,"n/a")</f>
        <v>6</v>
      </c>
      <c r="I49" s="81">
        <f>IFERROR(I50-I46,"n/a")</f>
        <v>4</v>
      </c>
      <c r="J49" s="13"/>
    </row>
    <row r="50">
      <c r="A50" s="2"/>
      <c r="B50" s="27" t="s">
        <v>177</v>
      </c>
      <c r="C50" s="98">
        <v>48</v>
      </c>
      <c r="D50" s="98">
        <v>55</v>
      </c>
      <c r="E50" s="98">
        <v>61</v>
      </c>
      <c r="F50" s="98">
        <v>62</v>
      </c>
      <c r="G50" s="103">
        <f>F50</f>
        <v>62</v>
      </c>
      <c r="H50" s="98">
        <v>68</v>
      </c>
      <c r="I50" s="100">
        <v>72</v>
      </c>
      <c r="J50" s="13" t="s">
        <v>178</v>
      </c>
    </row>
    <row r="51">
      <c r="A51" s="2"/>
      <c r="B51" s="8" t="s">
        <v>149</v>
      </c>
      <c r="C51" s="67" t="s">
        <v>37</v>
      </c>
      <c r="D51" s="67" t="s">
        <v>37</v>
      </c>
      <c r="E51" s="67" t="s">
        <v>37</v>
      </c>
      <c r="F51" s="67" t="s">
        <v>37</v>
      </c>
      <c r="G51" s="67" t="s">
        <v>37</v>
      </c>
      <c r="H51" s="67">
        <f>IFERROR(H50-C50,"n/a")</f>
        <v>20</v>
      </c>
      <c r="I51" s="81">
        <f>IFERROR(I50-D50,"n/a")</f>
        <v>17</v>
      </c>
      <c r="J51" s="13"/>
    </row>
    <row r="52">
      <c r="A52" s="2"/>
      <c r="B52" s="8" t="s">
        <v>150</v>
      </c>
      <c r="C52" s="67" t="s">
        <v>37</v>
      </c>
      <c r="D52" s="67">
        <f>IFERROR(D50-C50,"n/a")</f>
        <v>7</v>
      </c>
      <c r="E52" s="67">
        <f>IFERROR(E50-D50,"n/a")</f>
        <v>6</v>
      </c>
      <c r="F52" s="67">
        <f>IFERROR(F50-E50,"n/a")</f>
        <v>1</v>
      </c>
      <c r="G52" s="67" t="s">
        <v>37</v>
      </c>
      <c r="H52" s="67">
        <f>IFERROR(H50-F50,"n/a")</f>
        <v>6</v>
      </c>
      <c r="I52" s="81">
        <f>IFERROR(I50-H50,"n/a")</f>
        <v>4</v>
      </c>
      <c r="J52" s="13"/>
    </row>
    <row r="53">
      <c r="A53" s="2"/>
      <c r="B53" s="8" t="s">
        <v>179</v>
      </c>
      <c r="C53" s="17" t="str">
        <f>IFERROR((C46+C50)/2,"n/a")</f>
        <v>n/a</v>
      </c>
      <c r="D53" s="17">
        <f>IFERROR((D46+D50)/2,"n/a")</f>
        <v>51.5</v>
      </c>
      <c r="E53" s="17">
        <f>IFERROR((E46+E50)/2,"n/a")</f>
        <v>58</v>
      </c>
      <c r="F53" s="17">
        <f>IFERROR((F46+F50)/2,"n/a")</f>
        <v>61.5</v>
      </c>
      <c r="G53" s="17" t="str">
        <f>IFERROR((G46+G50)/2,"n/a")</f>
        <v>n/a</v>
      </c>
      <c r="H53" s="17">
        <f>IFERROR((H46+H50)/2,"n/a")</f>
        <v>65</v>
      </c>
      <c r="I53" s="6">
        <f>IFERROR((I46+I50)/2,"n/a")</f>
        <v>70</v>
      </c>
      <c r="J53" s="13"/>
    </row>
    <row r="54">
      <c r="A54" s="2"/>
      <c r="B54" s="88" t="s">
        <v>149</v>
      </c>
      <c r="C54" s="17" t="s">
        <v>37</v>
      </c>
      <c r="D54" s="17" t="s">
        <v>37</v>
      </c>
      <c r="E54" s="17" t="s">
        <v>37</v>
      </c>
      <c r="F54" s="17" t="s">
        <v>37</v>
      </c>
      <c r="G54" s="17" t="s">
        <v>37</v>
      </c>
      <c r="H54" s="17" t="str">
        <f>IFERROR(H53-C53,"n/a")</f>
        <v>n/a</v>
      </c>
      <c r="I54" s="6">
        <f>IFERROR(I53-D53,"n/a")</f>
        <v>18.5</v>
      </c>
      <c r="J54" s="13"/>
    </row>
    <row r="55">
      <c r="A55" s="2"/>
      <c r="B55" s="88" t="s">
        <v>150</v>
      </c>
      <c r="C55" s="17" t="s">
        <v>37</v>
      </c>
      <c r="D55" s="17" t="str">
        <f>IFERROR(D53-C53,"n/a")</f>
        <v>n/a</v>
      </c>
      <c r="E55" s="17">
        <f>IFERROR(E53-D53,"n/a")</f>
        <v>6.5</v>
      </c>
      <c r="F55" s="17">
        <f>IFERROR(F53-E53,"n/a")</f>
        <v>3.5</v>
      </c>
      <c r="G55" s="17" t="s">
        <v>37</v>
      </c>
      <c r="H55" s="17">
        <f>IFERROR(H53-F53,"n/a")</f>
        <v>3.5</v>
      </c>
      <c r="I55" s="6">
        <f>IFERROR(I53-H53,"n/a")</f>
        <v>5</v>
      </c>
      <c r="J55" s="13"/>
    </row>
    <row r="56">
      <c r="A56" s="2"/>
      <c r="B56" s="8" t="s">
        <v>180</v>
      </c>
      <c r="C56" s="17" t="str">
        <f>IFERROR(C18/C53,"n/a")</f>
        <v>n/a</v>
      </c>
      <c r="D56" s="17">
        <f>IFERROR(D18/D53,"n/a")</f>
        <v>4.372718446601942</v>
      </c>
      <c r="E56" s="17">
        <f>IFERROR(E18/E53,"n/a")</f>
        <v>4.6434827586206895</v>
      </c>
      <c r="F56" s="17">
        <f>IFERROR(F18/F53,"n/a")</f>
        <v>3.611479674796747</v>
      </c>
      <c r="G56" s="17" t="str">
        <f>IFERROR(G18/G53,"n/a")</f>
        <v>n/a</v>
      </c>
      <c r="H56" s="17">
        <f>IFERROR(H18/H53,"n/a")</f>
        <v>3.950384615384615</v>
      </c>
      <c r="I56" s="6">
        <f>IFERROR(I18/I53,"n/a")</f>
        <v>3.619205357142857</v>
      </c>
      <c r="J56" s="13"/>
    </row>
    <row r="57">
      <c r="A57" s="2"/>
      <c r="B57" s="1" t="s">
        <v>113</v>
      </c>
      <c r="C57" s="4" t="s">
        <v>37</v>
      </c>
      <c r="D57" s="4" t="s">
        <v>37</v>
      </c>
      <c r="E57" s="4" t="s">
        <v>37</v>
      </c>
      <c r="F57" s="4" t="s">
        <v>37</v>
      </c>
      <c r="G57" s="4" t="s">
        <v>37</v>
      </c>
      <c r="H57" s="4" t="str">
        <f>IFERROR(IF(C56&gt;0,H56/C56-1,"n/a"),"n/a")</f>
        <v>n/a</v>
      </c>
      <c r="I57" s="23">
        <f>IFERROR(IF(D56&gt;0,I56/D56-1,"n/a"),"n/a")</f>
        <v>-0.17232142857142863</v>
      </c>
      <c r="J57" s="13"/>
    </row>
    <row r="58">
      <c r="A58" s="2"/>
      <c r="B58" s="88" t="s">
        <v>115</v>
      </c>
      <c r="C58" s="17" t="s">
        <v>37</v>
      </c>
      <c r="D58" s="17" t="str">
        <f>IFERROR(D56-C56,"n/a")</f>
        <v>n/a</v>
      </c>
      <c r="E58" s="17">
        <f>IFERROR(E56-D56,"n/a")</f>
        <v>0.2707643120187475</v>
      </c>
      <c r="F58" s="17">
        <f>IFERROR(F56-E56,"n/a")</f>
        <v>-1.0320030838239425</v>
      </c>
      <c r="G58" s="17" t="s">
        <v>37</v>
      </c>
      <c r="H58" s="17">
        <f>IFERROR(H56-F56,"n/a")</f>
        <v>0.3389049405878679</v>
      </c>
      <c r="I58" s="6">
        <f>IFERROR(I56-H56,"n/a")</f>
        <v>-0.33117925824175787</v>
      </c>
      <c r="J58" s="13"/>
    </row>
    <row r="59">
      <c r="A59" s="2"/>
      <c r="B59" s="18"/>
      <c r="C59" s="5"/>
      <c r="D59" s="5"/>
      <c r="E59" s="5"/>
      <c r="F59" s="5"/>
      <c r="G59" s="5"/>
      <c r="H59" s="5"/>
      <c r="I59" s="9"/>
      <c r="J59" s="13"/>
    </row>
    <row r="60">
      <c r="A60" s="2"/>
      <c r="B60" s="27" t="s">
        <v>181</v>
      </c>
      <c r="C60" s="15"/>
      <c r="D60" s="15"/>
      <c r="E60" s="15"/>
      <c r="F60" s="15"/>
      <c r="G60" s="15"/>
      <c r="H60" s="15"/>
      <c r="I60" s="41"/>
      <c r="J60" s="13"/>
    </row>
    <row r="61">
      <c r="A61" s="2"/>
      <c r="B61" s="18" t="s">
        <v>182</v>
      </c>
      <c r="C61" s="12">
        <v>276.172</v>
      </c>
      <c r="D61" s="12">
        <v>269.332</v>
      </c>
      <c r="E61" s="12">
        <v>274.678</v>
      </c>
      <c r="F61" s="17">
        <f>G61-C61-D61-E61</f>
        <v>296.21299999999997</v>
      </c>
      <c r="G61" s="12">
        <v>1116.395</v>
      </c>
      <c r="H61" s="12">
        <v>301.124</v>
      </c>
      <c r="I61" s="6">
        <f>I26*(1-I69)</f>
        <v>299.90927844</v>
      </c>
      <c r="J61" s="13" t="s">
        <v>161</v>
      </c>
    </row>
    <row r="62">
      <c r="A62" s="2"/>
      <c r="B62" s="8" t="s">
        <v>107</v>
      </c>
      <c r="C62" s="12">
        <v>221.513</v>
      </c>
      <c r="D62" s="12">
        <v>237.135</v>
      </c>
      <c r="E62" s="12">
        <v>233.03</v>
      </c>
      <c r="F62" s="17">
        <f>G62-C62-D62-E62</f>
        <v>258.14599999999996</v>
      </c>
      <c r="G62" s="12">
        <v>949.824</v>
      </c>
      <c r="H62" s="17">
        <f>C61</f>
        <v>276.172</v>
      </c>
      <c r="I62" s="6">
        <f>D61</f>
        <v>269.332</v>
      </c>
      <c r="J62" s="13"/>
    </row>
    <row r="63">
      <c r="A63" s="2"/>
      <c r="B63" s="28" t="s">
        <v>113</v>
      </c>
      <c r="C63" s="4">
        <f>IFERROR(IF(C62&gt;0,C61/C62-1,"n/a"),"n/a")</f>
        <v>0.2467530122385595</v>
      </c>
      <c r="D63" s="4">
        <f>IFERROR(IF(D62&gt;0,D61/D62-1,"n/a"),"n/a")</f>
        <v>0.13577498049634174</v>
      </c>
      <c r="E63" s="4">
        <f>IFERROR(IF(E62&gt;0,E61/E62-1,"n/a"),"n/a")</f>
        <v>0.17872376947174184</v>
      </c>
      <c r="F63" s="4">
        <f>IFERROR(IF(F62&gt;0,F61/F62-1,"n/a"),"n/a")</f>
        <v>0.14746306353768812</v>
      </c>
      <c r="G63" s="4">
        <f>IFERROR(IF(G62&gt;0,G61/G62-1,"n/a"),"n/a")</f>
        <v>0.17537038440805874</v>
      </c>
      <c r="H63" s="4">
        <f>IFERROR(IF(H62&gt;0,H61/H62-1,"n/a"),"n/a")</f>
        <v>0.09034949234535006</v>
      </c>
      <c r="I63" s="23">
        <f>IFERROR(IF(I62&gt;0,I61/I62-1,"n/a"),"n/a")</f>
        <v>0.11353006118842157</v>
      </c>
      <c r="J63" s="13"/>
    </row>
    <row r="64">
      <c r="A64" s="2"/>
      <c r="B64" s="8" t="s">
        <v>115</v>
      </c>
      <c r="C64" s="17" t="s">
        <v>37</v>
      </c>
      <c r="D64" s="17">
        <f>IFERROR(D61-C61,"n/a")</f>
        <v>-6.840000000000032</v>
      </c>
      <c r="E64" s="17">
        <f>IFERROR(E61-D61,"n/a")</f>
        <v>5.346000000000004</v>
      </c>
      <c r="F64" s="17">
        <f>IFERROR(F61-E61,"n/a")</f>
        <v>21.534999999999968</v>
      </c>
      <c r="G64" s="17" t="s">
        <v>37</v>
      </c>
      <c r="H64" s="17">
        <f>IFERROR(H61-F61,"n/a")</f>
        <v>4.911000000000058</v>
      </c>
      <c r="I64" s="6">
        <f>IFERROR(I61-H61,"n/a")</f>
        <v>-1.2147215600000436</v>
      </c>
      <c r="J64" s="13"/>
    </row>
    <row r="65">
      <c r="A65" s="2"/>
      <c r="B65" s="27" t="s">
        <v>183</v>
      </c>
      <c r="C65" s="3">
        <f>C26-C61</f>
        <v>376.947</v>
      </c>
      <c r="D65" s="3">
        <f>D26-D61</f>
        <v>364.754</v>
      </c>
      <c r="E65" s="3">
        <f>E26-E61</f>
        <v>354.20400000000006</v>
      </c>
      <c r="F65" s="3">
        <f>F26-F61</f>
        <v>375.0300000000001</v>
      </c>
      <c r="G65" s="3">
        <f>G26-G61</f>
        <v>1470.935</v>
      </c>
      <c r="H65" s="3">
        <f>H26-H61</f>
        <v>402.414</v>
      </c>
      <c r="I65" s="59">
        <f>I26-I61</f>
        <v>384.81510156</v>
      </c>
      <c r="J65" s="13"/>
    </row>
    <row r="66">
      <c r="A66" s="2"/>
      <c r="B66" s="8" t="s">
        <v>107</v>
      </c>
      <c r="C66" s="17">
        <f>C27-C62</f>
        <v>323.66499999999996</v>
      </c>
      <c r="D66" s="17">
        <f>D27-D62</f>
        <v>333.76099999999997</v>
      </c>
      <c r="E66" s="17">
        <f>E27-E62</f>
        <v>297.87800000000004</v>
      </c>
      <c r="F66" s="17">
        <f>F27-F62</f>
        <v>327.962</v>
      </c>
      <c r="G66" s="17">
        <f>G27-G62</f>
        <v>1283.266</v>
      </c>
      <c r="H66" s="17">
        <f>H27-H62</f>
        <v>376.947</v>
      </c>
      <c r="I66" s="6">
        <f>I27-I62</f>
        <v>364.754</v>
      </c>
      <c r="J66" s="13"/>
    </row>
    <row r="67">
      <c r="A67" s="2"/>
      <c r="B67" s="28" t="s">
        <v>113</v>
      </c>
      <c r="C67" s="4">
        <f>IFERROR(IF(C66&gt;0,C65/C66-1,"n/a"),"n/a")</f>
        <v>0.16462082708973802</v>
      </c>
      <c r="D67" s="4">
        <f>IFERROR(IF(D66&gt;0,D65/D66-1,"n/a"),"n/a")</f>
        <v>0.09285986079859554</v>
      </c>
      <c r="E67" s="4">
        <f>IFERROR(IF(E66&gt;0,E65/E66-1,"n/a"),"n/a")</f>
        <v>0.18909083584554764</v>
      </c>
      <c r="F67" s="4">
        <f>IFERROR(IF(F66&gt;0,F65/F66-1,"n/a"),"n/a")</f>
        <v>0.14351662692629064</v>
      </c>
      <c r="G67" s="4">
        <f>IFERROR(IF(G66&gt;0,G65/G66-1,"n/a"),"n/a")</f>
        <v>0.14624325743844202</v>
      </c>
      <c r="H67" s="4">
        <f>IFERROR(IF(H66&gt;0,H65/H66-1,"n/a"),"n/a")</f>
        <v>0.06756122213467664</v>
      </c>
      <c r="I67" s="23">
        <f>IFERROR(IF(I66&gt;0,I65/I66-1,"n/a"),"n/a")</f>
        <v>0.05499898989455909</v>
      </c>
      <c r="J67" s="13"/>
    </row>
    <row r="68">
      <c r="A68" s="2"/>
      <c r="B68" s="8" t="s">
        <v>115</v>
      </c>
      <c r="C68" s="17" t="s">
        <v>37</v>
      </c>
      <c r="D68" s="17">
        <f>IFERROR(D65-C65,"n/a")</f>
        <v>-12.192999999999984</v>
      </c>
      <c r="E68" s="17">
        <f>IFERROR(E65-D65,"n/a")</f>
        <v>-10.549999999999955</v>
      </c>
      <c r="F68" s="17">
        <f>IFERROR(F65-E65,"n/a")</f>
        <v>20.826000000000022</v>
      </c>
      <c r="G68" s="17" t="s">
        <v>37</v>
      </c>
      <c r="H68" s="17">
        <f>IFERROR(H65-F65,"n/a")</f>
        <v>27.3839999999999</v>
      </c>
      <c r="I68" s="6">
        <f>IFERROR(I65-H65,"n/a")</f>
        <v>-17.59889843999997</v>
      </c>
      <c r="J68" s="13"/>
    </row>
    <row r="69">
      <c r="A69" s="2"/>
      <c r="B69" s="28" t="s">
        <v>184</v>
      </c>
      <c r="C69" s="4">
        <f>IFERROR(C65/C26,"n/a")</f>
        <v>0.5771490340963897</v>
      </c>
      <c r="D69" s="4">
        <f>IFERROR(D65/D26,"n/a")</f>
        <v>0.5752437366540185</v>
      </c>
      <c r="E69" s="4">
        <f>IFERROR(E65/E26,"n/a")</f>
        <v>0.563228077763396</v>
      </c>
      <c r="F69" s="4">
        <f>IFERROR(F65/F26,"n/a")</f>
        <v>0.5587097370102929</v>
      </c>
      <c r="G69" s="4">
        <f>IFERROR(G65/G26,"n/a")</f>
        <v>0.5685146463729018</v>
      </c>
      <c r="H69" s="4">
        <f>IFERROR(H65/H26,"n/a")</f>
        <v>0.5719861613729464</v>
      </c>
      <c r="I69" s="52">
        <v>0.562</v>
      </c>
      <c r="J69" s="13" t="s">
        <v>185</v>
      </c>
    </row>
    <row r="70">
      <c r="A70" s="2"/>
      <c r="B70" s="1" t="s">
        <v>127</v>
      </c>
      <c r="C70" s="83">
        <f>IFERROR((C65/C26-C66/C27)*10000,"n/a")</f>
        <v>-165.3779846105019</v>
      </c>
      <c r="D70" s="83">
        <f>IFERROR((D65/D26-D66/D27)*10000,"n/a")</f>
        <v>-93.8288535769638</v>
      </c>
      <c r="E70" s="83">
        <f>IFERROR((E65/E26-E66/E27)*10000,"n/a")</f>
        <v>21.553495317625515</v>
      </c>
      <c r="F70" s="83">
        <f>IFERROR((F65/F26-F66/F27)*10000,"n/a")</f>
        <v>-8.492521179905843</v>
      </c>
      <c r="G70" s="83">
        <f>IFERROR((G65/G26-G66/G27)*10000,"n/a")</f>
        <v>-61.446821808062154</v>
      </c>
      <c r="H70" s="83">
        <f>IFERROR((H65/H26-H66/H27)*10000,"n/a")</f>
        <v>-51.6287272344329</v>
      </c>
      <c r="I70" s="86">
        <f>IFERROR((I65/I26-I66/I27)*10000,"n/a")</f>
        <v>-132.43736654018457</v>
      </c>
      <c r="J70" s="13"/>
    </row>
    <row r="71">
      <c r="A71" s="2"/>
      <c r="B71" s="1" t="s">
        <v>128</v>
      </c>
      <c r="C71" s="83" t="s">
        <v>37</v>
      </c>
      <c r="D71" s="83">
        <f>IFERROR((D69-C69)*10000,"n/a")</f>
        <v>-19.052974423712232</v>
      </c>
      <c r="E71" s="83">
        <f>IFERROR((E69-D69)*10000,"n/a")</f>
        <v>-120.15658890622505</v>
      </c>
      <c r="F71" s="83">
        <f>IFERROR((F69-E69)*10000,"n/a")</f>
        <v>-45.183407531030895</v>
      </c>
      <c r="G71" s="83" t="s">
        <v>37</v>
      </c>
      <c r="H71" s="83">
        <f>IFERROR((H69-F69)*10000,"n/a")</f>
        <v>132.76424362653526</v>
      </c>
      <c r="I71" s="86">
        <f>IFERROR((I69-H69)*10000,"n/a")</f>
        <v>-99.8616137294639</v>
      </c>
      <c r="J71" s="13"/>
    </row>
    <row r="72">
      <c r="A72" s="2"/>
      <c r="B72" s="18" t="s">
        <v>186</v>
      </c>
      <c r="C72" s="12">
        <v>28.508</v>
      </c>
      <c r="D72" s="12">
        <v>32.436</v>
      </c>
      <c r="E72" s="12">
        <v>33.681</v>
      </c>
      <c r="F72" s="17">
        <f>G72-C72-D72-E72</f>
        <v>35.84100000000002</v>
      </c>
      <c r="G72" s="12">
        <v>130.466</v>
      </c>
      <c r="H72" s="12">
        <v>36.148</v>
      </c>
      <c r="I72" s="6">
        <f>I73*(1+I74)</f>
        <v>38.9232</v>
      </c>
      <c r="J72" s="13" t="s">
        <v>161</v>
      </c>
    </row>
    <row r="73">
      <c r="A73" s="2"/>
      <c r="B73" s="8" t="s">
        <v>107</v>
      </c>
      <c r="C73" s="12">
        <v>20.729</v>
      </c>
      <c r="D73" s="12">
        <v>25.356</v>
      </c>
      <c r="E73" s="12">
        <v>26.003</v>
      </c>
      <c r="F73" s="17">
        <f>G73-C73-D73-E73</f>
        <v>28.967999999999996</v>
      </c>
      <c r="G73" s="12">
        <v>101.056</v>
      </c>
      <c r="H73" s="17">
        <f>C72</f>
        <v>28.508</v>
      </c>
      <c r="I73" s="6">
        <f>D72</f>
        <v>32.436</v>
      </c>
      <c r="J73" s="13"/>
    </row>
    <row r="74">
      <c r="A74" s="2"/>
      <c r="B74" s="28" t="s">
        <v>113</v>
      </c>
      <c r="C74" s="4">
        <f>IFERROR(IF(C73&gt;0,C72/C73-1,"n/a"),"n/a")</f>
        <v>0.3752713589657002</v>
      </c>
      <c r="D74" s="4">
        <f>IFERROR(IF(D73&gt;0,D72/D73-1,"n/a"),"n/a")</f>
        <v>0.2792238523426407</v>
      </c>
      <c r="E74" s="4">
        <f>IFERROR(IF(E73&gt;0,E72/E73-1,"n/a"),"n/a")</f>
        <v>0.29527362227435283</v>
      </c>
      <c r="F74" s="4">
        <f>IFERROR(IF(F73&gt;0,F72/F73-1,"n/a"),"n/a")</f>
        <v>0.23726180613090397</v>
      </c>
      <c r="G74" s="4">
        <f>IFERROR(IF(G73&gt;0,G72/G73-1,"n/a"),"n/a")</f>
        <v>0.2910267574414187</v>
      </c>
      <c r="H74" s="4">
        <f>IFERROR(IF(H73&gt;0,H72/H73-1,"n/a"),"n/a")</f>
        <v>0.2679949487863058</v>
      </c>
      <c r="I74" s="52">
        <v>0.2</v>
      </c>
      <c r="J74" s="13"/>
    </row>
    <row r="75">
      <c r="A75" s="2"/>
      <c r="B75" s="8" t="s">
        <v>115</v>
      </c>
      <c r="C75" s="17" t="s">
        <v>37</v>
      </c>
      <c r="D75" s="17">
        <f>IFERROR(D72-C72,"n/a")</f>
        <v>3.928000000000001</v>
      </c>
      <c r="E75" s="17">
        <f>IFERROR(E72-D72,"n/a")</f>
        <v>1.2449999999999974</v>
      </c>
      <c r="F75" s="17">
        <f>IFERROR(F72-E72,"n/a")</f>
        <v>2.160000000000025</v>
      </c>
      <c r="G75" s="17" t="s">
        <v>37</v>
      </c>
      <c r="H75" s="17">
        <f>IFERROR(H72-F72,"n/a")</f>
        <v>0.30699999999998084</v>
      </c>
      <c r="I75" s="6">
        <f>IFERROR(I72-H72,"n/a")</f>
        <v>2.775199999999998</v>
      </c>
      <c r="J75" s="13"/>
    </row>
    <row r="76">
      <c r="A76" s="2"/>
      <c r="B76" s="28" t="s">
        <v>187</v>
      </c>
      <c r="C76" s="4">
        <f>IFERROR(C72/C26,"n/a")</f>
        <v>0.04364901342634343</v>
      </c>
      <c r="D76" s="4">
        <f>IFERROR(D72/D26,"n/a")</f>
        <v>0.0511539444176342</v>
      </c>
      <c r="E76" s="4">
        <f>IFERROR(E72/E26,"n/a")</f>
        <v>0.053556947090233134</v>
      </c>
      <c r="F76" s="4">
        <f>IFERROR(F72/F26,"n/a")</f>
        <v>0.05339497022687763</v>
      </c>
      <c r="G76" s="4">
        <f>IFERROR(G72/G26,"n/a")</f>
        <v>0.05042495545601064</v>
      </c>
      <c r="H76" s="4">
        <f>IFERROR(H72/H26,"n/a")</f>
        <v>0.05138030923702771</v>
      </c>
      <c r="I76" s="23">
        <f>IFERROR(I72/I26,"n/a")</f>
        <v>0.056845062242416436</v>
      </c>
      <c r="J76" s="13"/>
    </row>
    <row r="77">
      <c r="A77" s="2"/>
      <c r="B77" s="1" t="s">
        <v>127</v>
      </c>
      <c r="C77" s="83">
        <f>IFERROR((C72/C26-C73/C27)*10000,"n/a")</f>
        <v>56.26569380545551</v>
      </c>
      <c r="D77" s="83">
        <f>IFERROR((D72/D26-D73/D27)*10000,"n/a")</f>
        <v>67.39550202225428</v>
      </c>
      <c r="E77" s="83">
        <f>IFERROR((E72/E26-E73/E27)*10000,"n/a")</f>
        <v>45.78593025122042</v>
      </c>
      <c r="F77" s="83">
        <f>IFERROR((F72/F26-F73/F27)*10000,"n/a")</f>
        <v>39.706320502958384</v>
      </c>
      <c r="G77" s="83">
        <f>IFERROR((G72/G26-G73/G27)*10000,"n/a")</f>
        <v>51.71069584863491</v>
      </c>
      <c r="H77" s="83">
        <f>IFERROR((H72/H26-H73/H27)*10000,"n/a")</f>
        <v>77.31295810684276</v>
      </c>
      <c r="I77" s="86">
        <f>IFERROR((I72/I26-I73/I27)*10000,"n/a")</f>
        <v>56.91117824782238</v>
      </c>
      <c r="J77" s="13"/>
    </row>
    <row r="78">
      <c r="A78" s="2"/>
      <c r="B78" s="1" t="s">
        <v>128</v>
      </c>
      <c r="C78" s="83" t="s">
        <v>37</v>
      </c>
      <c r="D78" s="83">
        <f>IFERROR((D76-C76)*10000,"n/a")</f>
        <v>75.04930991290765</v>
      </c>
      <c r="E78" s="83">
        <f>IFERROR((E76-D76)*10000,"n/a")</f>
        <v>24.030026725989362</v>
      </c>
      <c r="F78" s="83">
        <f>IFERROR((F76-E76)*10000,"n/a")</f>
        <v>-1.6197686335550632</v>
      </c>
      <c r="G78" s="83" t="s">
        <v>37</v>
      </c>
      <c r="H78" s="83">
        <f>IFERROR((H76-F76)*10000,"n/a")</f>
        <v>-20.146609898499186</v>
      </c>
      <c r="I78" s="86">
        <f>IFERROR((I76-H76)*10000,"n/a")</f>
        <v>54.647530053887266</v>
      </c>
      <c r="J78" s="13"/>
    </row>
    <row r="79">
      <c r="A79" s="2"/>
      <c r="B79" s="18" t="s">
        <v>188</v>
      </c>
      <c r="C79" s="12">
        <v>55.988</v>
      </c>
      <c r="D79" s="12">
        <v>71.581</v>
      </c>
      <c r="E79" s="12">
        <v>63.439</v>
      </c>
      <c r="F79" s="17">
        <f>G79-C79-D79-E79</f>
        <v>72.05499999999998</v>
      </c>
      <c r="G79" s="12">
        <v>263.063</v>
      </c>
      <c r="H79" s="12">
        <v>62.248</v>
      </c>
      <c r="I79" s="6">
        <f>I80*(1+I81)</f>
        <v>77.30748000000001</v>
      </c>
      <c r="J79" s="13" t="s">
        <v>161</v>
      </c>
    </row>
    <row r="80">
      <c r="A80" s="2"/>
      <c r="B80" s="8" t="s">
        <v>107</v>
      </c>
      <c r="C80" s="12">
        <v>45.303</v>
      </c>
      <c r="D80" s="12">
        <v>66.576</v>
      </c>
      <c r="E80" s="12">
        <v>56.396</v>
      </c>
      <c r="F80" s="17">
        <f>G80-C80-D80-E80</f>
        <v>57.96300000000001</v>
      </c>
      <c r="G80" s="12">
        <v>226.238</v>
      </c>
      <c r="H80" s="17">
        <f>C79</f>
        <v>55.988</v>
      </c>
      <c r="I80" s="6">
        <f>D79</f>
        <v>71.581</v>
      </c>
      <c r="J80" s="13"/>
    </row>
    <row r="81">
      <c r="A81" s="2"/>
      <c r="B81" s="28" t="s">
        <v>113</v>
      </c>
      <c r="C81" s="4">
        <f>IFERROR(IF(C80&gt;0,C79/C80-1,"n/a"),"n/a")</f>
        <v>0.23585634505441155</v>
      </c>
      <c r="D81" s="4">
        <f>IFERROR(IF(D80&gt;0,D79/D80-1,"n/a"),"n/a")</f>
        <v>0.0751772410478253</v>
      </c>
      <c r="E81" s="4">
        <f>IFERROR(IF(E80&gt;0,E79/E80-1,"n/a"),"n/a")</f>
        <v>0.12488474359883672</v>
      </c>
      <c r="F81" s="4">
        <f>IFERROR(IF(F80&gt;0,F79/F80-1,"n/a"),"n/a")</f>
        <v>0.2431206114245288</v>
      </c>
      <c r="G81" s="4">
        <f>IFERROR(IF(G80&gt;0,G79/G80-1,"n/a"),"n/a")</f>
        <v>0.16277106410063724</v>
      </c>
      <c r="H81" s="4">
        <f>IFERROR(IF(H80&gt;0,H79/H80-1,"n/a"),"n/a")</f>
        <v>0.11180967350146465</v>
      </c>
      <c r="I81" s="52">
        <v>0.08</v>
      </c>
      <c r="J81" s="13"/>
    </row>
    <row r="82">
      <c r="A82" s="2"/>
      <c r="B82" s="8" t="s">
        <v>115</v>
      </c>
      <c r="C82" s="17" t="s">
        <v>37</v>
      </c>
      <c r="D82" s="17">
        <f>IFERROR(D79-C79,"n/a")</f>
        <v>15.593000000000004</v>
      </c>
      <c r="E82" s="17">
        <f>IFERROR(E79-D79,"n/a")</f>
        <v>-8.142000000000003</v>
      </c>
      <c r="F82" s="17">
        <f>IFERROR(F79-E79,"n/a")</f>
        <v>8.615999999999978</v>
      </c>
      <c r="G82" s="17" t="s">
        <v>37</v>
      </c>
      <c r="H82" s="17">
        <f>IFERROR(H79-F79,"n/a")</f>
        <v>-9.80699999999998</v>
      </c>
      <c r="I82" s="6">
        <f>IFERROR(I79-H79,"n/a")</f>
        <v>15.059480000000015</v>
      </c>
      <c r="J82" s="13"/>
    </row>
    <row r="83">
      <c r="A83" s="2"/>
      <c r="B83" s="28" t="s">
        <v>187</v>
      </c>
      <c r="C83" s="4">
        <f>IFERROR(C79/C26,"n/a")</f>
        <v>0.08572404110123882</v>
      </c>
      <c r="D83" s="4">
        <f>IFERROR(D79/D26,"n/a")</f>
        <v>0.11288847254157953</v>
      </c>
      <c r="E83" s="4">
        <f>IFERROR(E79/E26,"n/a")</f>
        <v>0.10087583998269944</v>
      </c>
      <c r="F83" s="4">
        <f>IFERROR(F79/F26,"n/a")</f>
        <v>0.10734562595066165</v>
      </c>
      <c r="G83" s="4">
        <f>IFERROR(G79/G26,"n/a")</f>
        <v>0.10167353990407099</v>
      </c>
      <c r="H83" s="4">
        <f>IFERROR(H79/H26,"n/a")</f>
        <v>0.08847851857326824</v>
      </c>
      <c r="I83" s="23">
        <f>IFERROR(I79/I26,"n/a")</f>
        <v>0.11290306327342983</v>
      </c>
      <c r="J83" s="13"/>
    </row>
    <row r="84">
      <c r="A84" s="2"/>
      <c r="B84" s="1" t="s">
        <v>127</v>
      </c>
      <c r="C84" s="83">
        <f>IFERROR((C79/C26-C80/C27)*10000,"n/a")</f>
        <v>26.264106025760125</v>
      </c>
      <c r="D84" s="83">
        <f>IFERROR((D79/D26-D80/D27)*10000,"n/a")</f>
        <v>-37.28214210473382</v>
      </c>
      <c r="E84" s="83">
        <f>IFERROR((E79/E26-E80/E27)*10000,"n/a")</f>
        <v>-53.49720754754122</v>
      </c>
      <c r="F84" s="83">
        <f>IFERROR((F79/F26-F80/F27)*10000,"n/a")</f>
        <v>84.50883002263029</v>
      </c>
      <c r="G84" s="83">
        <f>IFERROR((G79/G26-G80/G27)*10000,"n/a")</f>
        <v>3.619044572238106</v>
      </c>
      <c r="H84" s="83">
        <f>IFERROR((H79/H26-H80/H27)*10000,"n/a")</f>
        <v>27.544774720294207</v>
      </c>
      <c r="I84" s="86">
        <f>IFERROR((I79/I26-I80/I27)*10000,"n/a")</f>
        <v>0.14590731850297467</v>
      </c>
      <c r="J84" s="13"/>
    </row>
    <row r="85">
      <c r="A85" s="2"/>
      <c r="B85" s="1" t="s">
        <v>128</v>
      </c>
      <c r="C85" s="83" t="s">
        <v>37</v>
      </c>
      <c r="D85" s="83">
        <f>IFERROR((D83-C83)*10000,"n/a")</f>
        <v>271.6443144034071</v>
      </c>
      <c r="E85" s="83">
        <f>IFERROR((E83-D83)*10000,"n/a")</f>
        <v>-120.12632558880091</v>
      </c>
      <c r="F85" s="83">
        <f>IFERROR((F83-E83)*10000,"n/a")</f>
        <v>64.69785967962203</v>
      </c>
      <c r="G85" s="83" t="s">
        <v>37</v>
      </c>
      <c r="H85" s="83">
        <f>IFERROR((H83-F83)*10000,"n/a")</f>
        <v>-188.671073773934</v>
      </c>
      <c r="I85" s="86">
        <f>IFERROR((I83-H83)*10000,"n/a")</f>
        <v>244.24544700161587</v>
      </c>
      <c r="J85" s="13"/>
    </row>
    <row r="86">
      <c r="A86" s="2"/>
      <c r="B86" s="18" t="s">
        <v>189</v>
      </c>
      <c r="C86" s="12">
        <v>9.046</v>
      </c>
      <c r="D86" s="12">
        <v>10.433</v>
      </c>
      <c r="E86" s="12">
        <v>11.826</v>
      </c>
      <c r="F86" s="17">
        <f>G86-C86-D86-E86</f>
        <v>14.868000000000002</v>
      </c>
      <c r="G86" s="12">
        <v>46.173</v>
      </c>
      <c r="H86" s="12">
        <v>12.919</v>
      </c>
      <c r="I86" s="6">
        <f>I87*(1+I88)</f>
        <v>13.04125</v>
      </c>
      <c r="J86" s="13" t="s">
        <v>161</v>
      </c>
    </row>
    <row r="87">
      <c r="A87" s="2"/>
      <c r="B87" s="8" t="s">
        <v>107</v>
      </c>
      <c r="C87" s="12">
        <v>5.767</v>
      </c>
      <c r="D87" s="12">
        <v>6.75</v>
      </c>
      <c r="E87" s="12">
        <v>7.31</v>
      </c>
      <c r="F87" s="17">
        <f>G87-C87-D87-E87</f>
        <v>6.64</v>
      </c>
      <c r="G87" s="12">
        <v>26.467</v>
      </c>
      <c r="H87" s="17">
        <f>C86</f>
        <v>9.046</v>
      </c>
      <c r="I87" s="6">
        <f>D86</f>
        <v>10.433</v>
      </c>
      <c r="J87" s="13"/>
    </row>
    <row r="88">
      <c r="A88" s="2"/>
      <c r="B88" s="28" t="s">
        <v>113</v>
      </c>
      <c r="C88" s="4">
        <f>IFERROR(IF(C87&gt;0,C86/C87-1,"n/a"),"n/a")</f>
        <v>0.5685798508756716</v>
      </c>
      <c r="D88" s="4">
        <f>IFERROR(IF(D87&gt;0,D86/D87-1,"n/a"),"n/a")</f>
        <v>0.5456296296296297</v>
      </c>
      <c r="E88" s="4">
        <f>IFERROR(IF(E87&gt;0,E86/E87-1,"n/a"),"n/a")</f>
        <v>0.6177838577291384</v>
      </c>
      <c r="F88" s="4">
        <f>IFERROR(IF(F87&gt;0,F86/F87-1,"n/a"),"n/a")</f>
        <v>1.2391566265060243</v>
      </c>
      <c r="G88" s="4">
        <f>IFERROR(IF(G87&gt;0,G86/G87-1,"n/a"),"n/a")</f>
        <v>0.7445498167529379</v>
      </c>
      <c r="H88" s="4">
        <f>IFERROR(IF(H87&gt;0,H86/H87-1,"n/a"),"n/a")</f>
        <v>0.4281450364802124</v>
      </c>
      <c r="I88" s="52">
        <v>0.25</v>
      </c>
      <c r="J88" s="13"/>
    </row>
    <row r="89">
      <c r="A89" s="2"/>
      <c r="B89" s="8" t="s">
        <v>115</v>
      </c>
      <c r="C89" s="17" t="s">
        <v>37</v>
      </c>
      <c r="D89" s="17">
        <f>IFERROR(D86-C86,"n/a")</f>
        <v>1.3870000000000005</v>
      </c>
      <c r="E89" s="17">
        <f>IFERROR(E86-D86,"n/a")</f>
        <v>1.3930000000000007</v>
      </c>
      <c r="F89" s="17">
        <f>IFERROR(F86-E86,"n/a")</f>
        <v>3.0420000000000016</v>
      </c>
      <c r="G89" s="17" t="s">
        <v>37</v>
      </c>
      <c r="H89" s="17">
        <f>IFERROR(H86-F86,"n/a")</f>
        <v>-1.9490000000000016</v>
      </c>
      <c r="I89" s="6">
        <f>IFERROR(I86-H86,"n/a")</f>
        <v>0.1222499999999993</v>
      </c>
      <c r="J89" s="13"/>
    </row>
    <row r="90">
      <c r="A90" s="2"/>
      <c r="B90" s="28" t="s">
        <v>187</v>
      </c>
      <c r="C90" s="4">
        <f>IFERROR(C86/C26,"n/a")</f>
        <v>0.013850462166925169</v>
      </c>
      <c r="D90" s="4">
        <f>IFERROR(D86/D26,"n/a")</f>
        <v>0.016453604085250265</v>
      </c>
      <c r="E90" s="4">
        <f>IFERROR(E86/E26,"n/a")</f>
        <v>0.018804799628547166</v>
      </c>
      <c r="F90" s="4">
        <f>IFERROR(F86/F26,"n/a")</f>
        <v>0.022149951656851543</v>
      </c>
      <c r="G90" s="4">
        <f>IFERROR(G86/G26,"n/a")</f>
        <v>0.017845810159508067</v>
      </c>
      <c r="H90" s="4">
        <f>IFERROR(H86/H26,"n/a")</f>
        <v>0.018362902927773626</v>
      </c>
      <c r="I90" s="23">
        <f>IFERROR(I86/I26,"n/a")</f>
        <v>0.019045984604783607</v>
      </c>
      <c r="J90" s="13"/>
    </row>
    <row r="91">
      <c r="A91" s="2"/>
      <c r="B91" s="1" t="s">
        <v>127</v>
      </c>
      <c r="C91" s="83">
        <f>IFERROR((C86/C26-C87/C27)*10000,"n/a")</f>
        <v>32.722656879770085</v>
      </c>
      <c r="D91" s="83">
        <f>IFERROR((D86/D26-D87/D27)*10000,"n/a")</f>
        <v>46.30084565057445</v>
      </c>
      <c r="E91" s="83">
        <f>IFERROR((E86/E26-E87/E27)*10000,"n/a")</f>
        <v>50.35935719922698</v>
      </c>
      <c r="F91" s="83">
        <f>IFERROR((F86/F26-F87/F27)*10000,"n/a")</f>
        <v>108.20981569427383</v>
      </c>
      <c r="G91" s="83">
        <f>IFERROR((G86/G26-G87/G27)*10000,"n/a")</f>
        <v>59.936232794450156</v>
      </c>
      <c r="H91" s="83">
        <f>IFERROR((H86/H26-H87/H27)*10000,"n/a")</f>
        <v>45.12440760848457</v>
      </c>
      <c r="I91" s="86">
        <f>IFERROR((I86/I26-I87/I27)*10000,"n/a")</f>
        <v>25.92380519533342</v>
      </c>
      <c r="J91" s="13"/>
    </row>
    <row r="92">
      <c r="A92" s="2"/>
      <c r="B92" s="1" t="s">
        <v>128</v>
      </c>
      <c r="C92" s="83" t="s">
        <v>37</v>
      </c>
      <c r="D92" s="83">
        <f>IFERROR((D90-C90)*10000,"n/a")</f>
        <v>26.031419183250964</v>
      </c>
      <c r="E92" s="83">
        <f>IFERROR((E90-D90)*10000,"n/a")</f>
        <v>23.51195543296901</v>
      </c>
      <c r="F92" s="83">
        <f>IFERROR((F90-E90)*10000,"n/a")</f>
        <v>33.45152028304377</v>
      </c>
      <c r="G92" s="83" t="s">
        <v>37</v>
      </c>
      <c r="H92" s="83">
        <f>IFERROR((H90-F90)*10000,"n/a")</f>
        <v>-37.870487290779174</v>
      </c>
      <c r="I92" s="86">
        <f>IFERROR((I90-H90)*10000,"n/a")</f>
        <v>6.830816770099814</v>
      </c>
      <c r="J92" s="13"/>
    </row>
    <row r="93">
      <c r="A93" s="2"/>
      <c r="B93" s="18" t="s">
        <v>190</v>
      </c>
      <c r="C93" s="12">
        <v>1.473</v>
      </c>
      <c r="D93" s="12">
        <v>1.61</v>
      </c>
      <c r="E93" s="12">
        <v>2.273</v>
      </c>
      <c r="F93" s="17">
        <f>G93-C93-D93-E93</f>
        <v>2.475</v>
      </c>
      <c r="G93" s="12">
        <v>7.831</v>
      </c>
      <c r="H93" s="12">
        <v>2.662</v>
      </c>
      <c r="I93" s="6">
        <f>I94*(1+I95)</f>
        <v>2.415</v>
      </c>
      <c r="J93" s="13" t="s">
        <v>161</v>
      </c>
    </row>
    <row r="94">
      <c r="A94" s="2"/>
      <c r="B94" s="8" t="s">
        <v>107</v>
      </c>
      <c r="C94" s="12">
        <v>1.055</v>
      </c>
      <c r="D94" s="12">
        <v>1.352</v>
      </c>
      <c r="E94" s="12">
        <v>1.372</v>
      </c>
      <c r="F94" s="17">
        <f>G94-C94-D94-E94</f>
        <v>1.2279999999999995</v>
      </c>
      <c r="G94" s="12">
        <v>5.007</v>
      </c>
      <c r="H94" s="17">
        <f>C93</f>
        <v>1.473</v>
      </c>
      <c r="I94" s="6">
        <f>D93</f>
        <v>1.61</v>
      </c>
      <c r="J94" s="13"/>
    </row>
    <row r="95">
      <c r="A95" s="2"/>
      <c r="B95" s="28" t="s">
        <v>113</v>
      </c>
      <c r="C95" s="4">
        <f>IFERROR(IF(C94&gt;0,C93/C94-1,"n/a"),"n/a")</f>
        <v>0.3962085308056873</v>
      </c>
      <c r="D95" s="4">
        <f>IFERROR(IF(D94&gt;0,D93/D94-1,"n/a"),"n/a")</f>
        <v>0.19082840236686383</v>
      </c>
      <c r="E95" s="4">
        <f>IFERROR(IF(E94&gt;0,E93/E94-1,"n/a"),"n/a")</f>
        <v>0.6567055393586005</v>
      </c>
      <c r="F95" s="4">
        <f>IFERROR(IF(F94&gt;0,F93/F94-1,"n/a"),"n/a")</f>
        <v>1.0154723127035838</v>
      </c>
      <c r="G95" s="4">
        <f>IFERROR(IF(G94&gt;0,G93/G94-1,"n/a"),"n/a")</f>
        <v>0.5640103854603558</v>
      </c>
      <c r="H95" s="4">
        <f>IFERROR(IF(H94&gt;0,H93/H94-1,"n/a"),"n/a")</f>
        <v>0.8071961982348945</v>
      </c>
      <c r="I95" s="52">
        <v>0.5</v>
      </c>
      <c r="J95" s="13"/>
    </row>
    <row r="96">
      <c r="A96" s="2"/>
      <c r="B96" s="8" t="s">
        <v>115</v>
      </c>
      <c r="C96" s="17" t="s">
        <v>37</v>
      </c>
      <c r="D96" s="17">
        <f>IFERROR(D93-C93,"n/a")</f>
        <v>0.137</v>
      </c>
      <c r="E96" s="17">
        <f>IFERROR(E93-D93,"n/a")</f>
        <v>0.663</v>
      </c>
      <c r="F96" s="17">
        <f>IFERROR(F93-E93,"n/a")</f>
        <v>0.20199999999999996</v>
      </c>
      <c r="G96" s="17" t="s">
        <v>37</v>
      </c>
      <c r="H96" s="17">
        <f>IFERROR(H93-F93,"n/a")</f>
        <v>0.18699999999999983</v>
      </c>
      <c r="I96" s="6">
        <f>IFERROR(I93-H93,"n/a")</f>
        <v>-0.2469999999999999</v>
      </c>
      <c r="J96" s="13"/>
    </row>
    <row r="97">
      <c r="A97" s="2"/>
      <c r="B97" s="28" t="s">
        <v>187</v>
      </c>
      <c r="C97" s="4">
        <f>IFERROR(C93/C26,"n/a")</f>
        <v>0.002255331723621576</v>
      </c>
      <c r="D97" s="4">
        <f>IFERROR(D93/D26,"n/a")</f>
        <v>0.002539087757812032</v>
      </c>
      <c r="E97" s="4">
        <f>IFERROR(E93/E26,"n/a")</f>
        <v>0.0036143505458893716</v>
      </c>
      <c r="F97" s="4">
        <f>IFERROR(F93/F26,"n/a")</f>
        <v>0.0036871892891248027</v>
      </c>
      <c r="G97" s="4">
        <f>IFERROR(G93/G26,"n/a")</f>
        <v>0.0030266722837828963</v>
      </c>
      <c r="H97" s="4">
        <f>IFERROR(H93/H26,"n/a")</f>
        <v>0.0037837330748303573</v>
      </c>
      <c r="I97" s="23">
        <f>IFERROR(I93/I26,"n/a")</f>
        <v>0.0035269665730319113</v>
      </c>
      <c r="J97" s="13"/>
    </row>
    <row r="98">
      <c r="A98" s="2"/>
      <c r="B98" s="1" t="s">
        <v>127</v>
      </c>
      <c r="C98" s="83">
        <f>IFERROR((C93/C26-C94/C27)*10000,"n/a")</f>
        <v>3.20183937027106</v>
      </c>
      <c r="D98" s="83">
        <f>IFERROR((D93/D26-D94/D27)*10000,"n/a")</f>
        <v>1.7088058873044762</v>
      </c>
      <c r="E98" s="83">
        <f>IFERROR((E93/E26-E94/E27)*10000,"n/a")</f>
        <v>10.300986604402915</v>
      </c>
      <c r="F98" s="83">
        <f>IFERROR((F93/F26-F94/F27)*10000,"n/a")</f>
        <v>15.920122910288892</v>
      </c>
      <c r="G98" s="83">
        <f>IFERROR((G93/G26-G94/G27)*10000,"n/a")</f>
        <v>7.844876875507698</v>
      </c>
      <c r="H98" s="83">
        <f>IFERROR((H93/H26-H94/H27)*10000,"n/a")</f>
        <v>15.284013512087812</v>
      </c>
      <c r="I98" s="86">
        <f>IFERROR((I93/I26-I94/I27)*10000,"n/a")</f>
        <v>9.878788152198792</v>
      </c>
      <c r="J98" s="13"/>
    </row>
    <row r="99">
      <c r="A99" s="2"/>
      <c r="B99" s="1" t="s">
        <v>128</v>
      </c>
      <c r="C99" s="83" t="s">
        <v>37</v>
      </c>
      <c r="D99" s="83">
        <f>IFERROR((D97-C97)*10000,"n/a")</f>
        <v>2.8375603419045605</v>
      </c>
      <c r="E99" s="83">
        <f>IFERROR((E97-D97)*10000,"n/a")</f>
        <v>10.752627880773394</v>
      </c>
      <c r="F99" s="83">
        <f>IFERROR((F97-E97)*10000,"n/a")</f>
        <v>0.7283874323543108</v>
      </c>
      <c r="G99" s="83" t="s">
        <v>37</v>
      </c>
      <c r="H99" s="83">
        <f>IFERROR((H97-F97)*10000,"n/a")</f>
        <v>0.9654378570555459</v>
      </c>
      <c r="I99" s="86">
        <f>IFERROR((I97-H97)*10000,"n/a")</f>
        <v>-2.5676650179844596</v>
      </c>
      <c r="J99" s="13"/>
    </row>
    <row r="100">
      <c r="A100" s="2"/>
      <c r="B100" s="18" t="s">
        <v>191</v>
      </c>
      <c r="C100" s="12">
        <v>28.404</v>
      </c>
      <c r="D100" s="12">
        <v>27.397</v>
      </c>
      <c r="E100" s="12">
        <v>26.891</v>
      </c>
      <c r="F100" s="17">
        <f>G100-C100-D100-E100</f>
        <v>29.730000000000004</v>
      </c>
      <c r="G100" s="12">
        <v>112.422</v>
      </c>
      <c r="H100" s="12">
        <v>32.969</v>
      </c>
      <c r="I100" s="6">
        <f>I101*(1+I102)</f>
        <v>30.68464</v>
      </c>
      <c r="J100" s="13" t="s">
        <v>161</v>
      </c>
    </row>
    <row r="101">
      <c r="A101" s="2"/>
      <c r="B101" s="8" t="s">
        <v>107</v>
      </c>
      <c r="C101" s="12">
        <v>19.893</v>
      </c>
      <c r="D101" s="12">
        <v>19.166</v>
      </c>
      <c r="E101" s="12">
        <v>19.864</v>
      </c>
      <c r="F101" s="17">
        <f>G101-C101-D101-E101</f>
        <v>17.069999999999997</v>
      </c>
      <c r="G101" s="12">
        <v>75.993</v>
      </c>
      <c r="H101" s="17">
        <f>C100</f>
        <v>28.404</v>
      </c>
      <c r="I101" s="6">
        <f>D100</f>
        <v>27.397</v>
      </c>
      <c r="J101" s="13"/>
    </row>
    <row r="102">
      <c r="A102" s="2"/>
      <c r="B102" s="28" t="s">
        <v>113</v>
      </c>
      <c r="C102" s="4">
        <f>IFERROR(IF(C101&gt;0,C100/C101-1,"n/a"),"n/a")</f>
        <v>0.4278389383200121</v>
      </c>
      <c r="D102" s="4">
        <f>IFERROR(IF(D101&gt;0,D100/D101-1,"n/a"),"n/a")</f>
        <v>0.4294584159449024</v>
      </c>
      <c r="E102" s="4">
        <f>IFERROR(IF(E101&gt;0,E100/E101-1,"n/a"),"n/a")</f>
        <v>0.35375553765606105</v>
      </c>
      <c r="F102" s="4">
        <f>IFERROR(IF(F101&gt;0,F100/F101-1,"n/a"),"n/a")</f>
        <v>0.7416520210896316</v>
      </c>
      <c r="G102" s="4">
        <f>IFERROR(IF(G101&gt;0,G100/G101-1,"n/a"),"n/a")</f>
        <v>0.4793731001539616</v>
      </c>
      <c r="H102" s="4">
        <f>IFERROR(IF(H101&gt;0,H100/H101-1,"n/a"),"n/a")</f>
        <v>0.16071680045064074</v>
      </c>
      <c r="I102" s="52">
        <v>0.12</v>
      </c>
      <c r="J102" s="13"/>
    </row>
    <row r="103">
      <c r="A103" s="2"/>
      <c r="B103" s="8" t="s">
        <v>115</v>
      </c>
      <c r="C103" s="17" t="s">
        <v>37</v>
      </c>
      <c r="D103" s="17">
        <f>IFERROR(D100-C100,"n/a")</f>
        <v>-1.0070000000000014</v>
      </c>
      <c r="E103" s="17">
        <f>IFERROR(E100-D100,"n/a")</f>
        <v>-0.5060000000000002</v>
      </c>
      <c r="F103" s="17">
        <f>IFERROR(F100-E100,"n/a")</f>
        <v>2.8390000000000057</v>
      </c>
      <c r="G103" s="17" t="s">
        <v>37</v>
      </c>
      <c r="H103" s="17">
        <f>IFERROR(H100-F100,"n/a")</f>
        <v>3.238999999999997</v>
      </c>
      <c r="I103" s="6">
        <f>IFERROR(I100-H100,"n/a")</f>
        <v>-2.2843599999999995</v>
      </c>
      <c r="J103" s="13"/>
    </row>
    <row r="104">
      <c r="A104" s="2"/>
      <c r="B104" s="28" t="s">
        <v>187</v>
      </c>
      <c r="C104" s="4">
        <f>IFERROR(C100/C26,"n/a")</f>
        <v>0.04348977751374558</v>
      </c>
      <c r="D104" s="4">
        <f>IFERROR(D100/D26,"n/a")</f>
        <v>0.04320707285762499</v>
      </c>
      <c r="E104" s="4">
        <f>IFERROR(E100/E26,"n/a")</f>
        <v>0.042760009031901046</v>
      </c>
      <c r="F104" s="4">
        <f>IFERROR(F100/F26,"n/a")</f>
        <v>0.04429096467300218</v>
      </c>
      <c r="G104" s="4">
        <f>IFERROR(G100/G26,"n/a")</f>
        <v>0.043450970691794245</v>
      </c>
      <c r="H104" s="4">
        <f>IFERROR(H100/H26,"n/a")</f>
        <v>0.046861718912126996</v>
      </c>
      <c r="I104" s="23">
        <f>IFERROR(I100/I26,"n/a")</f>
        <v>0.04481312612236766</v>
      </c>
      <c r="J104" s="13"/>
    </row>
    <row r="105">
      <c r="A105" s="2"/>
      <c r="B105" s="1" t="s">
        <v>127</v>
      </c>
      <c r="C105" s="83">
        <f>IFERROR((C100/C26-C101/C27)*10000,"n/a")</f>
        <v>70.00777590784637</v>
      </c>
      <c r="D105" s="83">
        <f>IFERROR((D100/D26-D101/D27)*10000,"n/a")</f>
        <v>96.35283950363421</v>
      </c>
      <c r="E105" s="83">
        <f>IFERROR((E100/E26-E101/E27)*10000,"n/a")</f>
        <v>53.44863658314658</v>
      </c>
      <c r="F105" s="83">
        <f>IFERROR((F100/F26-F101/F27)*10000,"n/a")</f>
        <v>151.66639463313862</v>
      </c>
      <c r="G105" s="83">
        <f>IFERROR((G100/G26-G101/G27)*10000,"n/a")</f>
        <v>94.20546481395203</v>
      </c>
      <c r="H105" s="83">
        <f>IFERROR((H100/H26-H101/H27)*10000,"n/a")</f>
        <v>33.71941398381414</v>
      </c>
      <c r="I105" s="86">
        <f>IFERROR((I100/I26-I101/I27)*10000,"n/a")</f>
        <v>16.060532647426683</v>
      </c>
      <c r="J105" s="13"/>
    </row>
    <row r="106">
      <c r="A106" s="2"/>
      <c r="B106" s="1" t="s">
        <v>128</v>
      </c>
      <c r="C106" s="83" t="s">
        <v>37</v>
      </c>
      <c r="D106" s="83">
        <f>IFERROR((D104-C104)*10000,"n/a")</f>
        <v>-2.827046561205901</v>
      </c>
      <c r="E106" s="83">
        <f>IFERROR((E104-D104)*10000,"n/a")</f>
        <v>-4.470638257239451</v>
      </c>
      <c r="F106" s="83">
        <f>IFERROR((F104-E104)*10000,"n/a")</f>
        <v>15.309556411011311</v>
      </c>
      <c r="G106" s="83" t="s">
        <v>37</v>
      </c>
      <c r="H106" s="83">
        <f>IFERROR((H104-F104)*10000,"n/a")</f>
        <v>25.707542391248186</v>
      </c>
      <c r="I106" s="86">
        <f>IFERROR((I104-H104)*10000,"n/a")</f>
        <v>-20.485927897593363</v>
      </c>
      <c r="J106" s="13"/>
    </row>
    <row r="107">
      <c r="A107" s="2"/>
      <c r="B107" s="27" t="s">
        <v>192</v>
      </c>
      <c r="C107" s="3">
        <f>C72+C79+C86+C93+C100</f>
        <v>123.419</v>
      </c>
      <c r="D107" s="3">
        <f>D72+D79+D86+D93+D100</f>
        <v>143.457</v>
      </c>
      <c r="E107" s="3">
        <f>E72+E79+E86+E93+E100</f>
        <v>138.10999999999999</v>
      </c>
      <c r="F107" s="3">
        <f>F72+F79+F86+F93+F100</f>
        <v>154.969</v>
      </c>
      <c r="G107" s="3">
        <f>G72+G79+G86+G93+G100</f>
        <v>559.955</v>
      </c>
      <c r="H107" s="3">
        <f>H72+H79+H86+H93+H100</f>
        <v>146.946</v>
      </c>
      <c r="I107" s="59">
        <f>I72+I79+I86+I93+I100</f>
        <v>162.37157</v>
      </c>
      <c r="J107" s="13"/>
    </row>
    <row r="108">
      <c r="A108" s="2"/>
      <c r="B108" s="8" t="s">
        <v>107</v>
      </c>
      <c r="C108" s="17">
        <f>C73+C80+C87+C94+C101</f>
        <v>92.747</v>
      </c>
      <c r="D108" s="17">
        <f>D73+D80+D87+D94+D101</f>
        <v>119.19999999999999</v>
      </c>
      <c r="E108" s="17">
        <f>E73+E80+E87+E94+E101</f>
        <v>110.94500000000001</v>
      </c>
      <c r="F108" s="17">
        <f>F73+F80+F87+F94+F101</f>
        <v>111.869</v>
      </c>
      <c r="G108" s="17">
        <f>G73+G80+G87+G94+G101</f>
        <v>434.76099999999997</v>
      </c>
      <c r="H108" s="17">
        <f>H73+H80+H87+H94+H101</f>
        <v>123.419</v>
      </c>
      <c r="I108" s="6">
        <f>I73+I80+I87+I94+I101</f>
        <v>143.457</v>
      </c>
      <c r="J108" s="13"/>
    </row>
    <row r="109">
      <c r="A109" s="2"/>
      <c r="B109" s="28" t="s">
        <v>113</v>
      </c>
      <c r="C109" s="4">
        <f>IFERROR(IF(C108&gt;0,C107/C108-1,"n/a"),"n/a")</f>
        <v>0.3307061144834873</v>
      </c>
      <c r="D109" s="4">
        <f>IFERROR(IF(D108&gt;0,D107/D108-1,"n/a"),"n/a")</f>
        <v>0.20349832214765118</v>
      </c>
      <c r="E109" s="4">
        <f>IFERROR(IF(E108&gt;0,E107/E108-1,"n/a"),"n/a")</f>
        <v>0.24485105232322302</v>
      </c>
      <c r="F109" s="4">
        <f>IFERROR(IF(F108&gt;0,F107/F108-1,"n/a"),"n/a")</f>
        <v>0.3852720592836263</v>
      </c>
      <c r="G109" s="4">
        <f>IFERROR(IF(G108&gt;0,G107/G108-1,"n/a"),"n/a")</f>
        <v>0.28796051163742864</v>
      </c>
      <c r="H109" s="4">
        <f>IFERROR(IF(H108&gt;0,H107/H108-1,"n/a"),"n/a")</f>
        <v>0.19062705094029275</v>
      </c>
      <c r="I109" s="23">
        <f>IFERROR(IF(I108&gt;0,I107/I108-1,"n/a"),"n/a")</f>
        <v>0.1318483587416439</v>
      </c>
      <c r="J109" s="13"/>
    </row>
    <row r="110">
      <c r="A110" s="2"/>
      <c r="B110" s="8" t="s">
        <v>115</v>
      </c>
      <c r="C110" s="17" t="s">
        <v>37</v>
      </c>
      <c r="D110" s="17">
        <f>IFERROR(D107-C107,"n/a")</f>
        <v>20.037999999999997</v>
      </c>
      <c r="E110" s="17">
        <f>IFERROR(E107-D107,"n/a")</f>
        <v>-5.347000000000008</v>
      </c>
      <c r="F110" s="17">
        <f>IFERROR(F107-E107,"n/a")</f>
        <v>16.85900000000001</v>
      </c>
      <c r="G110" s="17" t="s">
        <v>37</v>
      </c>
      <c r="H110" s="17">
        <f>IFERROR(H107-F107,"n/a")</f>
        <v>-8.022999999999996</v>
      </c>
      <c r="I110" s="6">
        <f>IFERROR(I107-H107,"n/a")</f>
        <v>15.425569999999993</v>
      </c>
      <c r="J110" s="13"/>
    </row>
    <row r="111">
      <c r="A111" s="2"/>
      <c r="B111" s="28" t="s">
        <v>193</v>
      </c>
      <c r="C111" s="4">
        <f>IFERROR(C107/C26,"n/a")</f>
        <v>0.18896862593187458</v>
      </c>
      <c r="D111" s="4">
        <f>IFERROR(D107/D26,"n/a")</f>
        <v>0.226242181659901</v>
      </c>
      <c r="E111" s="4">
        <f>IFERROR(E107/E26,"n/a")</f>
        <v>0.21961194627927016</v>
      </c>
      <c r="F111" s="4">
        <f>IFERROR(F107/F26,"n/a")</f>
        <v>0.23086870179651778</v>
      </c>
      <c r="G111" s="4">
        <f>IFERROR(G107/G26,"n/a")</f>
        <v>0.21642194849516685</v>
      </c>
      <c r="H111" s="4">
        <f>IFERROR(H107/H26,"n/a")</f>
        <v>0.20886718272502694</v>
      </c>
      <c r="I111" s="23">
        <f>IFERROR(I107/I26,"n/a")</f>
        <v>0.2371342028160294</v>
      </c>
      <c r="J111" s="13"/>
    </row>
    <row r="112">
      <c r="A112" s="2"/>
      <c r="B112" s="1" t="s">
        <v>127</v>
      </c>
      <c r="C112" s="83">
        <f>IFERROR((C107/C26-C108/C27)*10000,"n/a")</f>
        <v>188.4620719891031</v>
      </c>
      <c r="D112" s="83">
        <f>IFERROR((D107/D26-D108/D27)*10000,"n/a")</f>
        <v>174.47585095903355</v>
      </c>
      <c r="E112" s="83">
        <f>IFERROR((E107/E26-E108/E27)*10000,"n/a")</f>
        <v>106.3977030904556</v>
      </c>
      <c r="F112" s="83">
        <f>IFERROR((F107/F26-F108/F27)*10000,"n/a")</f>
        <v>400.01148376328985</v>
      </c>
      <c r="G112" s="83">
        <f>IFERROR((G107/G26-G108/G27)*10000,"n/a")</f>
        <v>217.31631490478298</v>
      </c>
      <c r="H112" s="83">
        <f>IFERROR((H107/H26-H108/H27)*10000,"n/a")</f>
        <v>198.9855679315236</v>
      </c>
      <c r="I112" s="86">
        <f>IFERROR((I107/I26-I108/I27)*10000,"n/a")</f>
        <v>108.92021156128389</v>
      </c>
      <c r="J112" s="13"/>
    </row>
    <row r="113">
      <c r="A113" s="2"/>
      <c r="B113" s="1" t="s">
        <v>128</v>
      </c>
      <c r="C113" s="83" t="s">
        <v>37</v>
      </c>
      <c r="D113" s="83">
        <f>IFERROR((D111-C111)*10000,"n/a")</f>
        <v>372.7355572802643</v>
      </c>
      <c r="E113" s="83">
        <f>IFERROR((E111-D111)*10000,"n/a")</f>
        <v>-66.30235380630845</v>
      </c>
      <c r="F113" s="83">
        <f>IFERROR((F111-E111)*10000,"n/a")</f>
        <v>112.56755517247613</v>
      </c>
      <c r="G113" s="83" t="s">
        <v>37</v>
      </c>
      <c r="H113" s="83">
        <f>IFERROR((H111-F111)*10000,"n/a")</f>
        <v>-220.01519071490839</v>
      </c>
      <c r="I113" s="86">
        <f>IFERROR((I111-H111)*10000,"n/a")</f>
        <v>282.6702009100246</v>
      </c>
      <c r="J113" s="13"/>
    </row>
    <row r="114">
      <c r="A114" s="2"/>
      <c r="B114" s="27" t="s">
        <v>194</v>
      </c>
      <c r="C114" s="3">
        <f>C65-C107</f>
        <v>253.52800000000002</v>
      </c>
      <c r="D114" s="3">
        <f>D65-D107</f>
        <v>221.29700000000003</v>
      </c>
      <c r="E114" s="3">
        <f>E65-E107</f>
        <v>216.09400000000008</v>
      </c>
      <c r="F114" s="3">
        <f>F65-F107</f>
        <v>220.0610000000001</v>
      </c>
      <c r="G114" s="3">
        <f>G65-G107</f>
        <v>910.9799999999999</v>
      </c>
      <c r="H114" s="3">
        <f>H65-H107</f>
        <v>255.468</v>
      </c>
      <c r="I114" s="59">
        <f>I65-I107</f>
        <v>222.44353156000003</v>
      </c>
      <c r="J114" s="13" t="s">
        <v>195</v>
      </c>
    </row>
    <row r="115">
      <c r="A115" s="2"/>
      <c r="B115" s="8" t="s">
        <v>107</v>
      </c>
      <c r="C115" s="17">
        <f>C66-C108</f>
        <v>230.91799999999995</v>
      </c>
      <c r="D115" s="17">
        <f>D66-D108</f>
        <v>214.56099999999998</v>
      </c>
      <c r="E115" s="17">
        <f>E66-E108</f>
        <v>186.93300000000005</v>
      </c>
      <c r="F115" s="17">
        <f>F66-F108</f>
        <v>216.093</v>
      </c>
      <c r="G115" s="17">
        <f>G66-G108</f>
        <v>848.5050000000001</v>
      </c>
      <c r="H115" s="17">
        <f>H66-H108</f>
        <v>253.52800000000002</v>
      </c>
      <c r="I115" s="6">
        <f>I66-I108</f>
        <v>221.29700000000003</v>
      </c>
      <c r="J115" s="13"/>
    </row>
    <row r="116">
      <c r="A116" s="2"/>
      <c r="B116" s="28" t="s">
        <v>113</v>
      </c>
      <c r="C116" s="4">
        <f>IFERROR(IF(C115&gt;0,C114/C115-1,"n/a"),"n/a")</f>
        <v>0.09791354506794647</v>
      </c>
      <c r="D116" s="4">
        <f>IFERROR(IF(D115&gt;0,D114/D115-1,"n/a"),"n/a")</f>
        <v>0.0313943354104429</v>
      </c>
      <c r="E116" s="4">
        <f>IFERROR(IF(E115&gt;0,E114/E115-1,"n/a"),"n/a")</f>
        <v>0.1559970684683818</v>
      </c>
      <c r="F116" s="4">
        <f>IFERROR(IF(F115&gt;0,F114/F115-1,"n/a"),"n/a")</f>
        <v>0.018362464309348736</v>
      </c>
      <c r="G116" s="4">
        <f>IFERROR(IF(G115&gt;0,G114/G115-1,"n/a"),"n/a")</f>
        <v>0.07362950129934398</v>
      </c>
      <c r="H116" s="4">
        <f>IFERROR(IF(H115&gt;0,H114/H115-1,"n/a"),"n/a")</f>
        <v>0.00765201476759958</v>
      </c>
      <c r="I116" s="23">
        <f>IFERROR(IF(I115&gt;0,I114/I115-1,"n/a"),"n/a")</f>
        <v>0.005180962959280944</v>
      </c>
      <c r="J116" s="13"/>
    </row>
    <row r="117">
      <c r="A117" s="2"/>
      <c r="B117" s="8" t="s">
        <v>115</v>
      </c>
      <c r="C117" s="17" t="s">
        <v>37</v>
      </c>
      <c r="D117" s="17">
        <f>IFERROR(D114-C114,"n/a")</f>
        <v>-32.230999999999995</v>
      </c>
      <c r="E117" s="17">
        <f>IFERROR(E114-D114,"n/a")</f>
        <v>-5.202999999999946</v>
      </c>
      <c r="F117" s="17">
        <f>IFERROR(F114-E114,"n/a")</f>
        <v>3.967000000000013</v>
      </c>
      <c r="G117" s="17" t="s">
        <v>37</v>
      </c>
      <c r="H117" s="17">
        <f>IFERROR(H114-F114,"n/a")</f>
        <v>35.4069999999999</v>
      </c>
      <c r="I117" s="6">
        <f>IFERROR(I114-H114,"n/a")</f>
        <v>-33.024468439999964</v>
      </c>
      <c r="J117" s="13"/>
    </row>
    <row r="118">
      <c r="A118" s="2"/>
      <c r="B118" s="28" t="s">
        <v>196</v>
      </c>
      <c r="C118" s="4">
        <f>IFERROR(C114/C26,"n/a")</f>
        <v>0.3881804081645152</v>
      </c>
      <c r="D118" s="4">
        <f>IFERROR(D114/D26,"n/a")</f>
        <v>0.34900155499411756</v>
      </c>
      <c r="E118" s="4">
        <f>IFERROR(E114/E26,"n/a")</f>
        <v>0.3436161314841259</v>
      </c>
      <c r="F118" s="4">
        <f>IFERROR(F114/F26,"n/a")</f>
        <v>0.32784103521377517</v>
      </c>
      <c r="G118" s="4">
        <f>IFERROR(G114/G26,"n/a")</f>
        <v>0.35209269787773495</v>
      </c>
      <c r="H118" s="4">
        <f>IFERROR(H114/H26,"n/a")</f>
        <v>0.3631189786479195</v>
      </c>
      <c r="I118" s="23">
        <f>IFERROR(I114/I26,"n/a")</f>
        <v>0.32486579718397063</v>
      </c>
      <c r="J118" s="13"/>
    </row>
    <row r="119">
      <c r="A119" s="2"/>
      <c r="B119" s="1" t="s">
        <v>127</v>
      </c>
      <c r="C119" s="83">
        <f>IFERROR((C114/C26-C115/C27)*10000,"n/a")</f>
        <v>-353.8400565996036</v>
      </c>
      <c r="D119" s="83">
        <f>IFERROR((D114/D26-D115/D27)*10000,"n/a")</f>
        <v>-268.3047045359971</v>
      </c>
      <c r="E119" s="83">
        <f>IFERROR((E114/E26-E115/E27)*10000,"n/a")</f>
        <v>-84.84420777282952</v>
      </c>
      <c r="F119" s="83">
        <f>IFERROR((F114/F26-F115/F27)*10000,"n/a")</f>
        <v>-408.5040049431959</v>
      </c>
      <c r="G119" s="83">
        <f>IFERROR((G114/G26-G115/G27)*10000,"n/a")</f>
        <v>-278.7631367128457</v>
      </c>
      <c r="H119" s="83">
        <f>IFERROR((H114/H26-H115/H27)*10000,"n/a")</f>
        <v>-250.61429516595734</v>
      </c>
      <c r="I119" s="86">
        <f>IFERROR((I114/I26-I115/I27)*10000,"n/a")</f>
        <v>-241.3575781014693</v>
      </c>
      <c r="J119" s="13"/>
    </row>
    <row r="120">
      <c r="A120" s="2"/>
      <c r="B120" s="1" t="s">
        <v>128</v>
      </c>
      <c r="C120" s="83" t="s">
        <v>37</v>
      </c>
      <c r="D120" s="83">
        <f>IFERROR((D118-C118)*10000,"n/a")</f>
        <v>-391.78853170397656</v>
      </c>
      <c r="E120" s="83">
        <f>IFERROR((E118-D118)*10000,"n/a")</f>
        <v>-53.8542350999166</v>
      </c>
      <c r="F120" s="83">
        <f>IFERROR((F118-E118)*10000,"n/a")</f>
        <v>-157.7509627035073</v>
      </c>
      <c r="G120" s="83" t="s">
        <v>37</v>
      </c>
      <c r="H120" s="83">
        <f>IFERROR((H118-F118)*10000,"n/a")</f>
        <v>352.7794343414431</v>
      </c>
      <c r="I120" s="86">
        <f>IFERROR((I118-H118)*10000,"n/a")</f>
        <v>-382.5318146394885</v>
      </c>
      <c r="J120" s="13"/>
    </row>
    <row r="121">
      <c r="A121" s="2"/>
      <c r="B121" s="18"/>
      <c r="C121" s="5"/>
      <c r="D121" s="5"/>
      <c r="E121" s="5"/>
      <c r="F121" s="5"/>
      <c r="G121" s="5"/>
      <c r="H121" s="5"/>
      <c r="I121" s="9"/>
      <c r="J121" s="13"/>
    </row>
    <row r="122">
      <c r="A122" s="2"/>
      <c r="B122" s="18"/>
      <c r="C122" s="5"/>
      <c r="D122" s="5"/>
      <c r="E122" s="5"/>
      <c r="F122" s="5"/>
      <c r="G122" s="5"/>
      <c r="H122" s="5"/>
      <c r="I122" s="9"/>
      <c r="J122" s="13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J1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197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159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160</v>
      </c>
      <c r="C10" s="12">
        <v>185.817</v>
      </c>
      <c r="D10" s="12">
        <v>600.604</v>
      </c>
      <c r="E10" s="12">
        <v>486.65</v>
      </c>
      <c r="F10" s="17">
        <f>G10-C10-D10-E10</f>
        <v>171.6149999999999</v>
      </c>
      <c r="G10" s="12">
        <v>1444.686</v>
      </c>
      <c r="H10" s="12">
        <v>194.218</v>
      </c>
      <c r="I10" s="6">
        <f>I11*(1+I12)</f>
        <v>621.62514</v>
      </c>
      <c r="J10" s="13" t="s">
        <v>161</v>
      </c>
    </row>
    <row r="11">
      <c r="A11" s="2"/>
      <c r="B11" s="8" t="s">
        <v>107</v>
      </c>
      <c r="C11" s="12">
        <v>142.553</v>
      </c>
      <c r="D11" s="12">
        <v>512.401</v>
      </c>
      <c r="E11" s="12">
        <v>467.998</v>
      </c>
      <c r="F11" s="17">
        <f>G11-C11-D11-E11</f>
        <v>159.36700000000013</v>
      </c>
      <c r="G11" s="12">
        <v>1282.319</v>
      </c>
      <c r="H11" s="17">
        <f>C10</f>
        <v>185.817</v>
      </c>
      <c r="I11" s="6">
        <f>D10</f>
        <v>600.604</v>
      </c>
      <c r="J11" s="13"/>
    </row>
    <row r="12">
      <c r="A12" s="2"/>
      <c r="B12" s="28" t="s">
        <v>113</v>
      </c>
      <c r="C12" s="4">
        <f>IFERROR(IF(C11&gt;0,C10/C11-1,"n/a"),"n/a")</f>
        <v>0.30349413902197786</v>
      </c>
      <c r="D12" s="4">
        <f>IFERROR(IF(D11&gt;0,D10/D11-1,"n/a"),"n/a")</f>
        <v>0.17213666639994862</v>
      </c>
      <c r="E12" s="4">
        <f>IFERROR(IF(E11&gt;0,E10/E11-1,"n/a"),"n/a")</f>
        <v>0.03985487117466313</v>
      </c>
      <c r="F12" s="4">
        <f>IFERROR(IF(F11&gt;0,F10/F11-1,"n/a"),"n/a")</f>
        <v>0.07685405385054467</v>
      </c>
      <c r="G12" s="4">
        <f>IFERROR(IF(G11&gt;0,G10/G11-1,"n/a"),"n/a")</f>
        <v>0.1266198192493444</v>
      </c>
      <c r="H12" s="4">
        <f>IFERROR(IF(H11&gt;0,H10/H11-1,"n/a"),"n/a")</f>
        <v>0.04521114860319542</v>
      </c>
      <c r="I12" s="52">
        <v>0.035</v>
      </c>
      <c r="J12" s="13" t="s">
        <v>162</v>
      </c>
    </row>
    <row r="13">
      <c r="A13" s="2"/>
      <c r="B13" s="8" t="s">
        <v>115</v>
      </c>
      <c r="C13" s="17" t="s">
        <v>37</v>
      </c>
      <c r="D13" s="17">
        <f>IFERROR(D10-C10,"n/a")</f>
        <v>414.78700000000003</v>
      </c>
      <c r="E13" s="17">
        <f>IFERROR(E10-D10,"n/a")</f>
        <v>-113.95400000000006</v>
      </c>
      <c r="F13" s="17">
        <f>IFERROR(F10-E10,"n/a")</f>
        <v>-315.0350000000001</v>
      </c>
      <c r="G13" s="17" t="s">
        <v>37</v>
      </c>
      <c r="H13" s="17">
        <f>IFERROR(H10-F10,"n/a")</f>
        <v>22.603000000000094</v>
      </c>
      <c r="I13" s="6">
        <f>IFERROR(I10-H10,"n/a")</f>
        <v>427.40714</v>
      </c>
      <c r="J13" s="13"/>
    </row>
    <row r="14">
      <c r="A14" s="2"/>
      <c r="B14" s="1" t="s">
        <v>118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52">
        <v>0</v>
      </c>
      <c r="J14" s="13"/>
    </row>
    <row r="15">
      <c r="A15" s="2"/>
      <c r="B15" s="1" t="s">
        <v>120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23" t="s">
        <v>37</v>
      </c>
      <c r="J15" s="13"/>
    </row>
    <row r="16">
      <c r="A16" s="2"/>
      <c r="B16" s="1" t="s">
        <v>122</v>
      </c>
      <c r="C16" s="4" t="str">
        <f>IFERROR((1+C12)/((1+C14)*(1+C15))-1,"n/a")</f>
        <v>n/a</v>
      </c>
      <c r="D16" s="4" t="str">
        <f>IFERROR((1+D12)/((1+D14)*(1+D15))-1,"n/a")</f>
        <v>n/a</v>
      </c>
      <c r="E16" s="4" t="str">
        <f>IFERROR((1+E12)/((1+E14)*(1+E15))-1,"n/a")</f>
        <v>n/a</v>
      </c>
      <c r="F16" s="4" t="str">
        <f>IFERROR((1+F12)/((1+F14)*(1+F15))-1,"n/a")</f>
        <v>n/a</v>
      </c>
      <c r="G16" s="4" t="str">
        <f>IFERROR((1+G12)/((1+G14)*(1+G15))-1,"n/a")</f>
        <v>n/a</v>
      </c>
      <c r="H16" s="4" t="str">
        <f>IFERROR((1+H12)/((1+H14)*(1+H15))-1,"n/a")</f>
        <v>n/a</v>
      </c>
      <c r="I16" s="23" t="str">
        <f>IFERROR((1+I12)/((1+I14)*(1+I15))-1,"n/a")</f>
        <v>n/a</v>
      </c>
      <c r="J16" s="13"/>
    </row>
    <row r="17">
      <c r="A17" s="2"/>
      <c r="B17" s="1" t="s">
        <v>123</v>
      </c>
      <c r="C17" s="4">
        <f>C12</f>
        <v>0.30349413902197786</v>
      </c>
      <c r="D17" s="4">
        <f>D12</f>
        <v>0.17213666639994862</v>
      </c>
      <c r="E17" s="4">
        <f>E12</f>
        <v>0.03985487117466313</v>
      </c>
      <c r="F17" s="4">
        <f>F12</f>
        <v>0.07685405385054467</v>
      </c>
      <c r="G17" s="4">
        <f>G12</f>
        <v>0.1266198192493444</v>
      </c>
      <c r="H17" s="4">
        <f>H12</f>
        <v>0.04521114860319542</v>
      </c>
      <c r="I17" s="23">
        <f>I12</f>
        <v>0.035</v>
      </c>
      <c r="J17" s="13"/>
    </row>
    <row r="18">
      <c r="A18" s="2"/>
      <c r="B18" s="18" t="s">
        <v>163</v>
      </c>
      <c r="C18" s="12">
        <v>79.275</v>
      </c>
      <c r="D18" s="12">
        <v>158.983</v>
      </c>
      <c r="E18" s="12">
        <v>818.825</v>
      </c>
      <c r="F18" s="17">
        <f>G18-C18-D18-E18</f>
        <v>236.9889999999998</v>
      </c>
      <c r="G18" s="12">
        <v>1294.072</v>
      </c>
      <c r="H18" s="12">
        <v>83.831</v>
      </c>
      <c r="I18" s="6">
        <f>I19*(1+I20)</f>
        <v>176.47113000000002</v>
      </c>
      <c r="J18" s="13" t="s">
        <v>161</v>
      </c>
    </row>
    <row r="19">
      <c r="A19" s="2"/>
      <c r="B19" s="8" t="s">
        <v>107</v>
      </c>
      <c r="C19" s="12">
        <v>80.398</v>
      </c>
      <c r="D19" s="12">
        <v>177.464</v>
      </c>
      <c r="E19" s="12">
        <v>776.191</v>
      </c>
      <c r="F19" s="17">
        <f>G19-C19-D19-E19</f>
        <v>214.97900000000004</v>
      </c>
      <c r="G19" s="12">
        <v>1249.032</v>
      </c>
      <c r="H19" s="17">
        <f>C18</f>
        <v>79.275</v>
      </c>
      <c r="I19" s="6">
        <f>D18</f>
        <v>158.983</v>
      </c>
      <c r="J19" s="13"/>
    </row>
    <row r="20">
      <c r="A20" s="2"/>
      <c r="B20" s="28" t="s">
        <v>113</v>
      </c>
      <c r="C20" s="4">
        <f>IFERROR(IF(C19&gt;0,C18/C19-1,"n/a"),"n/a")</f>
        <v>-0.013968009154456507</v>
      </c>
      <c r="D20" s="4">
        <f>IFERROR(IF(D19&gt;0,D18/D19-1,"n/a"),"n/a")</f>
        <v>-0.1041394310958842</v>
      </c>
      <c r="E20" s="4">
        <f>IFERROR(IF(E19&gt;0,E18/E19-1,"n/a"),"n/a")</f>
        <v>0.05492720219636671</v>
      </c>
      <c r="F20" s="4">
        <f>IFERROR(IF(F19&gt;0,F18/F19-1,"n/a"),"n/a")</f>
        <v>0.10238209313467705</v>
      </c>
      <c r="G20" s="4">
        <f>IFERROR(IF(G19&gt;0,G18/G19-1,"n/a"),"n/a")</f>
        <v>0.03605992480576958</v>
      </c>
      <c r="H20" s="4">
        <f>IFERROR(IF(H19&gt;0,H18/H19-1,"n/a"),"n/a")</f>
        <v>0.05747082939135906</v>
      </c>
      <c r="I20" s="52">
        <v>0.11</v>
      </c>
      <c r="J20" s="13" t="s">
        <v>162</v>
      </c>
    </row>
    <row r="21">
      <c r="A21" s="2"/>
      <c r="B21" s="8" t="s">
        <v>115</v>
      </c>
      <c r="C21" s="17" t="s">
        <v>37</v>
      </c>
      <c r="D21" s="17">
        <f>IFERROR(D18-C18,"n/a")</f>
        <v>79.708</v>
      </c>
      <c r="E21" s="17">
        <f>IFERROR(E18-D18,"n/a")</f>
        <v>659.8420000000001</v>
      </c>
      <c r="F21" s="17">
        <f>IFERROR(F18-E18,"n/a")</f>
        <v>-581.8360000000002</v>
      </c>
      <c r="G21" s="17" t="s">
        <v>37</v>
      </c>
      <c r="H21" s="17">
        <f>IFERROR(H18-F18,"n/a")</f>
        <v>-153.1579999999998</v>
      </c>
      <c r="I21" s="6">
        <f>IFERROR(I18-H18,"n/a")</f>
        <v>92.64013000000001</v>
      </c>
      <c r="J21" s="13"/>
    </row>
    <row r="22">
      <c r="A22" s="2"/>
      <c r="B22" s="1" t="s">
        <v>118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52">
        <v>0</v>
      </c>
      <c r="J22" s="13"/>
    </row>
    <row r="23">
      <c r="A23" s="2"/>
      <c r="B23" s="1" t="s">
        <v>120</v>
      </c>
      <c r="C23" s="4" t="s">
        <v>37</v>
      </c>
      <c r="D23" s="4" t="s">
        <v>37</v>
      </c>
      <c r="E23" s="4" t="s">
        <v>37</v>
      </c>
      <c r="F23" s="4" t="s">
        <v>37</v>
      </c>
      <c r="G23" s="4" t="s">
        <v>37</v>
      </c>
      <c r="H23" s="4" t="s">
        <v>37</v>
      </c>
      <c r="I23" s="23" t="s">
        <v>37</v>
      </c>
      <c r="J23" s="13"/>
    </row>
    <row r="24">
      <c r="A24" s="2"/>
      <c r="B24" s="1" t="s">
        <v>122</v>
      </c>
      <c r="C24" s="4" t="str">
        <f>IFERROR((1+C20)/((1+C22)*(1+C23))-1,"n/a")</f>
        <v>n/a</v>
      </c>
      <c r="D24" s="4" t="str">
        <f>IFERROR((1+D20)/((1+D22)*(1+D23))-1,"n/a")</f>
        <v>n/a</v>
      </c>
      <c r="E24" s="4" t="str">
        <f>IFERROR((1+E20)/((1+E22)*(1+E23))-1,"n/a")</f>
        <v>n/a</v>
      </c>
      <c r="F24" s="4" t="str">
        <f>IFERROR((1+F20)/((1+F22)*(1+F23))-1,"n/a")</f>
        <v>n/a</v>
      </c>
      <c r="G24" s="4" t="str">
        <f>IFERROR((1+G20)/((1+G22)*(1+G23))-1,"n/a")</f>
        <v>n/a</v>
      </c>
      <c r="H24" s="4" t="str">
        <f>IFERROR((1+H20)/((1+H22)*(1+H23))-1,"n/a")</f>
        <v>n/a</v>
      </c>
      <c r="I24" s="23" t="str">
        <f>IFERROR((1+I20)/((1+I22)*(1+I23))-1,"n/a")</f>
        <v>n/a</v>
      </c>
      <c r="J24" s="13"/>
    </row>
    <row r="25">
      <c r="A25" s="2"/>
      <c r="B25" s="1" t="s">
        <v>123</v>
      </c>
      <c r="C25" s="4">
        <f>C20</f>
        <v>-0.013968009154456507</v>
      </c>
      <c r="D25" s="4">
        <f>D20</f>
        <v>-0.1041394310958842</v>
      </c>
      <c r="E25" s="4">
        <f>E20</f>
        <v>0.05492720219636671</v>
      </c>
      <c r="F25" s="4">
        <f>F20</f>
        <v>0.10238209313467705</v>
      </c>
      <c r="G25" s="4">
        <f>G20</f>
        <v>0.03605992480576958</v>
      </c>
      <c r="H25" s="4">
        <f>H20</f>
        <v>0.05747082939135906</v>
      </c>
      <c r="I25" s="23">
        <f>I20</f>
        <v>0.11</v>
      </c>
      <c r="J25" s="13"/>
    </row>
    <row r="26">
      <c r="A26" s="2"/>
      <c r="B26" s="27" t="s">
        <v>198</v>
      </c>
      <c r="C26" s="3">
        <f>C10+C18</f>
        <v>265.092</v>
      </c>
      <c r="D26" s="3">
        <f>D10+D18</f>
        <v>759.587</v>
      </c>
      <c r="E26" s="3">
        <f>E10+E18</f>
        <v>1305.475</v>
      </c>
      <c r="F26" s="3">
        <f>F10+F18</f>
        <v>408.6039999999997</v>
      </c>
      <c r="G26" s="3">
        <f>G10+G18</f>
        <v>2738.758</v>
      </c>
      <c r="H26" s="3">
        <f>H10+H18</f>
        <v>278.049</v>
      </c>
      <c r="I26" s="59">
        <f>I10+I18</f>
        <v>798.09627</v>
      </c>
      <c r="J26" s="13"/>
    </row>
    <row r="27">
      <c r="A27" s="2"/>
      <c r="B27" s="8" t="s">
        <v>107</v>
      </c>
      <c r="C27" s="17">
        <f>C11+C19</f>
        <v>222.951</v>
      </c>
      <c r="D27" s="17">
        <f>D11+D19</f>
        <v>689.865</v>
      </c>
      <c r="E27" s="17">
        <f>E11+E19</f>
        <v>1244.189</v>
      </c>
      <c r="F27" s="17">
        <f>F11+F19</f>
        <v>374.3460000000002</v>
      </c>
      <c r="G27" s="17">
        <f>G11+G19</f>
        <v>2531.3509999999997</v>
      </c>
      <c r="H27" s="17">
        <f>H11+H19</f>
        <v>265.092</v>
      </c>
      <c r="I27" s="6">
        <f>I11+I19</f>
        <v>759.587</v>
      </c>
      <c r="J27" s="13"/>
    </row>
    <row r="28">
      <c r="A28" s="2"/>
      <c r="B28" s="28" t="s">
        <v>113</v>
      </c>
      <c r="C28" s="4">
        <f>IFERROR(IF(C27&gt;0,C26/C27-1,"n/a"),"n/a")</f>
        <v>0.1890146265322874</v>
      </c>
      <c r="D28" s="4">
        <f>IFERROR(IF(D27&gt;0,D26/D27-1,"n/a"),"n/a")</f>
        <v>0.10106615062367275</v>
      </c>
      <c r="E28" s="4">
        <f>IFERROR(IF(E27&gt;0,E26/E27-1,"n/a"),"n/a")</f>
        <v>0.049257789612349834</v>
      </c>
      <c r="F28" s="4">
        <f>IFERROR(IF(F27&gt;0,F26/F27-1,"n/a"),"n/a")</f>
        <v>0.09151426754927128</v>
      </c>
      <c r="G28" s="4">
        <f>IFERROR(IF(G27&gt;0,G26/G27-1,"n/a"),"n/a")</f>
        <v>0.0819352985816666</v>
      </c>
      <c r="H28" s="4">
        <f>IFERROR(IF(H27&gt;0,H26/H27-1,"n/a"),"n/a")</f>
        <v>0.04887737087501698</v>
      </c>
      <c r="I28" s="23">
        <f>IFERROR(IF(I27&gt;0,I26/I27-1,"n/a"),"n/a")</f>
        <v>0.050697642271392285</v>
      </c>
      <c r="J28" s="13"/>
    </row>
    <row r="29">
      <c r="A29" s="2"/>
      <c r="B29" s="8" t="s">
        <v>115</v>
      </c>
      <c r="C29" s="17" t="s">
        <v>37</v>
      </c>
      <c r="D29" s="17">
        <f>IFERROR(D26-C26,"n/a")</f>
        <v>494.495</v>
      </c>
      <c r="E29" s="17">
        <f>IFERROR(E26-D26,"n/a")</f>
        <v>545.8879999999999</v>
      </c>
      <c r="F29" s="17">
        <f>IFERROR(F26-E26,"n/a")</f>
        <v>-896.8710000000002</v>
      </c>
      <c r="G29" s="17" t="s">
        <v>37</v>
      </c>
      <c r="H29" s="17">
        <f>IFERROR(H26-F26,"n/a")</f>
        <v>-130.55499999999972</v>
      </c>
      <c r="I29" s="6">
        <f>IFERROR(I26-H26,"n/a")</f>
        <v>520.04727</v>
      </c>
      <c r="J29" s="13"/>
    </row>
    <row r="30">
      <c r="A30" s="2"/>
      <c r="B30" s="28" t="s">
        <v>114</v>
      </c>
      <c r="C30" s="4" t="s">
        <v>37</v>
      </c>
      <c r="D30" s="4">
        <f>IFERROR(IF(C26&gt;0,D26/C26-1,"n/a"),"n/a")</f>
        <v>1.8653712673336051</v>
      </c>
      <c r="E30" s="4">
        <f>IFERROR(IF(D26&gt;0,E26/D26-1,"n/a"),"n/a")</f>
        <v>0.7186642214782506</v>
      </c>
      <c r="F30" s="4">
        <f>IFERROR(IF(E26&gt;0,F26/E26-1,"n/a"),"n/a")</f>
        <v>-0.6870074110955784</v>
      </c>
      <c r="G30" s="4" t="s">
        <v>37</v>
      </c>
      <c r="H30" s="4">
        <f>IFERROR(IF(F26&gt;0,H26/F26-1,"n/a"),"n/a")</f>
        <v>-0.31951473798592234</v>
      </c>
      <c r="I30" s="23">
        <f>IFERROR(IF(H26&gt;0,I26/H26-1,"n/a"),"n/a")</f>
        <v>1.8703439681494989</v>
      </c>
      <c r="J30" s="13"/>
    </row>
    <row r="31">
      <c r="A31" s="2"/>
      <c r="B31" s="28" t="s">
        <v>165</v>
      </c>
      <c r="C31" s="58">
        <f>C26/'Revenue summary'!C16</f>
        <v>0.27483831637530093</v>
      </c>
      <c r="D31" s="58">
        <f>D26/'Revenue summary'!D16</f>
        <v>0.5308678818036957</v>
      </c>
      <c r="E31" s="58">
        <f>E26/'Revenue summary'!E16</f>
        <v>0.6668926295076139</v>
      </c>
      <c r="F31" s="58">
        <f>F26/'Revenue summary'!F16</f>
        <v>0.36503065566403914</v>
      </c>
      <c r="G31" s="58">
        <f>G26/'Revenue summary'!G16</f>
        <v>0.5004769478843981</v>
      </c>
      <c r="H31" s="58">
        <f>H26/'Revenue summary'!H16</f>
        <v>0.27272245767907005</v>
      </c>
      <c r="I31" s="96">
        <f>I26/'Revenue summary'!I16</f>
        <v>0.5315596448474965</v>
      </c>
      <c r="J31" s="13"/>
    </row>
    <row r="32">
      <c r="A32" s="2"/>
      <c r="B32" s="1" t="s">
        <v>118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52">
        <v>0</v>
      </c>
      <c r="J32" s="13"/>
    </row>
    <row r="33">
      <c r="A33" s="2"/>
      <c r="B33" s="1" t="s">
        <v>120</v>
      </c>
      <c r="C33" s="4" t="s">
        <v>37</v>
      </c>
      <c r="D33" s="4" t="s">
        <v>37</v>
      </c>
      <c r="E33" s="4" t="s">
        <v>37</v>
      </c>
      <c r="F33" s="4" t="s">
        <v>37</v>
      </c>
      <c r="G33" s="4" t="s">
        <v>37</v>
      </c>
      <c r="H33" s="4" t="s">
        <v>37</v>
      </c>
      <c r="I33" s="23" t="s">
        <v>37</v>
      </c>
      <c r="J33" s="13"/>
    </row>
    <row r="34">
      <c r="A34" s="2"/>
      <c r="B34" s="1" t="s">
        <v>122</v>
      </c>
      <c r="C34" s="4" t="str">
        <f>IFERROR((1+C28)/((1+C32)*(1+C33))-1,"n/a")</f>
        <v>n/a</v>
      </c>
      <c r="D34" s="4" t="str">
        <f>IFERROR((1+D28)/((1+D32)*(1+D33))-1,"n/a")</f>
        <v>n/a</v>
      </c>
      <c r="E34" s="4" t="str">
        <f>IFERROR((1+E28)/((1+E32)*(1+E33))-1,"n/a")</f>
        <v>n/a</v>
      </c>
      <c r="F34" s="4" t="str">
        <f>IFERROR((1+F28)/((1+F32)*(1+F33))-1,"n/a")</f>
        <v>n/a</v>
      </c>
      <c r="G34" s="4" t="str">
        <f>IFERROR((1+G28)/((1+G32)*(1+G33))-1,"n/a")</f>
        <v>n/a</v>
      </c>
      <c r="H34" s="4" t="str">
        <f>IFERROR((1+H28)/((1+H32)*(1+H33))-1,"n/a")</f>
        <v>n/a</v>
      </c>
      <c r="I34" s="23" t="str">
        <f>IFERROR((1+I28)/((1+I32)*(1+I33))-1,"n/a")</f>
        <v>n/a</v>
      </c>
      <c r="J34" s="13"/>
    </row>
    <row r="35">
      <c r="A35" s="2"/>
      <c r="B35" s="1" t="s">
        <v>123</v>
      </c>
      <c r="C35" s="4">
        <f>C28</f>
        <v>0.1890146265322874</v>
      </c>
      <c r="D35" s="4">
        <f>D28</f>
        <v>0.10106615062367275</v>
      </c>
      <c r="E35" s="4">
        <f>E28</f>
        <v>0.049257789612349834</v>
      </c>
      <c r="F35" s="4">
        <f>F28</f>
        <v>0.09151426754927128</v>
      </c>
      <c r="G35" s="4">
        <f>G28</f>
        <v>0.0819352985816666</v>
      </c>
      <c r="H35" s="4">
        <f>H28</f>
        <v>0.04887737087501698</v>
      </c>
      <c r="I35" s="23">
        <f>I28</f>
        <v>0.050697642271392285</v>
      </c>
      <c r="J35" s="13"/>
    </row>
    <row r="36">
      <c r="A36" s="2"/>
      <c r="B36" s="1" t="s">
        <v>127</v>
      </c>
      <c r="C36" s="97">
        <f>IFERROR((C31-C27/'Revenue summary'!C17)*10000,"n/a")</f>
        <v>47.08298334404171</v>
      </c>
      <c r="D36" s="97">
        <f>IFERROR((D31-D27/'Revenue summary'!D17)*10000,"n/a")</f>
        <v>47.8347830188075</v>
      </c>
      <c r="E36" s="97">
        <f>IFERROR((E31-E27/'Revenue summary'!E17)*10000,"n/a")</f>
        <v>-140.46968175135066</v>
      </c>
      <c r="F36" s="97">
        <f>IFERROR((F31-F27/'Revenue summary'!F17)*10000,"n/a")</f>
        <v>-13.358811638495283</v>
      </c>
      <c r="G36" s="97">
        <f>IFERROR((G31-G27/'Revenue summary'!G17)*10000,"n/a")</f>
        <v>-72.54299553228316</v>
      </c>
      <c r="H36" s="97">
        <f>IFERROR((H31-H27/'Revenue summary'!H17)*10000,"n/a")</f>
        <v>-21.158586962308767</v>
      </c>
      <c r="I36" s="102">
        <f>IFERROR((I31-I27/'Revenue summary'!I17)*10000,"n/a")</f>
        <v>6.917630438008082</v>
      </c>
      <c r="J36" s="13"/>
    </row>
    <row r="37">
      <c r="A37" s="2"/>
      <c r="B37" s="1" t="s">
        <v>128</v>
      </c>
      <c r="C37" s="83" t="s">
        <v>37</v>
      </c>
      <c r="D37" s="83">
        <f>IFERROR((D31-C31)*10000,"n/a")</f>
        <v>2560.295654283948</v>
      </c>
      <c r="E37" s="83">
        <f>IFERROR((E31-D31)*10000,"n/a")</f>
        <v>1360.2474770391814</v>
      </c>
      <c r="F37" s="83">
        <f>IFERROR((F31-E31)*10000,"n/a")</f>
        <v>-3018.619738435747</v>
      </c>
      <c r="G37" s="83" t="s">
        <v>37</v>
      </c>
      <c r="H37" s="83">
        <f>IFERROR((H31-F31)*10000,"n/a")</f>
        <v>-923.0819798496909</v>
      </c>
      <c r="I37" s="86">
        <f>IFERROR((I31-H31)*10000,"n/a")</f>
        <v>2588.3718716842645</v>
      </c>
      <c r="J37" s="13"/>
    </row>
    <row r="38">
      <c r="A38" s="2"/>
      <c r="B38" s="28" t="s">
        <v>166</v>
      </c>
      <c r="C38" s="4">
        <f>IFERROR(C18/C26,"n/a")</f>
        <v>0.29904712326286725</v>
      </c>
      <c r="D38" s="4">
        <f>IFERROR(D18/D26,"n/a")</f>
        <v>0.20930189695189624</v>
      </c>
      <c r="E38" s="4">
        <f>IFERROR(E18/E26,"n/a")</f>
        <v>0.6272238074264157</v>
      </c>
      <c r="F38" s="4">
        <f>IFERROR(F18/F26,"n/a")</f>
        <v>0.5799967694883065</v>
      </c>
      <c r="G38" s="4">
        <f>IFERROR(G18/G26,"n/a")</f>
        <v>0.4725032295661026</v>
      </c>
      <c r="H38" s="4">
        <f>IFERROR(H18/H26,"n/a")</f>
        <v>0.30149721811623137</v>
      </c>
      <c r="I38" s="23">
        <f>IFERROR(I18/I26,"n/a")</f>
        <v>0.2211150917921218</v>
      </c>
      <c r="J38" s="13" t="s">
        <v>167</v>
      </c>
    </row>
    <row r="39">
      <c r="A39" s="2"/>
      <c r="B39" s="1" t="s">
        <v>127</v>
      </c>
      <c r="C39" s="83">
        <f>IFERROR((C18/C26-C19/C27)*10000,"n/a")</f>
        <v>-615.6126153917446</v>
      </c>
      <c r="D39" s="83">
        <f>IFERROR((D18/D26-D19/D27)*10000,"n/a")</f>
        <v>-479.42636398831814</v>
      </c>
      <c r="E39" s="83">
        <f>IFERROR((E18/E26-E19/E27)*10000,"n/a")</f>
        <v>33.70839750282961</v>
      </c>
      <c r="F39" s="83">
        <f>IFERROR((F18/F26-F19/F27)*10000,"n/a")</f>
        <v>57.17893795765483</v>
      </c>
      <c r="G39" s="83">
        <f>IFERROR((G18/G26-G19/G27)*10000,"n/a")</f>
        <v>-209.21822905877852</v>
      </c>
      <c r="H39" s="83">
        <f>IFERROR((H18/H26-H19/H27)*10000,"n/a")</f>
        <v>24.500948533641154</v>
      </c>
      <c r="I39" s="86">
        <f>IFERROR((I18/I26-I19/I27)*10000,"n/a")</f>
        <v>118.13194840225555</v>
      </c>
      <c r="J39" s="13"/>
    </row>
    <row r="40">
      <c r="A40" s="2"/>
      <c r="B40" s="1" t="s">
        <v>128</v>
      </c>
      <c r="C40" s="83" t="s">
        <v>37</v>
      </c>
      <c r="D40" s="83">
        <f>IFERROR((D38-C38)*10000,"n/a")</f>
        <v>-897.4522631097101</v>
      </c>
      <c r="E40" s="83">
        <f>IFERROR((E38-D38)*10000,"n/a")</f>
        <v>4179.219104745194</v>
      </c>
      <c r="F40" s="83">
        <f>IFERROR((F38-E38)*10000,"n/a")</f>
        <v>-472.2703793810923</v>
      </c>
      <c r="G40" s="83" t="s">
        <v>37</v>
      </c>
      <c r="H40" s="83">
        <f>IFERROR((H38-F38)*10000,"n/a")</f>
        <v>-2784.995513720751</v>
      </c>
      <c r="I40" s="86">
        <f>IFERROR((I38-H38)*10000,"n/a")</f>
        <v>-803.8212632410957</v>
      </c>
      <c r="J40" s="13"/>
    </row>
    <row r="41">
      <c r="A41" s="2"/>
      <c r="B41" s="28" t="s">
        <v>168</v>
      </c>
      <c r="C41" s="4">
        <f>IFERROR(C10/C26,"n/a")</f>
        <v>0.7009528767371328</v>
      </c>
      <c r="D41" s="4">
        <f>IFERROR(D10/D26,"n/a")</f>
        <v>0.7906981030481038</v>
      </c>
      <c r="E41" s="4">
        <f>IFERROR(E10/E26,"n/a")</f>
        <v>0.37277619257358435</v>
      </c>
      <c r="F41" s="4">
        <f>IFERROR(F10/F26,"n/a")</f>
        <v>0.4200032305116935</v>
      </c>
      <c r="G41" s="4">
        <f>IFERROR(G10/G26,"n/a")</f>
        <v>0.5274967704338974</v>
      </c>
      <c r="H41" s="4">
        <f>IFERROR(H10/H26,"n/a")</f>
        <v>0.6985027818837687</v>
      </c>
      <c r="I41" s="23">
        <f>IFERROR(I10/I26,"n/a")</f>
        <v>0.7788849082078783</v>
      </c>
      <c r="J41" s="13"/>
    </row>
    <row r="42">
      <c r="A42" s="2"/>
      <c r="B42" s="1" t="s">
        <v>127</v>
      </c>
      <c r="C42" s="83">
        <f>IFERROR((C10/C26-C11/C27)*10000,"n/a")</f>
        <v>615.6126153917452</v>
      </c>
      <c r="D42" s="83">
        <f>IFERROR((D10/D26-D11/D27)*10000,"n/a")</f>
        <v>479.4263639883201</v>
      </c>
      <c r="E42" s="83">
        <f>IFERROR((E10/E26-E11/E27)*10000,"n/a")</f>
        <v>-33.70839750282795</v>
      </c>
      <c r="F42" s="83">
        <f>IFERROR((F10/F26-F11/F27)*10000,"n/a")</f>
        <v>-57.17893795765483</v>
      </c>
      <c r="G42" s="83">
        <f>IFERROR((G10/G26-G11/G27)*10000,"n/a")</f>
        <v>209.2182290587774</v>
      </c>
      <c r="H42" s="83">
        <f>IFERROR((H10/H26-H11/H27)*10000,"n/a")</f>
        <v>-24.500948533641154</v>
      </c>
      <c r="I42" s="86">
        <f>IFERROR((I10/I26-I11/I27)*10000,"n/a")</f>
        <v>-118.13194840225583</v>
      </c>
      <c r="J42" s="13"/>
    </row>
    <row r="43">
      <c r="A43" s="2"/>
      <c r="B43" s="1" t="s">
        <v>128</v>
      </c>
      <c r="C43" s="83" t="s">
        <v>37</v>
      </c>
      <c r="D43" s="83">
        <f>IFERROR((D41-C41)*10000,"n/a")</f>
        <v>897.4522631097104</v>
      </c>
      <c r="E43" s="83">
        <f>IFERROR((E41-D41)*10000,"n/a")</f>
        <v>-4179.219104745195</v>
      </c>
      <c r="F43" s="83">
        <f>IFERROR((F41-E41)*10000,"n/a")</f>
        <v>472.27037938109174</v>
      </c>
      <c r="G43" s="83" t="s">
        <v>37</v>
      </c>
      <c r="H43" s="83">
        <f>IFERROR((H41-F41)*10000,"n/a")</f>
        <v>2784.9955137207517</v>
      </c>
      <c r="I43" s="86">
        <f>IFERROR((I41-H41)*10000,"n/a")</f>
        <v>803.8212632410957</v>
      </c>
      <c r="J43" s="13"/>
    </row>
    <row r="44">
      <c r="A44" s="2"/>
      <c r="B44" s="18"/>
      <c r="C44" s="5"/>
      <c r="D44" s="5"/>
      <c r="E44" s="5"/>
      <c r="F44" s="5"/>
      <c r="G44" s="5"/>
      <c r="H44" s="5"/>
      <c r="I44" s="9"/>
      <c r="J44" s="13"/>
    </row>
    <row r="45">
      <c r="A45" s="2"/>
      <c r="B45" s="27" t="s">
        <v>199</v>
      </c>
      <c r="C45" s="15"/>
      <c r="D45" s="15"/>
      <c r="E45" s="15"/>
      <c r="F45" s="15"/>
      <c r="G45" s="15"/>
      <c r="H45" s="15"/>
      <c r="I45" s="41"/>
      <c r="J45" s="13"/>
    </row>
    <row r="46">
      <c r="A46" s="2"/>
      <c r="B46" s="18" t="s">
        <v>170</v>
      </c>
      <c r="C46" s="67" t="s">
        <v>37</v>
      </c>
      <c r="D46" s="67">
        <f>C50</f>
        <v>143</v>
      </c>
      <c r="E46" s="67">
        <f>D50</f>
        <v>145</v>
      </c>
      <c r="F46" s="67">
        <f>E50</f>
        <v>144</v>
      </c>
      <c r="G46" s="67" t="s">
        <v>37</v>
      </c>
      <c r="H46" s="67">
        <f>F50</f>
        <v>141</v>
      </c>
      <c r="I46" s="81">
        <f>H50</f>
        <v>144</v>
      </c>
      <c r="J46" s="13" t="s">
        <v>171</v>
      </c>
    </row>
    <row r="47">
      <c r="A47" s="2"/>
      <c r="B47" s="8" t="s">
        <v>172</v>
      </c>
      <c r="C47" s="67" t="s">
        <v>37</v>
      </c>
      <c r="D47" s="67" t="s">
        <v>37</v>
      </c>
      <c r="E47" s="67" t="s">
        <v>37</v>
      </c>
      <c r="F47" s="67" t="s">
        <v>37</v>
      </c>
      <c r="G47" s="67" t="s">
        <v>37</v>
      </c>
      <c r="H47" s="67" t="s">
        <v>37</v>
      </c>
      <c r="I47" s="81" t="s">
        <v>37</v>
      </c>
      <c r="J47" s="13" t="s">
        <v>173</v>
      </c>
    </row>
    <row r="48">
      <c r="A48" s="2"/>
      <c r="B48" s="8" t="s">
        <v>174</v>
      </c>
      <c r="C48" s="67" t="s">
        <v>37</v>
      </c>
      <c r="D48" s="67" t="s">
        <v>37</v>
      </c>
      <c r="E48" s="67" t="s">
        <v>37</v>
      </c>
      <c r="F48" s="67" t="s">
        <v>37</v>
      </c>
      <c r="G48" s="67" t="s">
        <v>37</v>
      </c>
      <c r="H48" s="67" t="s">
        <v>37</v>
      </c>
      <c r="I48" s="81" t="s">
        <v>37</v>
      </c>
      <c r="J48" s="13" t="s">
        <v>175</v>
      </c>
    </row>
    <row r="49">
      <c r="A49" s="2"/>
      <c r="B49" s="8" t="s">
        <v>176</v>
      </c>
      <c r="C49" s="67" t="str">
        <f>IFERROR(C50-C46,"n/a")</f>
        <v>n/a</v>
      </c>
      <c r="D49" s="67">
        <f>IFERROR(D50-D46,"n/a")</f>
        <v>2</v>
      </c>
      <c r="E49" s="67">
        <f>IFERROR(E50-E46,"n/a")</f>
        <v>-1</v>
      </c>
      <c r="F49" s="67">
        <f>IFERROR(F50-F46,"n/a")</f>
        <v>-3</v>
      </c>
      <c r="G49" s="67" t="str">
        <f>IFERROR(G50-G46,"n/a")</f>
        <v>n/a</v>
      </c>
      <c r="H49" s="67">
        <f>IFERROR(H50-H46,"n/a")</f>
        <v>3</v>
      </c>
      <c r="I49" s="81">
        <f>IFERROR(I50-I46,"n/a")</f>
        <v>1</v>
      </c>
      <c r="J49" s="13"/>
    </row>
    <row r="50">
      <c r="A50" s="2"/>
      <c r="B50" s="27" t="s">
        <v>177</v>
      </c>
      <c r="C50" s="98">
        <v>143</v>
      </c>
      <c r="D50" s="98">
        <v>145</v>
      </c>
      <c r="E50" s="98">
        <v>144</v>
      </c>
      <c r="F50" s="98">
        <v>141</v>
      </c>
      <c r="G50" s="103">
        <f>F50</f>
        <v>141</v>
      </c>
      <c r="H50" s="98">
        <v>144</v>
      </c>
      <c r="I50" s="100">
        <v>145</v>
      </c>
      <c r="J50" s="13" t="s">
        <v>200</v>
      </c>
    </row>
    <row r="51">
      <c r="A51" s="2"/>
      <c r="B51" s="8" t="s">
        <v>149</v>
      </c>
      <c r="C51" s="67" t="s">
        <v>37</v>
      </c>
      <c r="D51" s="67" t="s">
        <v>37</v>
      </c>
      <c r="E51" s="67" t="s">
        <v>37</v>
      </c>
      <c r="F51" s="67" t="s">
        <v>37</v>
      </c>
      <c r="G51" s="67" t="s">
        <v>37</v>
      </c>
      <c r="H51" s="67">
        <f>IFERROR(H50-C50,"n/a")</f>
        <v>1</v>
      </c>
      <c r="I51" s="81">
        <f>IFERROR(I50-D50,"n/a")</f>
        <v>0</v>
      </c>
      <c r="J51" s="13"/>
    </row>
    <row r="52">
      <c r="A52" s="2"/>
      <c r="B52" s="8" t="s">
        <v>150</v>
      </c>
      <c r="C52" s="67" t="s">
        <v>37</v>
      </c>
      <c r="D52" s="67">
        <f>IFERROR(D50-C50,"n/a")</f>
        <v>2</v>
      </c>
      <c r="E52" s="67">
        <f>IFERROR(E50-D50,"n/a")</f>
        <v>-1</v>
      </c>
      <c r="F52" s="67">
        <f>IFERROR(F50-E50,"n/a")</f>
        <v>-3</v>
      </c>
      <c r="G52" s="67" t="s">
        <v>37</v>
      </c>
      <c r="H52" s="67">
        <f>IFERROR(H50-F50,"n/a")</f>
        <v>3</v>
      </c>
      <c r="I52" s="81">
        <f>IFERROR(I50-H50,"n/a")</f>
        <v>1</v>
      </c>
      <c r="J52" s="13"/>
    </row>
    <row r="53">
      <c r="A53" s="2"/>
      <c r="B53" s="8" t="s">
        <v>179</v>
      </c>
      <c r="C53" s="17" t="str">
        <f>IFERROR((C46+C50)/2,"n/a")</f>
        <v>n/a</v>
      </c>
      <c r="D53" s="17">
        <f>IFERROR((D46+D50)/2,"n/a")</f>
        <v>144</v>
      </c>
      <c r="E53" s="17">
        <f>IFERROR((E46+E50)/2,"n/a")</f>
        <v>144.5</v>
      </c>
      <c r="F53" s="17">
        <f>IFERROR((F46+F50)/2,"n/a")</f>
        <v>142.5</v>
      </c>
      <c r="G53" s="17" t="str">
        <f>IFERROR((G46+G50)/2,"n/a")</f>
        <v>n/a</v>
      </c>
      <c r="H53" s="17">
        <f>IFERROR((H46+H50)/2,"n/a")</f>
        <v>142.5</v>
      </c>
      <c r="I53" s="6">
        <f>IFERROR((I46+I50)/2,"n/a")</f>
        <v>144.5</v>
      </c>
      <c r="J53" s="13"/>
    </row>
    <row r="54">
      <c r="A54" s="2"/>
      <c r="B54" s="88" t="s">
        <v>149</v>
      </c>
      <c r="C54" s="17" t="s">
        <v>37</v>
      </c>
      <c r="D54" s="17" t="s">
        <v>37</v>
      </c>
      <c r="E54" s="17" t="s">
        <v>37</v>
      </c>
      <c r="F54" s="17" t="s">
        <v>37</v>
      </c>
      <c r="G54" s="17" t="s">
        <v>37</v>
      </c>
      <c r="H54" s="17" t="str">
        <f>IFERROR(H53-C53,"n/a")</f>
        <v>n/a</v>
      </c>
      <c r="I54" s="6">
        <f>IFERROR(I53-D53,"n/a")</f>
        <v>0.5</v>
      </c>
      <c r="J54" s="13"/>
    </row>
    <row r="55">
      <c r="A55" s="2"/>
      <c r="B55" s="88" t="s">
        <v>150</v>
      </c>
      <c r="C55" s="17" t="s">
        <v>37</v>
      </c>
      <c r="D55" s="17" t="str">
        <f>IFERROR(D53-C53,"n/a")</f>
        <v>n/a</v>
      </c>
      <c r="E55" s="17">
        <f>IFERROR(E53-D53,"n/a")</f>
        <v>0.5</v>
      </c>
      <c r="F55" s="17">
        <f>IFERROR(F53-E53,"n/a")</f>
        <v>-2</v>
      </c>
      <c r="G55" s="17" t="s">
        <v>37</v>
      </c>
      <c r="H55" s="17">
        <f>IFERROR(H53-F53,"n/a")</f>
        <v>0</v>
      </c>
      <c r="I55" s="6">
        <f>IFERROR(I53-H53,"n/a")</f>
        <v>2</v>
      </c>
      <c r="J55" s="13"/>
    </row>
    <row r="56">
      <c r="A56" s="2"/>
      <c r="B56" s="8" t="s">
        <v>180</v>
      </c>
      <c r="C56" s="17" t="str">
        <f>IFERROR(C18/C53,"n/a")</f>
        <v>n/a</v>
      </c>
      <c r="D56" s="17">
        <f>IFERROR(D18/D53,"n/a")</f>
        <v>1.1040486111111112</v>
      </c>
      <c r="E56" s="17">
        <f>IFERROR(E18/E53,"n/a")</f>
        <v>5.666608996539793</v>
      </c>
      <c r="F56" s="17">
        <f>IFERROR(F18/F53,"n/a")</f>
        <v>1.6630807017543845</v>
      </c>
      <c r="G56" s="17" t="str">
        <f>IFERROR(G18/G53,"n/a")</f>
        <v>n/a</v>
      </c>
      <c r="H56" s="17">
        <f>IFERROR(H18/H53,"n/a")</f>
        <v>0.5882877192982456</v>
      </c>
      <c r="I56" s="6">
        <f>IFERROR(I18/I53,"n/a")</f>
        <v>1.2212534948096887</v>
      </c>
      <c r="J56" s="13"/>
    </row>
    <row r="57">
      <c r="A57" s="2"/>
      <c r="B57" s="1" t="s">
        <v>113</v>
      </c>
      <c r="C57" s="4" t="s">
        <v>37</v>
      </c>
      <c r="D57" s="4" t="s">
        <v>37</v>
      </c>
      <c r="E57" s="4" t="s">
        <v>37</v>
      </c>
      <c r="F57" s="4" t="s">
        <v>37</v>
      </c>
      <c r="G57" s="4" t="s">
        <v>37</v>
      </c>
      <c r="H57" s="4" t="str">
        <f>IFERROR(IF(C56&gt;0,H56/C56-1,"n/a"),"n/a")</f>
        <v>n/a</v>
      </c>
      <c r="I57" s="23">
        <f>IFERROR(IF(D56&gt;0,I56/D56-1,"n/a"),"n/a")</f>
        <v>0.10615916955017313</v>
      </c>
      <c r="J57" s="13"/>
    </row>
    <row r="58">
      <c r="A58" s="2"/>
      <c r="B58" s="88" t="s">
        <v>115</v>
      </c>
      <c r="C58" s="17" t="s">
        <v>37</v>
      </c>
      <c r="D58" s="17" t="str">
        <f>IFERROR(D56-C56,"n/a")</f>
        <v>n/a</v>
      </c>
      <c r="E58" s="17">
        <f>IFERROR(E56-D56,"n/a")</f>
        <v>4.562560385428682</v>
      </c>
      <c r="F58" s="17">
        <f>IFERROR(F56-E56,"n/a")</f>
        <v>-4.003528294785409</v>
      </c>
      <c r="G58" s="17" t="s">
        <v>37</v>
      </c>
      <c r="H58" s="17">
        <f>IFERROR(H56-F56,"n/a")</f>
        <v>-1.0747929824561389</v>
      </c>
      <c r="I58" s="6">
        <f>IFERROR(I56-H56,"n/a")</f>
        <v>0.6329657755114431</v>
      </c>
      <c r="J58" s="13"/>
    </row>
    <row r="59">
      <c r="A59" s="2"/>
      <c r="B59" s="18"/>
      <c r="C59" s="5"/>
      <c r="D59" s="5"/>
      <c r="E59" s="5"/>
      <c r="F59" s="5"/>
      <c r="G59" s="5"/>
      <c r="H59" s="5"/>
      <c r="I59" s="9"/>
      <c r="J59" s="13"/>
    </row>
    <row r="60">
      <c r="A60" s="2"/>
      <c r="B60" s="27" t="s">
        <v>181</v>
      </c>
      <c r="C60" s="15"/>
      <c r="D60" s="15"/>
      <c r="E60" s="15"/>
      <c r="F60" s="15"/>
      <c r="G60" s="15"/>
      <c r="H60" s="15"/>
      <c r="I60" s="41"/>
      <c r="J60" s="13"/>
    </row>
    <row r="61">
      <c r="A61" s="2"/>
      <c r="B61" s="18" t="s">
        <v>182</v>
      </c>
      <c r="C61" s="12">
        <v>125.768</v>
      </c>
      <c r="D61" s="12">
        <v>338.048</v>
      </c>
      <c r="E61" s="12">
        <v>496.554</v>
      </c>
      <c r="F61" s="17">
        <f>G61-C61-D61-E61</f>
        <v>155.21799999999996</v>
      </c>
      <c r="G61" s="12">
        <v>1115.588</v>
      </c>
      <c r="H61" s="12">
        <v>125.297</v>
      </c>
      <c r="I61" s="6">
        <f>I26*(1-I69)</f>
        <v>364.72999539</v>
      </c>
      <c r="J61" s="13" t="s">
        <v>161</v>
      </c>
    </row>
    <row r="62">
      <c r="A62" s="2"/>
      <c r="B62" s="8" t="s">
        <v>107</v>
      </c>
      <c r="C62" s="12">
        <v>103.692</v>
      </c>
      <c r="D62" s="12">
        <v>311.305</v>
      </c>
      <c r="E62" s="12">
        <v>460.738</v>
      </c>
      <c r="F62" s="17">
        <f>G62-C62-D62-E62</f>
        <v>147.76000000000005</v>
      </c>
      <c r="G62" s="12">
        <v>1023.495</v>
      </c>
      <c r="H62" s="17">
        <f>C61</f>
        <v>125.768</v>
      </c>
      <c r="I62" s="6">
        <f>D61</f>
        <v>338.048</v>
      </c>
      <c r="J62" s="13"/>
    </row>
    <row r="63">
      <c r="A63" s="2"/>
      <c r="B63" s="28" t="s">
        <v>113</v>
      </c>
      <c r="C63" s="4">
        <f>IFERROR(IF(C62&gt;0,C61/C62-1,"n/a"),"n/a")</f>
        <v>0.21289974154225977</v>
      </c>
      <c r="D63" s="4">
        <f>IFERROR(IF(D62&gt;0,D61/D62-1,"n/a"),"n/a")</f>
        <v>0.08590610494531092</v>
      </c>
      <c r="E63" s="4">
        <f>IFERROR(IF(E62&gt;0,E61/E62-1,"n/a"),"n/a")</f>
        <v>0.07773615373596265</v>
      </c>
      <c r="F63" s="4">
        <f>IFERROR(IF(F62&gt;0,F61/F62-1,"n/a"),"n/a")</f>
        <v>0.050473741201948474</v>
      </c>
      <c r="G63" s="4">
        <f>IFERROR(IF(G62&gt;0,G61/G62-1,"n/a"),"n/a")</f>
        <v>0.08997894469440482</v>
      </c>
      <c r="H63" s="4">
        <f>IFERROR(IF(H62&gt;0,H61/H62-1,"n/a"),"n/a")</f>
        <v>-0.0037449907766682333</v>
      </c>
      <c r="I63" s="23">
        <f>IFERROR(IF(I62&gt;0,I61/I62-1,"n/a"),"n/a")</f>
        <v>0.07892960582520825</v>
      </c>
      <c r="J63" s="13"/>
    </row>
    <row r="64">
      <c r="A64" s="2"/>
      <c r="B64" s="8" t="s">
        <v>115</v>
      </c>
      <c r="C64" s="17" t="s">
        <v>37</v>
      </c>
      <c r="D64" s="17">
        <f>IFERROR(D61-C61,"n/a")</f>
        <v>212.28</v>
      </c>
      <c r="E64" s="17">
        <f>IFERROR(E61-D61,"n/a")</f>
        <v>158.50599999999997</v>
      </c>
      <c r="F64" s="17">
        <f>IFERROR(F61-E61,"n/a")</f>
        <v>-341.336</v>
      </c>
      <c r="G64" s="17" t="s">
        <v>37</v>
      </c>
      <c r="H64" s="17">
        <f>IFERROR(H61-F61,"n/a")</f>
        <v>-29.920999999999964</v>
      </c>
      <c r="I64" s="6">
        <f>IFERROR(I61-H61,"n/a")</f>
        <v>239.43299539</v>
      </c>
      <c r="J64" s="13"/>
    </row>
    <row r="65">
      <c r="A65" s="2"/>
      <c r="B65" s="27" t="s">
        <v>183</v>
      </c>
      <c r="C65" s="3">
        <f>C26-C61</f>
        <v>139.32399999999998</v>
      </c>
      <c r="D65" s="3">
        <f>D26-D61</f>
        <v>421.539</v>
      </c>
      <c r="E65" s="3">
        <f>E26-E61</f>
        <v>808.9209999999999</v>
      </c>
      <c r="F65" s="3">
        <f>F26-F61</f>
        <v>253.38599999999974</v>
      </c>
      <c r="G65" s="3">
        <f>G26-G61</f>
        <v>1623.1699999999998</v>
      </c>
      <c r="H65" s="3">
        <f>H26-H61</f>
        <v>152.75199999999998</v>
      </c>
      <c r="I65" s="59">
        <f>I26-I61</f>
        <v>433.36627461</v>
      </c>
      <c r="J65" s="13"/>
    </row>
    <row r="66">
      <c r="A66" s="2"/>
      <c r="B66" s="8" t="s">
        <v>107</v>
      </c>
      <c r="C66" s="17">
        <f>C27-C62</f>
        <v>119.259</v>
      </c>
      <c r="D66" s="17">
        <f>D27-D62</f>
        <v>378.56</v>
      </c>
      <c r="E66" s="17">
        <f>E27-E62</f>
        <v>783.451</v>
      </c>
      <c r="F66" s="17">
        <f>F27-F62</f>
        <v>226.58600000000013</v>
      </c>
      <c r="G66" s="17">
        <f>G27-G62</f>
        <v>1507.8559999999998</v>
      </c>
      <c r="H66" s="17">
        <f>H27-H62</f>
        <v>139.32399999999998</v>
      </c>
      <c r="I66" s="6">
        <f>I27-I62</f>
        <v>421.539</v>
      </c>
      <c r="J66" s="13"/>
    </row>
    <row r="67">
      <c r="A67" s="2"/>
      <c r="B67" s="28" t="s">
        <v>113</v>
      </c>
      <c r="C67" s="4">
        <f>IFERROR(IF(C66&gt;0,C65/C66-1,"n/a"),"n/a")</f>
        <v>0.16824726016485125</v>
      </c>
      <c r="D67" s="4">
        <f>IFERROR(IF(D66&gt;0,D65/D66-1,"n/a"),"n/a")</f>
        <v>0.11353286136939977</v>
      </c>
      <c r="E67" s="4">
        <f>IFERROR(IF(E66&gt;0,E65/E66-1,"n/a"),"n/a")</f>
        <v>0.03251001019846789</v>
      </c>
      <c r="F67" s="4">
        <f>IFERROR(IF(F66&gt;0,F65/F66-1,"n/a"),"n/a")</f>
        <v>0.11827738695241363</v>
      </c>
      <c r="G67" s="4">
        <f>IFERROR(IF(G66&gt;0,G65/G66-1,"n/a"),"n/a")</f>
        <v>0.07647547245890851</v>
      </c>
      <c r="H67" s="4">
        <f>IFERROR(IF(H66&gt;0,H65/H66-1,"n/a"),"n/a")</f>
        <v>0.09637966179552704</v>
      </c>
      <c r="I67" s="23">
        <f>IFERROR(IF(I66&gt;0,I65/I66-1,"n/a"),"n/a")</f>
        <v>0.02805736743219489</v>
      </c>
      <c r="J67" s="13"/>
    </row>
    <row r="68">
      <c r="A68" s="2"/>
      <c r="B68" s="8" t="s">
        <v>115</v>
      </c>
      <c r="C68" s="17" t="s">
        <v>37</v>
      </c>
      <c r="D68" s="17">
        <f>IFERROR(D65-C65,"n/a")</f>
        <v>282.21500000000003</v>
      </c>
      <c r="E68" s="17">
        <f>IFERROR(E65-D65,"n/a")</f>
        <v>387.38199999999995</v>
      </c>
      <c r="F68" s="17">
        <f>IFERROR(F65-E65,"n/a")</f>
        <v>-555.5350000000002</v>
      </c>
      <c r="G68" s="17" t="s">
        <v>37</v>
      </c>
      <c r="H68" s="17">
        <f>IFERROR(H65-F65,"n/a")</f>
        <v>-100.63399999999976</v>
      </c>
      <c r="I68" s="6">
        <f>IFERROR(I65-H65,"n/a")</f>
        <v>280.61427461000005</v>
      </c>
      <c r="J68" s="13"/>
    </row>
    <row r="69">
      <c r="A69" s="2"/>
      <c r="B69" s="28" t="s">
        <v>184</v>
      </c>
      <c r="C69" s="4">
        <f>IFERROR(C65/C26,"n/a")</f>
        <v>0.5255684818855341</v>
      </c>
      <c r="D69" s="4">
        <f>IFERROR(D65/D26,"n/a")</f>
        <v>0.5549581548920663</v>
      </c>
      <c r="E69" s="4">
        <f>IFERROR(E65/E26,"n/a")</f>
        <v>0.6196372967693752</v>
      </c>
      <c r="F69" s="4">
        <f>IFERROR(F65/F26,"n/a")</f>
        <v>0.6201260878503391</v>
      </c>
      <c r="G69" s="4">
        <f>IFERROR(G65/G26,"n/a")</f>
        <v>0.5926664568391949</v>
      </c>
      <c r="H69" s="4">
        <f>IFERROR(H65/H26,"n/a")</f>
        <v>0.5493707943563904</v>
      </c>
      <c r="I69" s="52">
        <v>0.543</v>
      </c>
      <c r="J69" s="13" t="s">
        <v>185</v>
      </c>
    </row>
    <row r="70">
      <c r="A70" s="2"/>
      <c r="B70" s="1" t="s">
        <v>127</v>
      </c>
      <c r="C70" s="83">
        <f>IFERROR((C65/C26-C66/C27)*10000,"n/a")</f>
        <v>-93.42776642124461</v>
      </c>
      <c r="D70" s="83">
        <f>IFERROR((D65/D26-D66/D27)*10000,"n/a")</f>
        <v>62.1311057180074</v>
      </c>
      <c r="E70" s="83">
        <f>IFERROR((E65/E26-E66/E27)*10000,"n/a")</f>
        <v>-100.50797242065146</v>
      </c>
      <c r="F70" s="83">
        <f>IFERROR((F65/F26-F66/F27)*10000,"n/a")</f>
        <v>148.41137563705752</v>
      </c>
      <c r="G70" s="83">
        <f>IFERROR((G65/G26-G66/G27)*10000,"n/a")</f>
        <v>-30.059726263355067</v>
      </c>
      <c r="H70" s="83">
        <f>IFERROR((H65/H26-H66/H27)*10000,"n/a")</f>
        <v>238.0231247085629</v>
      </c>
      <c r="I70" s="86">
        <f>IFERROR((I65/I26-I66/I27)*10000,"n/a")</f>
        <v>-119.58154892066308</v>
      </c>
      <c r="J70" s="13"/>
    </row>
    <row r="71">
      <c r="A71" s="2"/>
      <c r="B71" s="1" t="s">
        <v>128</v>
      </c>
      <c r="C71" s="83" t="s">
        <v>37</v>
      </c>
      <c r="D71" s="83">
        <f>IFERROR((D69-C69)*10000,"n/a")</f>
        <v>293.8967300653228</v>
      </c>
      <c r="E71" s="83">
        <f>IFERROR((E69-D69)*10000,"n/a")</f>
        <v>646.7914187730884</v>
      </c>
      <c r="F71" s="83">
        <f>IFERROR((F69-E69)*10000,"n/a")</f>
        <v>4.887910809638907</v>
      </c>
      <c r="G71" s="83" t="s">
        <v>37</v>
      </c>
      <c r="H71" s="83">
        <f>IFERROR((H69-F69)*10000,"n/a")</f>
        <v>-707.5529349394872</v>
      </c>
      <c r="I71" s="86">
        <f>IFERROR((I69-H69)*10000,"n/a")</f>
        <v>-63.70794356390319</v>
      </c>
      <c r="J71" s="13"/>
    </row>
    <row r="72">
      <c r="A72" s="2"/>
      <c r="B72" s="18" t="s">
        <v>186</v>
      </c>
      <c r="C72" s="12">
        <v>32.865</v>
      </c>
      <c r="D72" s="12">
        <v>38.886</v>
      </c>
      <c r="E72" s="12">
        <v>45.409</v>
      </c>
      <c r="F72" s="17">
        <f>G72-C72-D72-E72</f>
        <v>41.12999999999999</v>
      </c>
      <c r="G72" s="12">
        <v>158.29</v>
      </c>
      <c r="H72" s="12">
        <v>36.096</v>
      </c>
      <c r="I72" s="6">
        <f>I73*(1+I74)</f>
        <v>42.77460000000001</v>
      </c>
      <c r="J72" s="13" t="s">
        <v>161</v>
      </c>
    </row>
    <row r="73">
      <c r="A73" s="2"/>
      <c r="B73" s="8" t="s">
        <v>107</v>
      </c>
      <c r="C73" s="12">
        <v>28.42</v>
      </c>
      <c r="D73" s="12">
        <v>35.103</v>
      </c>
      <c r="E73" s="12">
        <v>43.864</v>
      </c>
      <c r="F73" s="17">
        <f>G73-C73-D73-E73</f>
        <v>38.705999999999996</v>
      </c>
      <c r="G73" s="12">
        <v>146.093</v>
      </c>
      <c r="H73" s="17">
        <f>C72</f>
        <v>32.865</v>
      </c>
      <c r="I73" s="6">
        <f>D72</f>
        <v>38.886</v>
      </c>
      <c r="J73" s="13"/>
    </row>
    <row r="74">
      <c r="A74" s="2"/>
      <c r="B74" s="28" t="s">
        <v>113</v>
      </c>
      <c r="C74" s="4">
        <f>IFERROR(IF(C73&gt;0,C72/C73-1,"n/a"),"n/a")</f>
        <v>0.1564039408866995</v>
      </c>
      <c r="D74" s="4">
        <f>IFERROR(IF(D73&gt;0,D72/D73-1,"n/a"),"n/a")</f>
        <v>0.10776856678916324</v>
      </c>
      <c r="E74" s="4">
        <f>IFERROR(IF(E73&gt;0,E72/E73-1,"n/a"),"n/a")</f>
        <v>0.03522250592741205</v>
      </c>
      <c r="F74" s="4">
        <f>IFERROR(IF(F73&gt;0,F72/F73-1,"n/a"),"n/a")</f>
        <v>0.06262594946519906</v>
      </c>
      <c r="G74" s="4">
        <f>IFERROR(IF(G73&gt;0,G72/G73-1,"n/a"),"n/a")</f>
        <v>0.08348791523207821</v>
      </c>
      <c r="H74" s="4">
        <f>IFERROR(IF(H73&gt;0,H72/H73-1,"n/a"),"n/a")</f>
        <v>0.09831127339114532</v>
      </c>
      <c r="I74" s="52">
        <v>0.1</v>
      </c>
      <c r="J74" s="13"/>
    </row>
    <row r="75">
      <c r="A75" s="2"/>
      <c r="B75" s="8" t="s">
        <v>115</v>
      </c>
      <c r="C75" s="17" t="s">
        <v>37</v>
      </c>
      <c r="D75" s="17">
        <f>IFERROR(D72-C72,"n/a")</f>
        <v>6.021000000000001</v>
      </c>
      <c r="E75" s="17">
        <f>IFERROR(E72-D72,"n/a")</f>
        <v>6.522999999999996</v>
      </c>
      <c r="F75" s="17">
        <f>IFERROR(F72-E72,"n/a")</f>
        <v>-4.279000000000011</v>
      </c>
      <c r="G75" s="17" t="s">
        <v>37</v>
      </c>
      <c r="H75" s="17">
        <f>IFERROR(H72-F72,"n/a")</f>
        <v>-5.033999999999992</v>
      </c>
      <c r="I75" s="6">
        <f>IFERROR(I72-H72,"n/a")</f>
        <v>6.67860000000001</v>
      </c>
      <c r="J75" s="13"/>
    </row>
    <row r="76">
      <c r="A76" s="2"/>
      <c r="B76" s="28" t="s">
        <v>187</v>
      </c>
      <c r="C76" s="4">
        <f>IFERROR(C72/C26,"n/a")</f>
        <v>0.12397582725997014</v>
      </c>
      <c r="D76" s="4">
        <f>IFERROR(D72/D26,"n/a")</f>
        <v>0.051193609158661224</v>
      </c>
      <c r="E76" s="4">
        <f>IFERROR(E72/E26,"n/a")</f>
        <v>0.0347835079185737</v>
      </c>
      <c r="F76" s="4">
        <f>IFERROR(F72/F26,"n/a")</f>
        <v>0.10065980753981855</v>
      </c>
      <c r="G76" s="4">
        <f>IFERROR(G72/G26,"n/a")</f>
        <v>0.05779627115648772</v>
      </c>
      <c r="H76" s="4">
        <f>IFERROR(H72/H26,"n/a")</f>
        <v>0.1298188448798593</v>
      </c>
      <c r="I76" s="23">
        <f>IFERROR(I72/I26,"n/a")</f>
        <v>0.053595789891362364</v>
      </c>
      <c r="J76" s="13"/>
    </row>
    <row r="77">
      <c r="A77" s="2"/>
      <c r="B77" s="1" t="s">
        <v>127</v>
      </c>
      <c r="C77" s="83">
        <f>IFERROR((C72/C26-C73/C27)*10000,"n/a")</f>
        <v>-34.96128461242143</v>
      </c>
      <c r="D77" s="83">
        <f>IFERROR((D72/D26-D73/D27)*10000,"n/a")</f>
        <v>3.0974057567759865</v>
      </c>
      <c r="E77" s="83">
        <f>IFERROR((E72/E26-E73/E27)*10000,"n/a")</f>
        <v>-4.715859618576457</v>
      </c>
      <c r="F77" s="83">
        <f>IFERROR((F72/F26-F73/F27)*10000,"n/a")</f>
        <v>-27.365156478206252</v>
      </c>
      <c r="G77" s="83">
        <f>IFERROR((G72/G26-G73/G27)*10000,"n/a")</f>
        <v>0.8282090798405334</v>
      </c>
      <c r="H77" s="83">
        <f>IFERROR((H72/H26-H73/H27)*10000,"n/a")</f>
        <v>58.430176198891736</v>
      </c>
      <c r="I77" s="86">
        <f>IFERROR((I72/I26-I73/I27)*10000,"n/a")</f>
        <v>24.021807327011395</v>
      </c>
      <c r="J77" s="13"/>
    </row>
    <row r="78">
      <c r="A78" s="2"/>
      <c r="B78" s="1" t="s">
        <v>128</v>
      </c>
      <c r="C78" s="83" t="s">
        <v>37</v>
      </c>
      <c r="D78" s="83">
        <f>IFERROR((D76-C76)*10000,"n/a")</f>
        <v>-727.8221810130891</v>
      </c>
      <c r="E78" s="83">
        <f>IFERROR((E76-D76)*10000,"n/a")</f>
        <v>-164.10101240087522</v>
      </c>
      <c r="F78" s="83">
        <f>IFERROR((F76-E76)*10000,"n/a")</f>
        <v>658.7629962124486</v>
      </c>
      <c r="G78" s="83" t="s">
        <v>37</v>
      </c>
      <c r="H78" s="83">
        <f>IFERROR((H76-F76)*10000,"n/a")</f>
        <v>291.5903734004076</v>
      </c>
      <c r="I78" s="86">
        <f>IFERROR((I76-H76)*10000,"n/a")</f>
        <v>-762.2305498849695</v>
      </c>
      <c r="J78" s="13"/>
    </row>
    <row r="79">
      <c r="A79" s="2"/>
      <c r="B79" s="18" t="s">
        <v>188</v>
      </c>
      <c r="C79" s="12">
        <v>19.568</v>
      </c>
      <c r="D79" s="12">
        <v>55.704</v>
      </c>
      <c r="E79" s="12">
        <v>96.669</v>
      </c>
      <c r="F79" s="17">
        <f>G79-C79-D79-E79</f>
        <v>43.461999999999975</v>
      </c>
      <c r="G79" s="12">
        <v>215.403</v>
      </c>
      <c r="H79" s="12">
        <v>22.81</v>
      </c>
      <c r="I79" s="6">
        <f>I80*(1+I81)</f>
        <v>62.38848000000001</v>
      </c>
      <c r="J79" s="13" t="s">
        <v>161</v>
      </c>
    </row>
    <row r="80">
      <c r="A80" s="2"/>
      <c r="B80" s="8" t="s">
        <v>107</v>
      </c>
      <c r="C80" s="12">
        <v>15.86</v>
      </c>
      <c r="D80" s="12">
        <v>47.592</v>
      </c>
      <c r="E80" s="12">
        <v>81.537</v>
      </c>
      <c r="F80" s="17">
        <f>G80-C80-D80-E80</f>
        <v>35.89999999999999</v>
      </c>
      <c r="G80" s="12">
        <v>180.889</v>
      </c>
      <c r="H80" s="17">
        <f>C79</f>
        <v>19.568</v>
      </c>
      <c r="I80" s="6">
        <f>D79</f>
        <v>55.704</v>
      </c>
      <c r="J80" s="13"/>
    </row>
    <row r="81">
      <c r="A81" s="2"/>
      <c r="B81" s="28" t="s">
        <v>113</v>
      </c>
      <c r="C81" s="4">
        <f>IFERROR(IF(C80&gt;0,C79/C80-1,"n/a"),"n/a")</f>
        <v>0.23379571248423714</v>
      </c>
      <c r="D81" s="4">
        <f>IFERROR(IF(D80&gt;0,D79/D80-1,"n/a"),"n/a")</f>
        <v>0.17044881492687858</v>
      </c>
      <c r="E81" s="4">
        <f>IFERROR(IF(E80&gt;0,E79/E80-1,"n/a"),"n/a")</f>
        <v>0.18558445858935202</v>
      </c>
      <c r="F81" s="4">
        <f>IFERROR(IF(F80&gt;0,F79/F80-1,"n/a"),"n/a")</f>
        <v>0.21064066852367658</v>
      </c>
      <c r="G81" s="4">
        <f>IFERROR(IF(G80&gt;0,G79/G80-1,"n/a"),"n/a")</f>
        <v>0.19080209410190774</v>
      </c>
      <c r="H81" s="4">
        <f>IFERROR(IF(H80&gt;0,H79/H80-1,"n/a"),"n/a")</f>
        <v>0.16567865903515933</v>
      </c>
      <c r="I81" s="52">
        <v>0.12</v>
      </c>
      <c r="J81" s="13"/>
    </row>
    <row r="82">
      <c r="A82" s="2"/>
      <c r="B82" s="8" t="s">
        <v>115</v>
      </c>
      <c r="C82" s="17" t="s">
        <v>37</v>
      </c>
      <c r="D82" s="17">
        <f>IFERROR(D79-C79,"n/a")</f>
        <v>36.135999999999996</v>
      </c>
      <c r="E82" s="17">
        <f>IFERROR(E79-D79,"n/a")</f>
        <v>40.964999999999996</v>
      </c>
      <c r="F82" s="17">
        <f>IFERROR(F79-E79,"n/a")</f>
        <v>-53.20700000000002</v>
      </c>
      <c r="G82" s="17" t="s">
        <v>37</v>
      </c>
      <c r="H82" s="17">
        <f>IFERROR(H79-F79,"n/a")</f>
        <v>-20.651999999999976</v>
      </c>
      <c r="I82" s="6">
        <f>IFERROR(I79-H79,"n/a")</f>
        <v>39.57848000000001</v>
      </c>
      <c r="J82" s="13"/>
    </row>
    <row r="83">
      <c r="A83" s="2"/>
      <c r="B83" s="28" t="s">
        <v>187</v>
      </c>
      <c r="C83" s="4">
        <f>IFERROR(C79/C26,"n/a")</f>
        <v>0.07381588278786233</v>
      </c>
      <c r="D83" s="4">
        <f>IFERROR(D79/D26,"n/a")</f>
        <v>0.07333458840132862</v>
      </c>
      <c r="E83" s="4">
        <f>IFERROR(E79/E26,"n/a")</f>
        <v>0.07404890940079281</v>
      </c>
      <c r="F83" s="4">
        <f>IFERROR(F79/F26,"n/a")</f>
        <v>0.10636704486495484</v>
      </c>
      <c r="G83" s="4">
        <f>IFERROR(G79/G26,"n/a")</f>
        <v>0.0786498843636422</v>
      </c>
      <c r="H83" s="4">
        <f>IFERROR(H79/H26,"n/a")</f>
        <v>0.08203590014709637</v>
      </c>
      <c r="I83" s="23">
        <f>IFERROR(I79/I26,"n/a")</f>
        <v>0.0781716220776223</v>
      </c>
      <c r="J83" s="13"/>
    </row>
    <row r="84">
      <c r="A84" s="2"/>
      <c r="B84" s="1" t="s">
        <v>127</v>
      </c>
      <c r="C84" s="83">
        <f>IFERROR((C79/C26-C80/C27)*10000,"n/a")</f>
        <v>26.791756190225474</v>
      </c>
      <c r="D84" s="83">
        <f>IFERROR((D79/D26-D80/D27)*10000,"n/a")</f>
        <v>43.471778209976804</v>
      </c>
      <c r="E84" s="83">
        <f>IFERROR((E79/E26-E80/E27)*10000,"n/a")</f>
        <v>85.14653753137993</v>
      </c>
      <c r="F84" s="83">
        <f>IFERROR((F79/F26-F80/F27)*10000,"n/a")</f>
        <v>104.66460913209727</v>
      </c>
      <c r="G84" s="83">
        <f>IFERROR((G79/G26-G80/G27)*10000,"n/a")</f>
        <v>71.90414697049133</v>
      </c>
      <c r="H84" s="83">
        <f>IFERROR((H79/H26-H80/H27)*10000,"n/a")</f>
        <v>82.20017359234042</v>
      </c>
      <c r="I84" s="86">
        <f>IFERROR((I79/I26-I80/I27)*10000,"n/a")</f>
        <v>48.37033676293678</v>
      </c>
      <c r="J84" s="13"/>
    </row>
    <row r="85">
      <c r="A85" s="2"/>
      <c r="B85" s="1" t="s">
        <v>128</v>
      </c>
      <c r="C85" s="83" t="s">
        <v>37</v>
      </c>
      <c r="D85" s="83">
        <f>IFERROR((D83-C83)*10000,"n/a")</f>
        <v>-4.812943865337149</v>
      </c>
      <c r="E85" s="83">
        <f>IFERROR((E83-D83)*10000,"n/a")</f>
        <v>7.143209994641964</v>
      </c>
      <c r="F85" s="83">
        <f>IFERROR((F83-E83)*10000,"n/a")</f>
        <v>323.18135464162026</v>
      </c>
      <c r="G85" s="83" t="s">
        <v>37</v>
      </c>
      <c r="H85" s="83">
        <f>IFERROR((H83-F83)*10000,"n/a")</f>
        <v>-243.31144717858467</v>
      </c>
      <c r="I85" s="86">
        <f>IFERROR((I83-H83)*10000,"n/a")</f>
        <v>-38.64278069474078</v>
      </c>
      <c r="J85" s="13"/>
    </row>
    <row r="86">
      <c r="A86" s="2"/>
      <c r="B86" s="18" t="s">
        <v>189</v>
      </c>
      <c r="C86" s="12">
        <v>17.217</v>
      </c>
      <c r="D86" s="12">
        <v>18.449</v>
      </c>
      <c r="E86" s="12">
        <v>26.677</v>
      </c>
      <c r="F86" s="17">
        <f>G86-C86-D86-E86</f>
        <v>21.94400000000001</v>
      </c>
      <c r="G86" s="12">
        <v>84.287</v>
      </c>
      <c r="H86" s="12">
        <v>19.296</v>
      </c>
      <c r="I86" s="6">
        <f>I87*(1+I88)</f>
        <v>20.293900000000004</v>
      </c>
      <c r="J86" s="13" t="s">
        <v>161</v>
      </c>
    </row>
    <row r="87">
      <c r="A87" s="2"/>
      <c r="B87" s="8" t="s">
        <v>107</v>
      </c>
      <c r="C87" s="12">
        <v>15.186</v>
      </c>
      <c r="D87" s="12">
        <v>16.474</v>
      </c>
      <c r="E87" s="12">
        <v>25.523</v>
      </c>
      <c r="F87" s="17">
        <f>G87-C87-D87-E87</f>
        <v>18.541000000000007</v>
      </c>
      <c r="G87" s="12">
        <v>75.724</v>
      </c>
      <c r="H87" s="17">
        <f>C86</f>
        <v>17.217</v>
      </c>
      <c r="I87" s="6">
        <f>D86</f>
        <v>18.449</v>
      </c>
      <c r="J87" s="13"/>
    </row>
    <row r="88">
      <c r="A88" s="2"/>
      <c r="B88" s="28" t="s">
        <v>113</v>
      </c>
      <c r="C88" s="4">
        <f>IFERROR(IF(C87&gt;0,C86/C87-1,"n/a"),"n/a")</f>
        <v>0.13374160410904778</v>
      </c>
      <c r="D88" s="4">
        <f>IFERROR(IF(D87&gt;0,D86/D87-1,"n/a"),"n/a")</f>
        <v>0.11988588078183815</v>
      </c>
      <c r="E88" s="4">
        <f>IFERROR(IF(E87&gt;0,E86/E87-1,"n/a"),"n/a")</f>
        <v>0.04521412059710839</v>
      </c>
      <c r="F88" s="4">
        <f>IFERROR(IF(F87&gt;0,F86/F87-1,"n/a"),"n/a")</f>
        <v>0.18353918343131448</v>
      </c>
      <c r="G88" s="4">
        <f>IFERROR(IF(G87&gt;0,G86/G87-1,"n/a"),"n/a")</f>
        <v>0.11308171781733667</v>
      </c>
      <c r="H88" s="4">
        <f>IFERROR(IF(H87&gt;0,H86/H87-1,"n/a"),"n/a")</f>
        <v>0.12075274438055406</v>
      </c>
      <c r="I88" s="52">
        <v>0.1</v>
      </c>
      <c r="J88" s="13"/>
    </row>
    <row r="89">
      <c r="A89" s="2"/>
      <c r="B89" s="8" t="s">
        <v>115</v>
      </c>
      <c r="C89" s="17" t="s">
        <v>37</v>
      </c>
      <c r="D89" s="17">
        <f>IFERROR(D86-C86,"n/a")</f>
        <v>1.2320000000000029</v>
      </c>
      <c r="E89" s="17">
        <f>IFERROR(E86-D86,"n/a")</f>
        <v>8.227999999999998</v>
      </c>
      <c r="F89" s="17">
        <f>IFERROR(F86-E86,"n/a")</f>
        <v>-4.73299999999999</v>
      </c>
      <c r="G89" s="17" t="s">
        <v>37</v>
      </c>
      <c r="H89" s="17">
        <f>IFERROR(H86-F86,"n/a")</f>
        <v>-2.6480000000000103</v>
      </c>
      <c r="I89" s="6">
        <f>IFERROR(I86-H86,"n/a")</f>
        <v>0.9979000000000049</v>
      </c>
      <c r="J89" s="13"/>
    </row>
    <row r="90">
      <c r="A90" s="2"/>
      <c r="B90" s="28" t="s">
        <v>187</v>
      </c>
      <c r="C90" s="4">
        <f>IFERROR(C86/C26,"n/a")</f>
        <v>0.06494726359150785</v>
      </c>
      <c r="D90" s="4">
        <f>IFERROR(D86/D26,"n/a")</f>
        <v>0.02428819871851414</v>
      </c>
      <c r="E90" s="4">
        <f>IFERROR(E86/E26,"n/a")</f>
        <v>0.020434707673452193</v>
      </c>
      <c r="F90" s="4">
        <f>IFERROR(F86/F26,"n/a")</f>
        <v>0.05370480954665159</v>
      </c>
      <c r="G90" s="4">
        <f>IFERROR(G86/G26,"n/a")</f>
        <v>0.03077562895297796</v>
      </c>
      <c r="H90" s="4">
        <f>IFERROR(H86/H26,"n/a")</f>
        <v>0.06939783994907373</v>
      </c>
      <c r="I90" s="23">
        <f>IFERROR(I86/I26,"n/a")</f>
        <v>0.02542788478387451</v>
      </c>
      <c r="J90" s="13"/>
    </row>
    <row r="91">
      <c r="A91" s="2"/>
      <c r="B91" s="1" t="s">
        <v>127</v>
      </c>
      <c r="C91" s="83">
        <f>IFERROR((C86/C26-C87/C27)*10000,"n/a")</f>
        <v>-31.66357787180746</v>
      </c>
      <c r="D91" s="83">
        <f>IFERROR((D86/D26-D87/D27)*10000,"n/a")</f>
        <v>4.081642190106143</v>
      </c>
      <c r="E91" s="83">
        <f>IFERROR((E86/E26-E87/E27)*10000,"n/a")</f>
        <v>-0.7905671443421067</v>
      </c>
      <c r="F91" s="83">
        <f>IFERROR((F86/F26-F87/F27)*10000,"n/a")</f>
        <v>41.757642249438675</v>
      </c>
      <c r="G91" s="83">
        <f>IFERROR((G86/G26-G87/G27)*10000,"n/a")</f>
        <v>8.611682559035474</v>
      </c>
      <c r="H91" s="83">
        <f>IFERROR((H86/H26-H87/H27)*10000,"n/a")</f>
        <v>44.505763575658776</v>
      </c>
      <c r="I91" s="86">
        <f>IFERROR((I86/I26-I87/I27)*10000,"n/a")</f>
        <v>11.396860653603708</v>
      </c>
      <c r="J91" s="13"/>
    </row>
    <row r="92">
      <c r="A92" s="2"/>
      <c r="B92" s="1" t="s">
        <v>128</v>
      </c>
      <c r="C92" s="83" t="s">
        <v>37</v>
      </c>
      <c r="D92" s="83">
        <f>IFERROR((D90-C90)*10000,"n/a")</f>
        <v>-406.5906487299371</v>
      </c>
      <c r="E92" s="83">
        <f>IFERROR((E90-D90)*10000,"n/a")</f>
        <v>-38.53491045061948</v>
      </c>
      <c r="F92" s="83">
        <f>IFERROR((F90-E90)*10000,"n/a")</f>
        <v>332.701018731994</v>
      </c>
      <c r="G92" s="83" t="s">
        <v>37</v>
      </c>
      <c r="H92" s="83">
        <f>IFERROR((H90-F90)*10000,"n/a")</f>
        <v>156.93030402422133</v>
      </c>
      <c r="I92" s="86">
        <f>IFERROR((I90-H90)*10000,"n/a")</f>
        <v>-439.6995516519921</v>
      </c>
      <c r="J92" s="13"/>
    </row>
    <row r="93">
      <c r="A93" s="2"/>
      <c r="B93" s="18" t="s">
        <v>190</v>
      </c>
      <c r="C93" s="12">
        <v>2.957</v>
      </c>
      <c r="D93" s="12">
        <v>3.117</v>
      </c>
      <c r="E93" s="12">
        <v>2.94</v>
      </c>
      <c r="F93" s="17">
        <f>G93-C93-D93-E93</f>
        <v>3.2310000000000003</v>
      </c>
      <c r="G93" s="12">
        <v>12.245</v>
      </c>
      <c r="H93" s="12">
        <v>3.382</v>
      </c>
      <c r="I93" s="6">
        <f>I94*(1+I95)</f>
        <v>3.4287</v>
      </c>
      <c r="J93" s="13" t="s">
        <v>161</v>
      </c>
    </row>
    <row r="94">
      <c r="A94" s="2"/>
      <c r="B94" s="8" t="s">
        <v>107</v>
      </c>
      <c r="C94" s="12">
        <v>2.404</v>
      </c>
      <c r="D94" s="12">
        <v>2.484</v>
      </c>
      <c r="E94" s="12">
        <v>2.505</v>
      </c>
      <c r="F94" s="17">
        <f>G94-C94-D94-E94</f>
        <v>2.633</v>
      </c>
      <c r="G94" s="12">
        <v>10.026</v>
      </c>
      <c r="H94" s="17">
        <f>C93</f>
        <v>2.957</v>
      </c>
      <c r="I94" s="6">
        <f>D93</f>
        <v>3.117</v>
      </c>
      <c r="J94" s="13"/>
    </row>
    <row r="95">
      <c r="A95" s="2"/>
      <c r="B95" s="28" t="s">
        <v>113</v>
      </c>
      <c r="C95" s="4">
        <f>IFERROR(IF(C94&gt;0,C93/C94-1,"n/a"),"n/a")</f>
        <v>0.23003327787021632</v>
      </c>
      <c r="D95" s="4">
        <f>IFERROR(IF(D94&gt;0,D93/D94-1,"n/a"),"n/a")</f>
        <v>0.25483091787439616</v>
      </c>
      <c r="E95" s="4">
        <f>IFERROR(IF(E94&gt;0,E93/E94-1,"n/a"),"n/a")</f>
        <v>0.17365269461077837</v>
      </c>
      <c r="F95" s="4">
        <f>IFERROR(IF(F94&gt;0,F93/F94-1,"n/a"),"n/a")</f>
        <v>0.22711735662742139</v>
      </c>
      <c r="G95" s="4">
        <f>IFERROR(IF(G94&gt;0,G93/G94-1,"n/a"),"n/a")</f>
        <v>0.2213245561539996</v>
      </c>
      <c r="H95" s="4">
        <f>IFERROR(IF(H94&gt;0,H93/H94-1,"n/a"),"n/a")</f>
        <v>0.14372675008454516</v>
      </c>
      <c r="I95" s="52">
        <v>0.1</v>
      </c>
      <c r="J95" s="13"/>
    </row>
    <row r="96">
      <c r="A96" s="2"/>
      <c r="B96" s="8" t="s">
        <v>115</v>
      </c>
      <c r="C96" s="17" t="s">
        <v>37</v>
      </c>
      <c r="D96" s="17">
        <f>IFERROR(D93-C93,"n/a")</f>
        <v>0.16000000000000014</v>
      </c>
      <c r="E96" s="17">
        <f>IFERROR(E93-D93,"n/a")</f>
        <v>-0.17700000000000005</v>
      </c>
      <c r="F96" s="17">
        <f>IFERROR(F93-E93,"n/a")</f>
        <v>0.29100000000000037</v>
      </c>
      <c r="G96" s="17" t="s">
        <v>37</v>
      </c>
      <c r="H96" s="17">
        <f>IFERROR(H93-F93,"n/a")</f>
        <v>0.1509999999999998</v>
      </c>
      <c r="I96" s="6">
        <f>IFERROR(I93-H93,"n/a")</f>
        <v>0.046699999999999964</v>
      </c>
      <c r="J96" s="13"/>
    </row>
    <row r="97">
      <c r="A97" s="2"/>
      <c r="B97" s="28" t="s">
        <v>187</v>
      </c>
      <c r="C97" s="4">
        <f>IFERROR(C93/C26,"n/a")</f>
        <v>0.011154618019404584</v>
      </c>
      <c r="D97" s="4">
        <f>IFERROR(D93/D26,"n/a")</f>
        <v>0.004103545742620661</v>
      </c>
      <c r="E97" s="4">
        <f>IFERROR(E93/E26,"n/a")</f>
        <v>0.0022520538501311785</v>
      </c>
      <c r="F97" s="4">
        <f>IFERROR(F93/F26,"n/a")</f>
        <v>0.007907411576979185</v>
      </c>
      <c r="G97" s="4">
        <f>IFERROR(G93/G26,"n/a")</f>
        <v>0.004471004740104821</v>
      </c>
      <c r="H97" s="4">
        <f>IFERROR(H93/H26,"n/a")</f>
        <v>0.012163323730709337</v>
      </c>
      <c r="I97" s="23">
        <f>IFERROR(I93/I26,"n/a")</f>
        <v>0.004296098263935001</v>
      </c>
      <c r="J97" s="13"/>
    </row>
    <row r="98">
      <c r="A98" s="2"/>
      <c r="B98" s="1" t="s">
        <v>127</v>
      </c>
      <c r="C98" s="83">
        <f>IFERROR((C93/C26-C94/C27)*10000,"n/a")</f>
        <v>3.719796818326508</v>
      </c>
      <c r="D98" s="83">
        <f>IFERROR((D93/D26-D94/D27)*10000,"n/a")</f>
        <v>5.028412569604234</v>
      </c>
      <c r="E98" s="83">
        <f>IFERROR((E93/E26-E94/E27)*10000,"n/a")</f>
        <v>2.3869414352711793</v>
      </c>
      <c r="F98" s="83">
        <f>IFERROR((F93/F26-F94/F27)*10000,"n/a")</f>
        <v>8.738116453651193</v>
      </c>
      <c r="G98" s="83">
        <f>IFERROR((G93/G26-G94/G27)*10000,"n/a")</f>
        <v>5.102738892666711</v>
      </c>
      <c r="H98" s="83">
        <f>IFERROR((H93/H26-H94/H27)*10000,"n/a")</f>
        <v>10.087057113047534</v>
      </c>
      <c r="I98" s="86">
        <f>IFERROR((I93/I26-I94/I27)*10000,"n/a")</f>
        <v>1.9255252131434013</v>
      </c>
      <c r="J98" s="13"/>
    </row>
    <row r="99">
      <c r="A99" s="2"/>
      <c r="B99" s="1" t="s">
        <v>128</v>
      </c>
      <c r="C99" s="83" t="s">
        <v>37</v>
      </c>
      <c r="D99" s="83">
        <f>IFERROR((D97-C97)*10000,"n/a")</f>
        <v>-70.51072276783923</v>
      </c>
      <c r="E99" s="83">
        <f>IFERROR((E97-D97)*10000,"n/a")</f>
        <v>-18.51491892489483</v>
      </c>
      <c r="F99" s="83">
        <f>IFERROR((F97-E97)*10000,"n/a")</f>
        <v>56.55357726848006</v>
      </c>
      <c r="G99" s="83" t="s">
        <v>37</v>
      </c>
      <c r="H99" s="83">
        <f>IFERROR((H97-F97)*10000,"n/a")</f>
        <v>42.55912153730152</v>
      </c>
      <c r="I99" s="86">
        <f>IFERROR((I97-H97)*10000,"n/a")</f>
        <v>-78.67225466774336</v>
      </c>
      <c r="J99" s="13"/>
    </row>
    <row r="100">
      <c r="A100" s="2"/>
      <c r="B100" s="18" t="s">
        <v>191</v>
      </c>
      <c r="C100" s="12">
        <v>12.734</v>
      </c>
      <c r="D100" s="12">
        <v>33.11</v>
      </c>
      <c r="E100" s="12">
        <v>47.297</v>
      </c>
      <c r="F100" s="17">
        <f>G100-C100-D100-E100</f>
        <v>14.473000000000013</v>
      </c>
      <c r="G100" s="12">
        <v>107.614</v>
      </c>
      <c r="H100" s="12">
        <v>17.154</v>
      </c>
      <c r="I100" s="6">
        <f>I101*(1+I102)</f>
        <v>38.076499999999996</v>
      </c>
      <c r="J100" s="13" t="s">
        <v>161</v>
      </c>
    </row>
    <row r="101">
      <c r="A101" s="2"/>
      <c r="B101" s="8" t="s">
        <v>107</v>
      </c>
      <c r="C101" s="12">
        <v>11.503</v>
      </c>
      <c r="D101" s="12">
        <v>24.56</v>
      </c>
      <c r="E101" s="12">
        <v>41.16</v>
      </c>
      <c r="F101" s="17">
        <f>G101-C101-D101-E101</f>
        <v>15.028000000000006</v>
      </c>
      <c r="G101" s="12">
        <v>92.251</v>
      </c>
      <c r="H101" s="17">
        <f>C100</f>
        <v>12.734</v>
      </c>
      <c r="I101" s="6">
        <f>D100</f>
        <v>33.11</v>
      </c>
      <c r="J101" s="13"/>
    </row>
    <row r="102">
      <c r="A102" s="2"/>
      <c r="B102" s="28" t="s">
        <v>113</v>
      </c>
      <c r="C102" s="4">
        <f>IFERROR(IF(C101&gt;0,C100/C101-1,"n/a"),"n/a")</f>
        <v>0.10701556115795885</v>
      </c>
      <c r="D102" s="4">
        <f>IFERROR(IF(D101&gt;0,D100/D101-1,"n/a"),"n/a")</f>
        <v>0.348127035830619</v>
      </c>
      <c r="E102" s="4">
        <f>IFERROR(IF(E101&gt;0,E100/E101-1,"n/a"),"n/a")</f>
        <v>0.1491010689990282</v>
      </c>
      <c r="F102" s="4">
        <f>IFERROR(IF(F101&gt;0,F100/F101-1,"n/a"),"n/a")</f>
        <v>-0.036931062017566685</v>
      </c>
      <c r="G102" s="4">
        <f>IFERROR(IF(G101&gt;0,G100/G101-1,"n/a"),"n/a")</f>
        <v>0.1665347801107846</v>
      </c>
      <c r="H102" s="4">
        <f>IFERROR(IF(H101&gt;0,H100/H101-1,"n/a"),"n/a")</f>
        <v>0.34710224595570915</v>
      </c>
      <c r="I102" s="52">
        <v>0.15</v>
      </c>
      <c r="J102" s="13"/>
    </row>
    <row r="103">
      <c r="A103" s="2"/>
      <c r="B103" s="8" t="s">
        <v>115</v>
      </c>
      <c r="C103" s="17" t="s">
        <v>37</v>
      </c>
      <c r="D103" s="17">
        <f>IFERROR(D100-C100,"n/a")</f>
        <v>20.375999999999998</v>
      </c>
      <c r="E103" s="17">
        <f>IFERROR(E100-D100,"n/a")</f>
        <v>14.186999999999998</v>
      </c>
      <c r="F103" s="17">
        <f>IFERROR(F100-E100,"n/a")</f>
        <v>-32.823999999999984</v>
      </c>
      <c r="G103" s="17" t="s">
        <v>37</v>
      </c>
      <c r="H103" s="17">
        <f>IFERROR(H100-F100,"n/a")</f>
        <v>2.6809999999999867</v>
      </c>
      <c r="I103" s="6">
        <f>IFERROR(I100-H100,"n/a")</f>
        <v>20.922499999999996</v>
      </c>
      <c r="J103" s="13"/>
    </row>
    <row r="104">
      <c r="A104" s="2"/>
      <c r="B104" s="28" t="s">
        <v>187</v>
      </c>
      <c r="C104" s="4">
        <f>IFERROR(C100/C26,"n/a")</f>
        <v>0.04803615348633682</v>
      </c>
      <c r="D104" s="4">
        <f>IFERROR(D100/D26,"n/a")</f>
        <v>0.04358947691311199</v>
      </c>
      <c r="E104" s="4">
        <f>IFERROR(E100/E26,"n/a")</f>
        <v>0.0362297248128076</v>
      </c>
      <c r="F104" s="4">
        <f>IFERROR(F100/F26,"n/a")</f>
        <v>0.03542060283306092</v>
      </c>
      <c r="G104" s="4">
        <f>IFERROR(G100/G26,"n/a")</f>
        <v>0.03929299339335568</v>
      </c>
      <c r="H104" s="4">
        <f>IFERROR(H100/H26,"n/a")</f>
        <v>0.061694161820398566</v>
      </c>
      <c r="I104" s="23">
        <f>IFERROR(I100/I26,"n/a")</f>
        <v>0.047709156691084394</v>
      </c>
      <c r="J104" s="13"/>
    </row>
    <row r="105">
      <c r="A105" s="2"/>
      <c r="B105" s="1" t="s">
        <v>127</v>
      </c>
      <c r="C105" s="83">
        <f>IFERROR((C100/C26-C101/C27)*10000,"n/a")</f>
        <v>-35.58143018276297</v>
      </c>
      <c r="D105" s="83">
        <f>IFERROR((D100/D26-D101/D27)*10000,"n/a")</f>
        <v>79.88308568580814</v>
      </c>
      <c r="E105" s="83">
        <f>IFERROR((E100/E26-E101/E27)*10000,"n/a")</f>
        <v>31.479341845348856</v>
      </c>
      <c r="F105" s="83">
        <f>IFERROR((F100/F26-F101/F27)*10000,"n/a")</f>
        <v>-47.24076153758757</v>
      </c>
      <c r="G105" s="83">
        <f>IFERROR((G100/G26-G101/G27)*10000,"n/a")</f>
        <v>28.496080232509325</v>
      </c>
      <c r="H105" s="83">
        <f>IFERROR((H100/H26-H101/H27)*10000,"n/a")</f>
        <v>136.58008334061742</v>
      </c>
      <c r="I105" s="86">
        <f>IFERROR((I100/I26-I101/I27)*10000,"n/a")</f>
        <v>41.19679777972403</v>
      </c>
      <c r="J105" s="13"/>
    </row>
    <row r="106">
      <c r="A106" s="2"/>
      <c r="B106" s="1" t="s">
        <v>128</v>
      </c>
      <c r="C106" s="83" t="s">
        <v>37</v>
      </c>
      <c r="D106" s="83">
        <f>IFERROR((D104-C104)*10000,"n/a")</f>
        <v>-44.46676573224832</v>
      </c>
      <c r="E106" s="83">
        <f>IFERROR((E104-D104)*10000,"n/a")</f>
        <v>-73.59752100304394</v>
      </c>
      <c r="F106" s="83">
        <f>IFERROR((F104-E104)*10000,"n/a")</f>
        <v>-8.091219797466756</v>
      </c>
      <c r="G106" s="83" t="s">
        <v>37</v>
      </c>
      <c r="H106" s="83">
        <f>IFERROR((H104-F104)*10000,"n/a")</f>
        <v>262.73558987337645</v>
      </c>
      <c r="I106" s="86">
        <f>IFERROR((I104-H104)*10000,"n/a")</f>
        <v>-139.85005129314172</v>
      </c>
      <c r="J106" s="13"/>
    </row>
    <row r="107">
      <c r="A107" s="2"/>
      <c r="B107" s="27" t="s">
        <v>192</v>
      </c>
      <c r="C107" s="3">
        <f>C72+C79+C86+C93+C100</f>
        <v>85.341</v>
      </c>
      <c r="D107" s="3">
        <f>D72+D79+D86+D93+D100</f>
        <v>149.26600000000002</v>
      </c>
      <c r="E107" s="3">
        <f>E72+E79+E86+E93+E100</f>
        <v>218.992</v>
      </c>
      <c r="F107" s="3">
        <f>F72+F79+F86+F93+F100</f>
        <v>124.23999999999998</v>
      </c>
      <c r="G107" s="3">
        <f>G72+G79+G86+G93+G100</f>
        <v>577.839</v>
      </c>
      <c r="H107" s="3">
        <f>H72+H79+H86+H93+H100</f>
        <v>98.738</v>
      </c>
      <c r="I107" s="59">
        <f>I72+I79+I86+I93+I100</f>
        <v>166.96218</v>
      </c>
      <c r="J107" s="13"/>
    </row>
    <row r="108">
      <c r="A108" s="2"/>
      <c r="B108" s="8" t="s">
        <v>107</v>
      </c>
      <c r="C108" s="17">
        <f>C73+C80+C87+C94+C101</f>
        <v>73.373</v>
      </c>
      <c r="D108" s="17">
        <f>D73+D80+D87+D94+D101</f>
        <v>126.213</v>
      </c>
      <c r="E108" s="17">
        <f>E73+E80+E87+E94+E101</f>
        <v>194.589</v>
      </c>
      <c r="F108" s="17">
        <f>F73+F80+F87+F94+F101</f>
        <v>110.808</v>
      </c>
      <c r="G108" s="17">
        <f>G73+G80+G87+G94+G101</f>
        <v>504.98299999999995</v>
      </c>
      <c r="H108" s="17">
        <f>H73+H80+H87+H94+H101</f>
        <v>85.341</v>
      </c>
      <c r="I108" s="6">
        <f>I73+I80+I87+I94+I101</f>
        <v>149.26600000000002</v>
      </c>
      <c r="J108" s="13"/>
    </row>
    <row r="109">
      <c r="A109" s="2"/>
      <c r="B109" s="28" t="s">
        <v>113</v>
      </c>
      <c r="C109" s="4">
        <f>IFERROR(IF(C108&gt;0,C107/C108-1,"n/a"),"n/a")</f>
        <v>0.16311177136003696</v>
      </c>
      <c r="D109" s="4">
        <f>IFERROR(IF(D108&gt;0,D107/D108-1,"n/a"),"n/a")</f>
        <v>0.18265154936496253</v>
      </c>
      <c r="E109" s="4">
        <f>IFERROR(IF(E108&gt;0,E107/E108-1,"n/a"),"n/a")</f>
        <v>0.12540791103299775</v>
      </c>
      <c r="F109" s="4">
        <f>IFERROR(IF(F108&gt;0,F107/F108-1,"n/a"),"n/a")</f>
        <v>0.12121868457151086</v>
      </c>
      <c r="G109" s="4">
        <f>IFERROR(IF(G108&gt;0,G107/G108-1,"n/a"),"n/a")</f>
        <v>0.14427416368471824</v>
      </c>
      <c r="H109" s="4">
        <f>IFERROR(IF(H108&gt;0,H107/H108-1,"n/a"),"n/a")</f>
        <v>0.15698198989934498</v>
      </c>
      <c r="I109" s="23">
        <f>IFERROR(IF(I108&gt;0,I107/I108-1,"n/a"),"n/a")</f>
        <v>0.11855466080688148</v>
      </c>
      <c r="J109" s="13"/>
    </row>
    <row r="110">
      <c r="A110" s="2"/>
      <c r="B110" s="8" t="s">
        <v>115</v>
      </c>
      <c r="C110" s="17" t="s">
        <v>37</v>
      </c>
      <c r="D110" s="17">
        <f>IFERROR(D107-C107,"n/a")</f>
        <v>63.925000000000026</v>
      </c>
      <c r="E110" s="17">
        <f>IFERROR(E107-D107,"n/a")</f>
        <v>69.72599999999997</v>
      </c>
      <c r="F110" s="17">
        <f>IFERROR(F107-E107,"n/a")</f>
        <v>-94.75200000000001</v>
      </c>
      <c r="G110" s="17" t="s">
        <v>37</v>
      </c>
      <c r="H110" s="17">
        <f>IFERROR(H107-F107,"n/a")</f>
        <v>-25.50199999999998</v>
      </c>
      <c r="I110" s="6">
        <f>IFERROR(I107-H107,"n/a")</f>
        <v>68.22417999999999</v>
      </c>
      <c r="J110" s="13"/>
    </row>
    <row r="111">
      <c r="A111" s="2"/>
      <c r="B111" s="28" t="s">
        <v>193</v>
      </c>
      <c r="C111" s="4">
        <f>IFERROR(C107/C26,"n/a")</f>
        <v>0.3219297451450817</v>
      </c>
      <c r="D111" s="4">
        <f>IFERROR(D107/D26,"n/a")</f>
        <v>0.19650941893423665</v>
      </c>
      <c r="E111" s="4">
        <f>IFERROR(E107/E26,"n/a")</f>
        <v>0.16774890365575748</v>
      </c>
      <c r="F111" s="4">
        <f>IFERROR(F107/F26,"n/a")</f>
        <v>0.3040596763614651</v>
      </c>
      <c r="G111" s="4">
        <f>IFERROR(G107/G26,"n/a")</f>
        <v>0.21098578260656842</v>
      </c>
      <c r="H111" s="4">
        <f>IFERROR(H107/H26,"n/a")</f>
        <v>0.35511007052713733</v>
      </c>
      <c r="I111" s="23">
        <f>IFERROR(I107/I26,"n/a")</f>
        <v>0.20920055170787855</v>
      </c>
      <c r="J111" s="13"/>
    </row>
    <row r="112">
      <c r="A112" s="2"/>
      <c r="B112" s="1" t="s">
        <v>127</v>
      </c>
      <c r="C112" s="83">
        <f>IFERROR((C107/C26-C108/C27)*10000,"n/a")</f>
        <v>-71.69473965844053</v>
      </c>
      <c r="D112" s="83">
        <f>IFERROR((D107/D26-D108/D27)*10000,"n/a")</f>
        <v>135.56232441227166</v>
      </c>
      <c r="E112" s="83">
        <f>IFERROR((E107/E26-E108/E27)*10000,"n/a")</f>
        <v>113.50639404908131</v>
      </c>
      <c r="F112" s="83">
        <f>IFERROR((F107/F26-F108/F27)*10000,"n/a")</f>
        <v>80.5544498193933</v>
      </c>
      <c r="G112" s="83">
        <f>IFERROR((G107/G26-G108/G27)*10000,"n/a")</f>
        <v>114.94285773454405</v>
      </c>
      <c r="H112" s="83">
        <f>IFERROR((H107/H26-H108/H27)*10000,"n/a")</f>
        <v>331.8032538205562</v>
      </c>
      <c r="I112" s="86">
        <f>IFERROR((I107/I26-I108/I27)*10000,"n/a")</f>
        <v>126.91132773641894</v>
      </c>
      <c r="J112" s="13"/>
    </row>
    <row r="113">
      <c r="A113" s="2"/>
      <c r="B113" s="1" t="s">
        <v>128</v>
      </c>
      <c r="C113" s="83" t="s">
        <v>37</v>
      </c>
      <c r="D113" s="83">
        <f>IFERROR((D111-C111)*10000,"n/a")</f>
        <v>-1254.2032621084506</v>
      </c>
      <c r="E113" s="83">
        <f>IFERROR((E111-D111)*10000,"n/a")</f>
        <v>-287.6051527847917</v>
      </c>
      <c r="F113" s="83">
        <f>IFERROR((F111-E111)*10000,"n/a")</f>
        <v>1363.107727057076</v>
      </c>
      <c r="G113" s="83" t="s">
        <v>37</v>
      </c>
      <c r="H113" s="83">
        <f>IFERROR((H111-F111)*10000,"n/a")</f>
        <v>510.50394165672253</v>
      </c>
      <c r="I113" s="86">
        <f>IFERROR((I111-H111)*10000,"n/a")</f>
        <v>-1459.0951881925878</v>
      </c>
      <c r="J113" s="13"/>
    </row>
    <row r="114">
      <c r="A114" s="2"/>
      <c r="B114" s="27" t="s">
        <v>194</v>
      </c>
      <c r="C114" s="3">
        <f>C65-C107</f>
        <v>53.98299999999999</v>
      </c>
      <c r="D114" s="3">
        <f>D65-D107</f>
        <v>272.27299999999997</v>
      </c>
      <c r="E114" s="3">
        <f>E65-E107</f>
        <v>589.929</v>
      </c>
      <c r="F114" s="3">
        <f>F65-F107</f>
        <v>129.14599999999976</v>
      </c>
      <c r="G114" s="3">
        <f>G65-G107</f>
        <v>1045.3309999999997</v>
      </c>
      <c r="H114" s="3">
        <f>H65-H107</f>
        <v>54.01399999999998</v>
      </c>
      <c r="I114" s="59">
        <f>I65-I107</f>
        <v>266.40409461</v>
      </c>
      <c r="J114" s="13" t="s">
        <v>195</v>
      </c>
    </row>
    <row r="115">
      <c r="A115" s="2"/>
      <c r="B115" s="8" t="s">
        <v>107</v>
      </c>
      <c r="C115" s="17">
        <f>C66-C108</f>
        <v>45.885999999999996</v>
      </c>
      <c r="D115" s="17">
        <f>D66-D108</f>
        <v>252.347</v>
      </c>
      <c r="E115" s="17">
        <f>E66-E108</f>
        <v>588.8620000000001</v>
      </c>
      <c r="F115" s="17">
        <f>F66-F108</f>
        <v>115.77800000000012</v>
      </c>
      <c r="G115" s="17">
        <f>G66-G108</f>
        <v>1002.8729999999998</v>
      </c>
      <c r="H115" s="17">
        <f>H66-H108</f>
        <v>53.98299999999999</v>
      </c>
      <c r="I115" s="6">
        <f>I66-I108</f>
        <v>272.27299999999997</v>
      </c>
      <c r="J115" s="13"/>
    </row>
    <row r="116">
      <c r="A116" s="2"/>
      <c r="B116" s="28" t="s">
        <v>113</v>
      </c>
      <c r="C116" s="4">
        <f>IFERROR(IF(C115&gt;0,C114/C115-1,"n/a"),"n/a")</f>
        <v>0.17645905069084233</v>
      </c>
      <c r="D116" s="4">
        <f>IFERROR(IF(D115&gt;0,D114/D115-1,"n/a"),"n/a")</f>
        <v>0.07896269818939783</v>
      </c>
      <c r="E116" s="4">
        <f>IFERROR(IF(E115&gt;0,E114/E115-1,"n/a"),"n/a")</f>
        <v>0.0018119695276650472</v>
      </c>
      <c r="F116" s="4">
        <f>IFERROR(IF(F115&gt;0,F114/F115-1,"n/a"),"n/a")</f>
        <v>0.11546235036016883</v>
      </c>
      <c r="G116" s="4">
        <f>IFERROR(IF(G115&gt;0,G114/G115-1,"n/a"),"n/a")</f>
        <v>0.042336367615839476</v>
      </c>
      <c r="H116" s="4">
        <f>IFERROR(IF(H115&gt;0,H114/H115-1,"n/a"),"n/a")</f>
        <v>0.0005742548580107698</v>
      </c>
      <c r="I116" s="23">
        <f>IFERROR(IF(I115&gt;0,I114/I115-1,"n/a"),"n/a")</f>
        <v>-0.02155522358074413</v>
      </c>
      <c r="J116" s="13"/>
    </row>
    <row r="117">
      <c r="A117" s="2"/>
      <c r="B117" s="8" t="s">
        <v>115</v>
      </c>
      <c r="C117" s="17" t="s">
        <v>37</v>
      </c>
      <c r="D117" s="17">
        <f>IFERROR(D114-C114,"n/a")</f>
        <v>218.28999999999996</v>
      </c>
      <c r="E117" s="17">
        <f>IFERROR(E114-D114,"n/a")</f>
        <v>317.656</v>
      </c>
      <c r="F117" s="17">
        <f>IFERROR(F114-E114,"n/a")</f>
        <v>-460.78300000000024</v>
      </c>
      <c r="G117" s="17" t="s">
        <v>37</v>
      </c>
      <c r="H117" s="17">
        <f>IFERROR(H114-F114,"n/a")</f>
        <v>-75.13199999999978</v>
      </c>
      <c r="I117" s="6">
        <f>IFERROR(I114-H114,"n/a")</f>
        <v>212.39009461000003</v>
      </c>
      <c r="J117" s="13"/>
    </row>
    <row r="118">
      <c r="A118" s="2"/>
      <c r="B118" s="28" t="s">
        <v>196</v>
      </c>
      <c r="C118" s="4">
        <f>IFERROR(C114/C26,"n/a")</f>
        <v>0.20363873674045235</v>
      </c>
      <c r="D118" s="4">
        <f>IFERROR(D114/D26,"n/a")</f>
        <v>0.35844873595782967</v>
      </c>
      <c r="E118" s="4">
        <f>IFERROR(E114/E26,"n/a")</f>
        <v>0.45188839311361767</v>
      </c>
      <c r="F118" s="4">
        <f>IFERROR(F114/F26,"n/a")</f>
        <v>0.31606641148887393</v>
      </c>
      <c r="G118" s="4">
        <f>IFERROR(G114/G26,"n/a")</f>
        <v>0.3816806742326265</v>
      </c>
      <c r="H118" s="4">
        <f>IFERROR(H114/H26,"n/a")</f>
        <v>0.19426072382925308</v>
      </c>
      <c r="I118" s="23">
        <f>IFERROR(I114/I26,"n/a")</f>
        <v>0.3337994482921215</v>
      </c>
      <c r="J118" s="13"/>
    </row>
    <row r="119">
      <c r="A119" s="2"/>
      <c r="B119" s="1" t="s">
        <v>127</v>
      </c>
      <c r="C119" s="83">
        <f>IFERROR((C114/C26-C115/C27)*10000,"n/a")</f>
        <v>-21.73302676280464</v>
      </c>
      <c r="D119" s="83">
        <f>IFERROR((D114/D26-D115/D27)*10000,"n/a")</f>
        <v>-73.43121869426372</v>
      </c>
      <c r="E119" s="83">
        <f>IFERROR((E114/E26-E115/E27)*10000,"n/a")</f>
        <v>-214.01436646973414</v>
      </c>
      <c r="F119" s="83">
        <f>IFERROR((F114/F26-F115/F27)*10000,"n/a")</f>
        <v>67.85692581766423</v>
      </c>
      <c r="G119" s="83">
        <f>IFERROR((G114/G26-G115/G27)*10000,"n/a")</f>
        <v>-145.0025839978991</v>
      </c>
      <c r="H119" s="83">
        <f>IFERROR((H114/H26-H115/H27)*10000,"n/a")</f>
        <v>-93.78012911199274</v>
      </c>
      <c r="I119" s="86">
        <f>IFERROR((I114/I26-I115/I27)*10000,"n/a")</f>
        <v>-246.49287665708175</v>
      </c>
      <c r="J119" s="13"/>
    </row>
    <row r="120">
      <c r="A120" s="2"/>
      <c r="B120" s="1" t="s">
        <v>128</v>
      </c>
      <c r="C120" s="83" t="s">
        <v>37</v>
      </c>
      <c r="D120" s="83">
        <f>IFERROR((D118-C118)*10000,"n/a")</f>
        <v>1548.0999921737732</v>
      </c>
      <c r="E120" s="83">
        <f>IFERROR((E118-D118)*10000,"n/a")</f>
        <v>934.3965715578801</v>
      </c>
      <c r="F120" s="83">
        <f>IFERROR((F118-E118)*10000,"n/a")</f>
        <v>-1358.2198162474374</v>
      </c>
      <c r="G120" s="83" t="s">
        <v>37</v>
      </c>
      <c r="H120" s="83">
        <f>IFERROR((H118-F118)*10000,"n/a")</f>
        <v>-1218.0568765962084</v>
      </c>
      <c r="I120" s="86">
        <f>IFERROR((I118-H118)*10000,"n/a")</f>
        <v>1395.3872446286841</v>
      </c>
      <c r="J120" s="13"/>
    </row>
    <row r="121">
      <c r="A121" s="2"/>
      <c r="B121" s="18"/>
      <c r="C121" s="5"/>
      <c r="D121" s="5"/>
      <c r="E121" s="5"/>
      <c r="F121" s="5"/>
      <c r="G121" s="5"/>
      <c r="H121" s="5"/>
      <c r="I121" s="9"/>
      <c r="J121" s="13"/>
    </row>
    <row r="122">
      <c r="A122" s="2"/>
      <c r="B122" s="18"/>
      <c r="C122" s="5"/>
      <c r="D122" s="5"/>
      <c r="E122" s="5"/>
      <c r="F122" s="5"/>
      <c r="G122" s="5"/>
      <c r="H122" s="5"/>
      <c r="I122" s="9"/>
      <c r="J122" s="1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J10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201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159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160</v>
      </c>
      <c r="C10" s="12">
        <v>32.341</v>
      </c>
      <c r="D10" s="12">
        <v>26.734</v>
      </c>
      <c r="E10" s="12">
        <v>18.36</v>
      </c>
      <c r="F10" s="17">
        <f>G10-C10-D10-E10</f>
        <v>34.192</v>
      </c>
      <c r="G10" s="12">
        <v>111.627</v>
      </c>
      <c r="H10" s="12">
        <v>25.733</v>
      </c>
      <c r="I10" s="6">
        <f>I11*(1+I12)</f>
        <v>12.0303</v>
      </c>
      <c r="J10" s="13" t="s">
        <v>161</v>
      </c>
    </row>
    <row r="11">
      <c r="A11" s="2"/>
      <c r="B11" s="8" t="s">
        <v>107</v>
      </c>
      <c r="C11" s="12">
        <v>39.497</v>
      </c>
      <c r="D11" s="12">
        <v>38.908</v>
      </c>
      <c r="E11" s="12">
        <v>42.589</v>
      </c>
      <c r="F11" s="17">
        <f>G11-C11-D11-E11</f>
        <v>54.776000000000025</v>
      </c>
      <c r="G11" s="12">
        <v>175.77</v>
      </c>
      <c r="H11" s="17">
        <f>C10</f>
        <v>32.341</v>
      </c>
      <c r="I11" s="6">
        <f>D10</f>
        <v>26.734</v>
      </c>
      <c r="J11" s="13"/>
    </row>
    <row r="12">
      <c r="A12" s="2"/>
      <c r="B12" s="28" t="s">
        <v>113</v>
      </c>
      <c r="C12" s="4">
        <f>IFERROR(IF(C11&gt;0,C10/C11-1,"n/a"),"n/a")</f>
        <v>-0.18117831734055745</v>
      </c>
      <c r="D12" s="4">
        <f>IFERROR(IF(D11&gt;0,D10/D11-1,"n/a"),"n/a")</f>
        <v>-0.31289195024159555</v>
      </c>
      <c r="E12" s="4">
        <f>IFERROR(IF(E11&gt;0,E10/E11-1,"n/a"),"n/a")</f>
        <v>-0.5689027683204584</v>
      </c>
      <c r="F12" s="4">
        <f>IFERROR(IF(F11&gt;0,F10/F11-1,"n/a"),"n/a")</f>
        <v>-0.3757850153351836</v>
      </c>
      <c r="G12" s="4">
        <f>IFERROR(IF(G11&gt;0,G10/G11-1,"n/a"),"n/a")</f>
        <v>-0.3649257552483359</v>
      </c>
      <c r="H12" s="4">
        <f>IFERROR(IF(H11&gt;0,H10/H11-1,"n/a"),"n/a")</f>
        <v>-0.20432268637333417</v>
      </c>
      <c r="I12" s="52">
        <v>-0.55</v>
      </c>
      <c r="J12" s="13" t="s">
        <v>162</v>
      </c>
    </row>
    <row r="13">
      <c r="A13" s="2"/>
      <c r="B13" s="8" t="s">
        <v>115</v>
      </c>
      <c r="C13" s="17" t="s">
        <v>37</v>
      </c>
      <c r="D13" s="17">
        <f>IFERROR(D10-C10,"n/a")</f>
        <v>-5.606999999999999</v>
      </c>
      <c r="E13" s="17">
        <f>IFERROR(E10-D10,"n/a")</f>
        <v>-8.374000000000002</v>
      </c>
      <c r="F13" s="17">
        <f>IFERROR(F10-E10,"n/a")</f>
        <v>15.832</v>
      </c>
      <c r="G13" s="17" t="s">
        <v>37</v>
      </c>
      <c r="H13" s="17">
        <f>IFERROR(H10-F10,"n/a")</f>
        <v>-8.459</v>
      </c>
      <c r="I13" s="6">
        <f>IFERROR(I10-H10,"n/a")</f>
        <v>-13.7027</v>
      </c>
      <c r="J13" s="13"/>
    </row>
    <row r="14">
      <c r="A14" s="2"/>
      <c r="B14" s="1" t="s">
        <v>118</v>
      </c>
      <c r="C14" s="4" t="s">
        <v>37</v>
      </c>
      <c r="D14" s="4" t="s">
        <v>37</v>
      </c>
      <c r="E14" s="20">
        <v>0</v>
      </c>
      <c r="F14" s="20">
        <v>0</v>
      </c>
      <c r="G14" s="4" t="s">
        <v>37</v>
      </c>
      <c r="H14" s="20">
        <v>0</v>
      </c>
      <c r="I14" s="52">
        <v>0</v>
      </c>
      <c r="J14" s="13"/>
    </row>
    <row r="15">
      <c r="A15" s="2"/>
      <c r="B15" s="1" t="s">
        <v>120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23" t="s">
        <v>37</v>
      </c>
      <c r="J15" s="13"/>
    </row>
    <row r="16">
      <c r="A16" s="2"/>
      <c r="B16" s="1" t="s">
        <v>122</v>
      </c>
      <c r="C16" s="4" t="str">
        <f>IFERROR((1+C12)/((1+C14)*(1+C15))-1,"n/a")</f>
        <v>n/a</v>
      </c>
      <c r="D16" s="4" t="str">
        <f>IFERROR((1+D12)/((1+D14)*(1+D15))-1,"n/a")</f>
        <v>n/a</v>
      </c>
      <c r="E16" s="4" t="str">
        <f>IFERROR((1+E12)/((1+E14)*(1+E15))-1,"n/a")</f>
        <v>n/a</v>
      </c>
      <c r="F16" s="4" t="str">
        <f>IFERROR((1+F12)/((1+F14)*(1+F15))-1,"n/a")</f>
        <v>n/a</v>
      </c>
      <c r="G16" s="4" t="str">
        <f>IFERROR((1+G12)/((1+G14)*(1+G15))-1,"n/a")</f>
        <v>n/a</v>
      </c>
      <c r="H16" s="4" t="str">
        <f>IFERROR((1+H12)/((1+H14)*(1+H15))-1,"n/a")</f>
        <v>n/a</v>
      </c>
      <c r="I16" s="23" t="str">
        <f>IFERROR((1+I12)/((1+I14)*(1+I15))-1,"n/a")</f>
        <v>n/a</v>
      </c>
      <c r="J16" s="13"/>
    </row>
    <row r="17">
      <c r="A17" s="2"/>
      <c r="B17" s="1" t="s">
        <v>123</v>
      </c>
      <c r="C17" s="4">
        <f>C12</f>
        <v>-0.18117831734055745</v>
      </c>
      <c r="D17" s="4">
        <f>D12</f>
        <v>-0.31289195024159555</v>
      </c>
      <c r="E17" s="4">
        <f>E12</f>
        <v>-0.5689027683204584</v>
      </c>
      <c r="F17" s="4">
        <f>F12</f>
        <v>-0.3757850153351836</v>
      </c>
      <c r="G17" s="4">
        <f>G12</f>
        <v>-0.3649257552483359</v>
      </c>
      <c r="H17" s="4">
        <f>H12</f>
        <v>-0.20432268637333417</v>
      </c>
      <c r="I17" s="23">
        <f>I12</f>
        <v>-0.55</v>
      </c>
      <c r="J17" s="13"/>
    </row>
    <row r="18">
      <c r="A18" s="2"/>
      <c r="B18" s="18" t="s">
        <v>163</v>
      </c>
      <c r="C18" s="12">
        <v>13.986</v>
      </c>
      <c r="D18" s="12">
        <v>10.433</v>
      </c>
      <c r="E18" s="12">
        <v>4.832</v>
      </c>
      <c r="F18" s="17">
        <f>G18-C18-D18-E18</f>
        <v>5.330000000000003</v>
      </c>
      <c r="G18" s="12">
        <v>34.581</v>
      </c>
      <c r="H18" s="12">
        <v>12.211</v>
      </c>
      <c r="I18" s="6">
        <f>I19*(1+I20)</f>
        <v>6.57279</v>
      </c>
      <c r="J18" s="13" t="s">
        <v>161</v>
      </c>
    </row>
    <row r="19">
      <c r="A19" s="2"/>
      <c r="B19" s="8" t="s">
        <v>107</v>
      </c>
      <c r="C19" s="12">
        <v>17.721</v>
      </c>
      <c r="D19" s="12">
        <v>11.651</v>
      </c>
      <c r="E19" s="12">
        <v>9.479</v>
      </c>
      <c r="F19" s="17">
        <f>G19-C19-D19-E19</f>
        <v>6.550000000000004</v>
      </c>
      <c r="G19" s="12">
        <v>45.401</v>
      </c>
      <c r="H19" s="17">
        <f>C18</f>
        <v>13.986</v>
      </c>
      <c r="I19" s="6">
        <f>D18</f>
        <v>10.433</v>
      </c>
      <c r="J19" s="13"/>
    </row>
    <row r="20">
      <c r="A20" s="2"/>
      <c r="B20" s="28" t="s">
        <v>113</v>
      </c>
      <c r="C20" s="4">
        <f>IFERROR(IF(C19&gt;0,C18/C19-1,"n/a"),"n/a")</f>
        <v>-0.21076688674454036</v>
      </c>
      <c r="D20" s="4">
        <f>IFERROR(IF(D19&gt;0,D18/D19-1,"n/a"),"n/a")</f>
        <v>-0.10454038279975963</v>
      </c>
      <c r="E20" s="4">
        <f>IFERROR(IF(E19&gt;0,E18/E19-1,"n/a"),"n/a")</f>
        <v>-0.4902415866652601</v>
      </c>
      <c r="F20" s="4">
        <f>IFERROR(IF(F19&gt;0,F18/F19-1,"n/a"),"n/a")</f>
        <v>-0.18625954198473293</v>
      </c>
      <c r="G20" s="4">
        <f>IFERROR(IF(G19&gt;0,G18/G19-1,"n/a"),"n/a")</f>
        <v>-0.2383207418338803</v>
      </c>
      <c r="H20" s="4">
        <f>IFERROR(IF(H19&gt;0,H18/H19-1,"n/a"),"n/a")</f>
        <v>-0.12691262691262695</v>
      </c>
      <c r="I20" s="52">
        <v>-0.37</v>
      </c>
      <c r="J20" s="13" t="s">
        <v>162</v>
      </c>
    </row>
    <row r="21">
      <c r="A21" s="2"/>
      <c r="B21" s="8" t="s">
        <v>115</v>
      </c>
      <c r="C21" s="17" t="s">
        <v>37</v>
      </c>
      <c r="D21" s="17">
        <f>IFERROR(D18-C18,"n/a")</f>
        <v>-3.553000000000001</v>
      </c>
      <c r="E21" s="17">
        <f>IFERROR(E18-D18,"n/a")</f>
        <v>-5.601</v>
      </c>
      <c r="F21" s="17">
        <f>IFERROR(F18-E18,"n/a")</f>
        <v>0.4980000000000029</v>
      </c>
      <c r="G21" s="17" t="s">
        <v>37</v>
      </c>
      <c r="H21" s="17">
        <f>IFERROR(H18-F18,"n/a")</f>
        <v>6.880999999999998</v>
      </c>
      <c r="I21" s="6">
        <f>IFERROR(I18-H18,"n/a")</f>
        <v>-5.63821</v>
      </c>
      <c r="J21" s="13"/>
    </row>
    <row r="22">
      <c r="A22" s="2"/>
      <c r="B22" s="1" t="s">
        <v>118</v>
      </c>
      <c r="C22" s="4" t="s">
        <v>37</v>
      </c>
      <c r="D22" s="4" t="s">
        <v>37</v>
      </c>
      <c r="E22" s="20">
        <v>0</v>
      </c>
      <c r="F22" s="20">
        <v>0</v>
      </c>
      <c r="G22" s="4" t="s">
        <v>37</v>
      </c>
      <c r="H22" s="20">
        <v>0</v>
      </c>
      <c r="I22" s="52">
        <v>0</v>
      </c>
      <c r="J22" s="13"/>
    </row>
    <row r="23">
      <c r="A23" s="2"/>
      <c r="B23" s="1" t="s">
        <v>120</v>
      </c>
      <c r="C23" s="4" t="s">
        <v>37</v>
      </c>
      <c r="D23" s="4" t="s">
        <v>37</v>
      </c>
      <c r="E23" s="4" t="s">
        <v>37</v>
      </c>
      <c r="F23" s="4" t="s">
        <v>37</v>
      </c>
      <c r="G23" s="4" t="s">
        <v>37</v>
      </c>
      <c r="H23" s="4" t="s">
        <v>37</v>
      </c>
      <c r="I23" s="23" t="s">
        <v>37</v>
      </c>
      <c r="J23" s="13"/>
    </row>
    <row r="24">
      <c r="A24" s="2"/>
      <c r="B24" s="1" t="s">
        <v>122</v>
      </c>
      <c r="C24" s="4" t="str">
        <f>IFERROR((1+C20)/((1+C22)*(1+C23))-1,"n/a")</f>
        <v>n/a</v>
      </c>
      <c r="D24" s="4" t="str">
        <f>IFERROR((1+D20)/((1+D22)*(1+D23))-1,"n/a")</f>
        <v>n/a</v>
      </c>
      <c r="E24" s="4" t="str">
        <f>IFERROR((1+E20)/((1+E22)*(1+E23))-1,"n/a")</f>
        <v>n/a</v>
      </c>
      <c r="F24" s="4" t="str">
        <f>IFERROR((1+F20)/((1+F22)*(1+F23))-1,"n/a")</f>
        <v>n/a</v>
      </c>
      <c r="G24" s="4" t="str">
        <f>IFERROR((1+G20)/((1+G22)*(1+G23))-1,"n/a")</f>
        <v>n/a</v>
      </c>
      <c r="H24" s="4" t="str">
        <f>IFERROR((1+H20)/((1+H22)*(1+H23))-1,"n/a")</f>
        <v>n/a</v>
      </c>
      <c r="I24" s="23" t="str">
        <f>IFERROR((1+I20)/((1+I22)*(1+I23))-1,"n/a")</f>
        <v>n/a</v>
      </c>
      <c r="J24" s="13"/>
    </row>
    <row r="25">
      <c r="A25" s="2"/>
      <c r="B25" s="1" t="s">
        <v>123</v>
      </c>
      <c r="C25" s="4">
        <f>C20</f>
        <v>-0.21076688674454036</v>
      </c>
      <c r="D25" s="4">
        <f>D20</f>
        <v>-0.10454038279975963</v>
      </c>
      <c r="E25" s="4">
        <f>E20</f>
        <v>-0.4902415866652601</v>
      </c>
      <c r="F25" s="4">
        <f>F20</f>
        <v>-0.18625954198473293</v>
      </c>
      <c r="G25" s="4">
        <f>G20</f>
        <v>-0.2383207418338803</v>
      </c>
      <c r="H25" s="4">
        <f>H20</f>
        <v>-0.12691262691262695</v>
      </c>
      <c r="I25" s="23">
        <f>I20</f>
        <v>-0.37</v>
      </c>
      <c r="J25" s="13"/>
    </row>
    <row r="26">
      <c r="A26" s="2"/>
      <c r="B26" s="27" t="s">
        <v>202</v>
      </c>
      <c r="C26" s="3">
        <f>C10+C18</f>
        <v>46.327</v>
      </c>
      <c r="D26" s="3">
        <f>D10+D18</f>
        <v>37.167</v>
      </c>
      <c r="E26" s="3">
        <f>E10+E18</f>
        <v>23.192</v>
      </c>
      <c r="F26" s="3">
        <f>F10+F18</f>
        <v>39.522000000000006</v>
      </c>
      <c r="G26" s="3">
        <f>G10+G18</f>
        <v>146.208</v>
      </c>
      <c r="H26" s="3">
        <f>H10+H18</f>
        <v>37.944</v>
      </c>
      <c r="I26" s="59">
        <f>I10+I18</f>
        <v>18.60309</v>
      </c>
      <c r="J26" s="13"/>
    </row>
    <row r="27">
      <c r="A27" s="2"/>
      <c r="B27" s="8" t="s">
        <v>107</v>
      </c>
      <c r="C27" s="17">
        <f>C11+C19</f>
        <v>57.218</v>
      </c>
      <c r="D27" s="17">
        <f>D11+D19</f>
        <v>50.559</v>
      </c>
      <c r="E27" s="17">
        <f>E11+E19</f>
        <v>52.068</v>
      </c>
      <c r="F27" s="17">
        <f>F11+F19</f>
        <v>61.32600000000003</v>
      </c>
      <c r="G27" s="17">
        <f>G11+G19</f>
        <v>221.17100000000002</v>
      </c>
      <c r="H27" s="17">
        <f>H11+H19</f>
        <v>46.327</v>
      </c>
      <c r="I27" s="6">
        <f>I11+I19</f>
        <v>37.167</v>
      </c>
      <c r="J27" s="13"/>
    </row>
    <row r="28">
      <c r="A28" s="2"/>
      <c r="B28" s="28" t="s">
        <v>113</v>
      </c>
      <c r="C28" s="4">
        <f>IFERROR(IF(C27&gt;0,C26/C27-1,"n/a"),"n/a")</f>
        <v>-0.19034220000699087</v>
      </c>
      <c r="D28" s="4">
        <f>IFERROR(IF(D27&gt;0,D26/D27-1,"n/a"),"n/a")</f>
        <v>-0.26487865661899956</v>
      </c>
      <c r="E28" s="4">
        <f>IFERROR(IF(E27&gt;0,E26/E27-1,"n/a"),"n/a")</f>
        <v>-0.5545824690788967</v>
      </c>
      <c r="F28" s="4">
        <f>IFERROR(IF(F27&gt;0,F26/F27-1,"n/a"),"n/a")</f>
        <v>-0.35554251051756214</v>
      </c>
      <c r="G28" s="4">
        <f>IFERROR(IF(G27&gt;0,G26/G27-1,"n/a"),"n/a")</f>
        <v>-0.3389368407250499</v>
      </c>
      <c r="H28" s="4">
        <f>IFERROR(IF(H27&gt;0,H26/H27-1,"n/a"),"n/a")</f>
        <v>-0.18095279210827375</v>
      </c>
      <c r="I28" s="23">
        <f>IFERROR(IF(I27&gt;0,I26/I27-1,"n/a"),"n/a")</f>
        <v>-0.4994729195253854</v>
      </c>
      <c r="J28" s="13"/>
    </row>
    <row r="29">
      <c r="A29" s="2"/>
      <c r="B29" s="8" t="s">
        <v>115</v>
      </c>
      <c r="C29" s="17" t="s">
        <v>37</v>
      </c>
      <c r="D29" s="17">
        <f>IFERROR(D26-C26,"n/a")</f>
        <v>-9.159999999999997</v>
      </c>
      <c r="E29" s="17">
        <f>IFERROR(E26-D26,"n/a")</f>
        <v>-13.975000000000001</v>
      </c>
      <c r="F29" s="17">
        <f>IFERROR(F26-E26,"n/a")</f>
        <v>16.330000000000005</v>
      </c>
      <c r="G29" s="17" t="s">
        <v>37</v>
      </c>
      <c r="H29" s="17">
        <f>IFERROR(H26-F26,"n/a")</f>
        <v>-1.578000000000003</v>
      </c>
      <c r="I29" s="6">
        <f>IFERROR(I26-H26,"n/a")</f>
        <v>-19.34091</v>
      </c>
      <c r="J29" s="13"/>
    </row>
    <row r="30">
      <c r="A30" s="2"/>
      <c r="B30" s="28" t="s">
        <v>114</v>
      </c>
      <c r="C30" s="4" t="s">
        <v>37</v>
      </c>
      <c r="D30" s="4">
        <f>IFERROR(IF(C26&gt;0,D26/C26-1,"n/a"),"n/a")</f>
        <v>-0.19772486886696738</v>
      </c>
      <c r="E30" s="4">
        <f>IFERROR(IF(D26&gt;0,E26/D26-1,"n/a"),"n/a")</f>
        <v>-0.3760055963623645</v>
      </c>
      <c r="F30" s="4">
        <f>IFERROR(IF(E26&gt;0,F26/E26-1,"n/a"),"n/a")</f>
        <v>0.704122111072784</v>
      </c>
      <c r="G30" s="4" t="s">
        <v>37</v>
      </c>
      <c r="H30" s="4">
        <f>IFERROR(IF(F26&gt;0,H26/F26-1,"n/a"),"n/a")</f>
        <v>-0.03992712919386676</v>
      </c>
      <c r="I30" s="23">
        <f>IFERROR(IF(H26&gt;0,I26/H26-1,"n/a"),"n/a")</f>
        <v>-0.509722485768501</v>
      </c>
      <c r="J30" s="13"/>
    </row>
    <row r="31">
      <c r="A31" s="2"/>
      <c r="B31" s="28" t="s">
        <v>165</v>
      </c>
      <c r="C31" s="58">
        <f>C26/'Revenue summary'!C16</f>
        <v>0.048030248678642</v>
      </c>
      <c r="D31" s="58">
        <f>D26/'Revenue summary'!D16</f>
        <v>0.025975650666741217</v>
      </c>
      <c r="E31" s="58">
        <f>E26/'Revenue summary'!E16</f>
        <v>0.011847468441402999</v>
      </c>
      <c r="F31" s="58">
        <f>F26/'Revenue summary'!F16</f>
        <v>0.03530739193241908</v>
      </c>
      <c r="G31" s="58">
        <f>G26/'Revenue summary'!G16</f>
        <v>0.02671785298163696</v>
      </c>
      <c r="H31" s="58">
        <f>H26/'Revenue summary'!H16</f>
        <v>0.03721711257431114</v>
      </c>
      <c r="I31" s="96">
        <f>I26/'Revenue summary'!I16</f>
        <v>0.012390299623209634</v>
      </c>
      <c r="J31" s="13"/>
    </row>
    <row r="32">
      <c r="A32" s="2"/>
      <c r="B32" s="1" t="s">
        <v>118</v>
      </c>
      <c r="C32" s="4" t="s">
        <v>37</v>
      </c>
      <c r="D32" s="4" t="s">
        <v>37</v>
      </c>
      <c r="E32" s="20">
        <v>0</v>
      </c>
      <c r="F32" s="20">
        <v>0</v>
      </c>
      <c r="G32" s="4" t="s">
        <v>37</v>
      </c>
      <c r="H32" s="20">
        <v>0</v>
      </c>
      <c r="I32" s="52">
        <v>0</v>
      </c>
      <c r="J32" s="13"/>
    </row>
    <row r="33">
      <c r="A33" s="2"/>
      <c r="B33" s="1" t="s">
        <v>120</v>
      </c>
      <c r="C33" s="4" t="s">
        <v>37</v>
      </c>
      <c r="D33" s="4" t="s">
        <v>37</v>
      </c>
      <c r="E33" s="4" t="s">
        <v>37</v>
      </c>
      <c r="F33" s="4" t="s">
        <v>37</v>
      </c>
      <c r="G33" s="4" t="s">
        <v>37</v>
      </c>
      <c r="H33" s="4" t="s">
        <v>37</v>
      </c>
      <c r="I33" s="23" t="s">
        <v>37</v>
      </c>
      <c r="J33" s="13"/>
    </row>
    <row r="34">
      <c r="A34" s="2"/>
      <c r="B34" s="1" t="s">
        <v>122</v>
      </c>
      <c r="C34" s="4" t="str">
        <f>IFERROR((1+C28)/((1+C32)*(1+C33))-1,"n/a")</f>
        <v>n/a</v>
      </c>
      <c r="D34" s="4" t="str">
        <f>IFERROR((1+D28)/((1+D32)*(1+D33))-1,"n/a")</f>
        <v>n/a</v>
      </c>
      <c r="E34" s="4" t="str">
        <f>IFERROR((1+E28)/((1+E32)*(1+E33))-1,"n/a")</f>
        <v>n/a</v>
      </c>
      <c r="F34" s="4" t="str">
        <f>IFERROR((1+F28)/((1+F32)*(1+F33))-1,"n/a")</f>
        <v>n/a</v>
      </c>
      <c r="G34" s="4" t="str">
        <f>IFERROR((1+G28)/((1+G32)*(1+G33))-1,"n/a")</f>
        <v>n/a</v>
      </c>
      <c r="H34" s="4" t="str">
        <f>IFERROR((1+H28)/((1+H32)*(1+H33))-1,"n/a")</f>
        <v>n/a</v>
      </c>
      <c r="I34" s="23" t="str">
        <f>IFERROR((1+I28)/((1+I32)*(1+I33))-1,"n/a")</f>
        <v>n/a</v>
      </c>
      <c r="J34" s="13"/>
    </row>
    <row r="35">
      <c r="A35" s="2"/>
      <c r="B35" s="1" t="s">
        <v>123</v>
      </c>
      <c r="C35" s="4">
        <f>C28</f>
        <v>-0.19034220000699087</v>
      </c>
      <c r="D35" s="4">
        <f>D28</f>
        <v>-0.26487865661899956</v>
      </c>
      <c r="E35" s="4">
        <f>E28</f>
        <v>-0.5545824690788967</v>
      </c>
      <c r="F35" s="4">
        <f>F28</f>
        <v>-0.35554251051756214</v>
      </c>
      <c r="G35" s="4">
        <f>G28</f>
        <v>-0.3389368407250499</v>
      </c>
      <c r="H35" s="4">
        <f>H28</f>
        <v>-0.18095279210827375</v>
      </c>
      <c r="I35" s="23">
        <f>I28</f>
        <v>-0.4994729195253854</v>
      </c>
      <c r="J35" s="13"/>
    </row>
    <row r="36">
      <c r="A36" s="2"/>
      <c r="B36" s="1" t="s">
        <v>127</v>
      </c>
      <c r="C36" s="97">
        <f>IFERROR((C31-C27/'Revenue summary'!C17)*10000,"n/a")</f>
        <v>-212.9574390387179</v>
      </c>
      <c r="D36" s="97">
        <f>IFERROR((D31-D27/'Revenue summary'!D17)*10000,"n/a")</f>
        <v>-125.80155696312805</v>
      </c>
      <c r="E36" s="97">
        <f>IFERROR((E31-E27/'Revenue summary'!E17)*10000,"n/a")</f>
        <v>-166.49136955482334</v>
      </c>
      <c r="F36" s="97">
        <f>IFERROR((F31-F27/'Revenue summary'!F17)*10000,"n/a")</f>
        <v>-247.11398805313132</v>
      </c>
      <c r="G36" s="97">
        <f>IFERROR((G31-G27/'Revenue summary'!G17)*10000,"n/a")</f>
        <v>-176.4400269425599</v>
      </c>
      <c r="H36" s="97">
        <f>IFERROR((H31-H27/'Revenue summary'!H17)*10000,"n/a")</f>
        <v>-108.13136104330864</v>
      </c>
      <c r="I36" s="102">
        <f>IFERROR((I31-I27/'Revenue summary'!I17)*10000,"n/a")</f>
        <v>-135.85351043531583</v>
      </c>
      <c r="J36" s="13"/>
    </row>
    <row r="37">
      <c r="A37" s="2"/>
      <c r="B37" s="1" t="s">
        <v>128</v>
      </c>
      <c r="C37" s="83" t="s">
        <v>37</v>
      </c>
      <c r="D37" s="83">
        <f>IFERROR((D31-C31)*10000,"n/a")</f>
        <v>-220.54598011900785</v>
      </c>
      <c r="E37" s="83">
        <f>IFERROR((E31-D31)*10000,"n/a")</f>
        <v>-141.2818222533822</v>
      </c>
      <c r="F37" s="83">
        <f>IFERROR((F31-E31)*10000,"n/a")</f>
        <v>234.59923491016082</v>
      </c>
      <c r="G37" s="83" t="s">
        <v>37</v>
      </c>
      <c r="H37" s="83">
        <f>IFERROR((H31-F31)*10000,"n/a")</f>
        <v>19.09720641892057</v>
      </c>
      <c r="I37" s="86">
        <f>IFERROR((I31-H31)*10000,"n/a")</f>
        <v>-248.26812951101502</v>
      </c>
      <c r="J37" s="13"/>
    </row>
    <row r="38">
      <c r="A38" s="2"/>
      <c r="B38" s="28" t="s">
        <v>166</v>
      </c>
      <c r="C38" s="4">
        <f>IFERROR(C18/C26,"n/a")</f>
        <v>0.30189738165648544</v>
      </c>
      <c r="D38" s="4">
        <f>IFERROR(D18/D26,"n/a")</f>
        <v>0.2807060026367476</v>
      </c>
      <c r="E38" s="4">
        <f>IFERROR(E18/E26,"n/a")</f>
        <v>0.20834770610555364</v>
      </c>
      <c r="F38" s="4">
        <f>IFERROR(F18/F26,"n/a")</f>
        <v>0.13486159607307327</v>
      </c>
      <c r="G38" s="4">
        <f>IFERROR(G18/G26,"n/a")</f>
        <v>0.2365192055154301</v>
      </c>
      <c r="H38" s="4">
        <f>IFERROR(H18/H26,"n/a")</f>
        <v>0.3218163609529833</v>
      </c>
      <c r="I38" s="23">
        <f>IFERROR(I18/I26,"n/a")</f>
        <v>0.3533171102220115</v>
      </c>
      <c r="J38" s="13" t="s">
        <v>167</v>
      </c>
    </row>
    <row r="39">
      <c r="A39" s="2"/>
      <c r="B39" s="1" t="s">
        <v>127</v>
      </c>
      <c r="C39" s="83">
        <f>IFERROR((C18/C26-C19/C27)*10000,"n/a")</f>
        <v>-78.12849389688847</v>
      </c>
      <c r="D39" s="83">
        <f>IFERROR((D18/D26-D19/D27)*10000,"n/a")</f>
        <v>502.6236253310631</v>
      </c>
      <c r="E39" s="83">
        <f>IFERROR((E18/E26-E19/E27)*10000,"n/a")</f>
        <v>262.9731046907827</v>
      </c>
      <c r="F39" s="83">
        <f>IFERROR((F18/F26-F19/F27)*10000,"n/a")</f>
        <v>280.55347499874273</v>
      </c>
      <c r="G39" s="83">
        <f>IFERROR((G18/G26-G19/G27)*10000,"n/a")</f>
        <v>312.4364949768818</v>
      </c>
      <c r="H39" s="83">
        <f>IFERROR((H18/H26-H19/H27)*10000,"n/a")</f>
        <v>199.18979296497886</v>
      </c>
      <c r="I39" s="86">
        <f>IFERROR((I18/I26-I19/I27)*10000,"n/a")</f>
        <v>726.111075852639</v>
      </c>
      <c r="J39" s="13"/>
    </row>
    <row r="40">
      <c r="A40" s="2"/>
      <c r="B40" s="1" t="s">
        <v>128</v>
      </c>
      <c r="C40" s="83" t="s">
        <v>37</v>
      </c>
      <c r="D40" s="83">
        <f>IFERROR((D38-C38)*10000,"n/a")</f>
        <v>-211.91379019737832</v>
      </c>
      <c r="E40" s="83">
        <f>IFERROR((E38-D38)*10000,"n/a")</f>
        <v>-723.5829653119397</v>
      </c>
      <c r="F40" s="83">
        <f>IFERROR((F38-E38)*10000,"n/a")</f>
        <v>-734.8611003248037</v>
      </c>
      <c r="G40" s="83" t="s">
        <v>37</v>
      </c>
      <c r="H40" s="83">
        <f>IFERROR((H38-F38)*10000,"n/a")</f>
        <v>1869.5476487991007</v>
      </c>
      <c r="I40" s="86">
        <f>IFERROR((I38-H38)*10000,"n/a")</f>
        <v>315.0074926902818</v>
      </c>
      <c r="J40" s="13"/>
    </row>
    <row r="41">
      <c r="A41" s="2"/>
      <c r="B41" s="28" t="s">
        <v>168</v>
      </c>
      <c r="C41" s="4">
        <f>IFERROR(C10/C26,"n/a")</f>
        <v>0.6981026183435146</v>
      </c>
      <c r="D41" s="4">
        <f>IFERROR(D10/D26,"n/a")</f>
        <v>0.7192939973632524</v>
      </c>
      <c r="E41" s="4">
        <f>IFERROR(E10/E26,"n/a")</f>
        <v>0.7916522938944464</v>
      </c>
      <c r="F41" s="4">
        <f>IFERROR(F10/F26,"n/a")</f>
        <v>0.8651384039269266</v>
      </c>
      <c r="G41" s="4">
        <f>IFERROR(G10/G26,"n/a")</f>
        <v>0.76348079448457</v>
      </c>
      <c r="H41" s="4">
        <f>IFERROR(H10/H26,"n/a")</f>
        <v>0.6781836390470166</v>
      </c>
      <c r="I41" s="23">
        <f>IFERROR(I10/I26,"n/a")</f>
        <v>0.6466828897779885</v>
      </c>
      <c r="J41" s="13"/>
    </row>
    <row r="42">
      <c r="A42" s="2"/>
      <c r="B42" s="1" t="s">
        <v>127</v>
      </c>
      <c r="C42" s="83">
        <f>IFERROR((C10/C26-C11/C27)*10000,"n/a")</f>
        <v>78.12849389688958</v>
      </c>
      <c r="D42" s="83">
        <f>IFERROR((D10/D26-D11/D27)*10000,"n/a")</f>
        <v>-502.6236253310634</v>
      </c>
      <c r="E42" s="83">
        <f>IFERROR((E10/E26-E11/E27)*10000,"n/a")</f>
        <v>-262.9731046907824</v>
      </c>
      <c r="F42" s="83">
        <f>IFERROR((F10/F26-F11/F27)*10000,"n/a")</f>
        <v>-280.5534749987437</v>
      </c>
      <c r="G42" s="83">
        <f>IFERROR((G10/G26-G11/G27)*10000,"n/a")</f>
        <v>-312.43649497688097</v>
      </c>
      <c r="H42" s="83">
        <f>IFERROR((H10/H26-H11/H27)*10000,"n/a")</f>
        <v>-199.18979296497997</v>
      </c>
      <c r="I42" s="86">
        <f>IFERROR((I10/I26-I11/I27)*10000,"n/a")</f>
        <v>-726.111075852639</v>
      </c>
      <c r="J42" s="13"/>
    </row>
    <row r="43">
      <c r="A43" s="2"/>
      <c r="B43" s="1" t="s">
        <v>128</v>
      </c>
      <c r="C43" s="83" t="s">
        <v>37</v>
      </c>
      <c r="D43" s="83">
        <f>IFERROR((D41-C41)*10000,"n/a")</f>
        <v>211.91379019737778</v>
      </c>
      <c r="E43" s="83">
        <f>IFERROR((E41-D41)*10000,"n/a")</f>
        <v>723.5829653119397</v>
      </c>
      <c r="F43" s="83">
        <f>IFERROR((F41-E41)*10000,"n/a")</f>
        <v>734.8611003248029</v>
      </c>
      <c r="G43" s="83" t="s">
        <v>37</v>
      </c>
      <c r="H43" s="83">
        <f>IFERROR((H41-F41)*10000,"n/a")</f>
        <v>-1869.5476487991002</v>
      </c>
      <c r="I43" s="86">
        <f>IFERROR((I41-H41)*10000,"n/a")</f>
        <v>-315.00749269028125</v>
      </c>
      <c r="J43" s="13"/>
    </row>
    <row r="44">
      <c r="A44" s="2"/>
      <c r="B44" s="18"/>
      <c r="C44" s="5"/>
      <c r="D44" s="5"/>
      <c r="E44" s="5"/>
      <c r="F44" s="5"/>
      <c r="G44" s="5"/>
      <c r="H44" s="5"/>
      <c r="I44" s="9"/>
      <c r="J44" s="13"/>
    </row>
    <row r="45">
      <c r="A45" s="2"/>
      <c r="B45" s="27" t="s">
        <v>181</v>
      </c>
      <c r="C45" s="15"/>
      <c r="D45" s="15"/>
      <c r="E45" s="15"/>
      <c r="F45" s="15"/>
      <c r="G45" s="15"/>
      <c r="H45" s="15"/>
      <c r="I45" s="41"/>
      <c r="J45" s="13"/>
    </row>
    <row r="46">
      <c r="A46" s="2"/>
      <c r="B46" s="18" t="s">
        <v>182</v>
      </c>
      <c r="C46" s="12">
        <v>24.692</v>
      </c>
      <c r="D46" s="12">
        <v>19.638</v>
      </c>
      <c r="E46" s="12">
        <v>14.957</v>
      </c>
      <c r="F46" s="17">
        <f>G46-C46-D46-E46</f>
        <v>23.300000000000004</v>
      </c>
      <c r="G46" s="12">
        <v>82.587</v>
      </c>
      <c r="H46" s="12">
        <v>17.947</v>
      </c>
      <c r="I46" s="6">
        <f>I26*(1-I54)</f>
        <v>10.0456686</v>
      </c>
      <c r="J46" s="13" t="s">
        <v>161</v>
      </c>
    </row>
    <row r="47">
      <c r="A47" s="2"/>
      <c r="B47" s="8" t="s">
        <v>107</v>
      </c>
      <c r="C47" s="12">
        <v>30.142</v>
      </c>
      <c r="D47" s="12">
        <v>29.608</v>
      </c>
      <c r="E47" s="12">
        <v>30.774</v>
      </c>
      <c r="F47" s="17">
        <f>G47-C47-D47-E47</f>
        <v>36.105999999999995</v>
      </c>
      <c r="G47" s="12">
        <v>126.63</v>
      </c>
      <c r="H47" s="17">
        <f>C46</f>
        <v>24.692</v>
      </c>
      <c r="I47" s="6">
        <f>D46</f>
        <v>19.638</v>
      </c>
      <c r="J47" s="13"/>
    </row>
    <row r="48">
      <c r="A48" s="2"/>
      <c r="B48" s="28" t="s">
        <v>113</v>
      </c>
      <c r="C48" s="4">
        <f>IFERROR(IF(C47&gt;0,C46/C47-1,"n/a"),"n/a")</f>
        <v>-0.18081082874394527</v>
      </c>
      <c r="D48" s="4">
        <f>IFERROR(IF(D47&gt;0,D46/D47-1,"n/a"),"n/a")</f>
        <v>-0.3367333153201837</v>
      </c>
      <c r="E48" s="4">
        <f>IFERROR(IF(E47&gt;0,E46/E47-1,"n/a"),"n/a")</f>
        <v>-0.5139728342106973</v>
      </c>
      <c r="F48" s="4">
        <f>IFERROR(IF(F47&gt;0,F46/F47-1,"n/a"),"n/a")</f>
        <v>-0.3546778928709907</v>
      </c>
      <c r="G48" s="4">
        <f>IFERROR(IF(G47&gt;0,G46/G47-1,"n/a"),"n/a")</f>
        <v>-0.34780857616678507</v>
      </c>
      <c r="H48" s="4">
        <f>IFERROR(IF(H47&gt;0,H46/H47-1,"n/a"),"n/a")</f>
        <v>-0.27316539769965986</v>
      </c>
      <c r="I48" s="23">
        <f>IFERROR(IF(I47&gt;0,I46/I47-1,"n/a"),"n/a")</f>
        <v>-0.4884576535288726</v>
      </c>
      <c r="J48" s="13"/>
    </row>
    <row r="49">
      <c r="A49" s="2"/>
      <c r="B49" s="8" t="s">
        <v>115</v>
      </c>
      <c r="C49" s="17" t="s">
        <v>37</v>
      </c>
      <c r="D49" s="17">
        <f>IFERROR(D46-C46,"n/a")</f>
        <v>-5.0539999999999985</v>
      </c>
      <c r="E49" s="17">
        <f>IFERROR(E46-D46,"n/a")</f>
        <v>-4.681000000000001</v>
      </c>
      <c r="F49" s="17">
        <f>IFERROR(F46-E46,"n/a")</f>
        <v>8.343000000000004</v>
      </c>
      <c r="G49" s="17" t="s">
        <v>37</v>
      </c>
      <c r="H49" s="17">
        <f>IFERROR(H46-F46,"n/a")</f>
        <v>-5.353000000000005</v>
      </c>
      <c r="I49" s="6">
        <f>IFERROR(I46-H46,"n/a")</f>
        <v>-7.901331399999998</v>
      </c>
      <c r="J49" s="13"/>
    </row>
    <row r="50">
      <c r="A50" s="2"/>
      <c r="B50" s="27" t="s">
        <v>183</v>
      </c>
      <c r="C50" s="3">
        <f>C26-C46</f>
        <v>21.634999999999998</v>
      </c>
      <c r="D50" s="3">
        <f>D26-D46</f>
        <v>17.529</v>
      </c>
      <c r="E50" s="3">
        <f>E26-E46</f>
        <v>8.235</v>
      </c>
      <c r="F50" s="3">
        <f>F26-F46</f>
        <v>16.222</v>
      </c>
      <c r="G50" s="3">
        <f>G26-G46</f>
        <v>63.620999999999995</v>
      </c>
      <c r="H50" s="3">
        <f>H26-H46</f>
        <v>19.997000000000003</v>
      </c>
      <c r="I50" s="59">
        <f>I26-I46</f>
        <v>8.5574214</v>
      </c>
      <c r="J50" s="13"/>
    </row>
    <row r="51">
      <c r="A51" s="2"/>
      <c r="B51" s="8" t="s">
        <v>107</v>
      </c>
      <c r="C51" s="17">
        <f>C27-C47</f>
        <v>27.076000000000004</v>
      </c>
      <c r="D51" s="17">
        <f>D27-D47</f>
        <v>20.950999999999997</v>
      </c>
      <c r="E51" s="17">
        <f>E27-E47</f>
        <v>21.293999999999997</v>
      </c>
      <c r="F51" s="17">
        <f>F27-F47</f>
        <v>25.220000000000034</v>
      </c>
      <c r="G51" s="17">
        <f>G27-G47</f>
        <v>94.54100000000003</v>
      </c>
      <c r="H51" s="17">
        <f>H27-H47</f>
        <v>21.634999999999998</v>
      </c>
      <c r="I51" s="6">
        <f>I27-I47</f>
        <v>17.529</v>
      </c>
      <c r="J51" s="13"/>
    </row>
    <row r="52">
      <c r="A52" s="2"/>
      <c r="B52" s="28" t="s">
        <v>113</v>
      </c>
      <c r="C52" s="4">
        <f>IFERROR(IF(C51&gt;0,C50/C51-1,"n/a"),"n/a")</f>
        <v>-0.20095287339341128</v>
      </c>
      <c r="D52" s="4">
        <f>IFERROR(IF(D51&gt;0,D50/D51-1,"n/a"),"n/a")</f>
        <v>-0.1633334924347285</v>
      </c>
      <c r="E52" s="4">
        <f>IFERROR(IF(E51&gt;0,E50/E51-1,"n/a"),"n/a")</f>
        <v>-0.6132713440405748</v>
      </c>
      <c r="F52" s="4">
        <f>IFERROR(IF(F51&gt;0,F50/F51-1,"n/a"),"n/a")</f>
        <v>-0.3567803330689937</v>
      </c>
      <c r="G52" s="4">
        <f>IFERROR(IF(G51&gt;0,G50/G51-1,"n/a"),"n/a")</f>
        <v>-0.3270538708073748</v>
      </c>
      <c r="H52" s="4">
        <f>IFERROR(IF(H51&gt;0,H50/H51-1,"n/a"),"n/a")</f>
        <v>-0.07571065403281696</v>
      </c>
      <c r="I52" s="23">
        <f>IFERROR(IF(I51&gt;0,I50/I51-1,"n/a"),"n/a")</f>
        <v>-0.5118134862228307</v>
      </c>
      <c r="J52" s="13"/>
    </row>
    <row r="53">
      <c r="A53" s="2"/>
      <c r="B53" s="8" t="s">
        <v>115</v>
      </c>
      <c r="C53" s="17" t="s">
        <v>37</v>
      </c>
      <c r="D53" s="17">
        <f>IFERROR(D50-C50,"n/a")</f>
        <v>-4.105999999999998</v>
      </c>
      <c r="E53" s="17">
        <f>IFERROR(E50-D50,"n/a")</f>
        <v>-9.294</v>
      </c>
      <c r="F53" s="17">
        <f>IFERROR(F50-E50,"n/a")</f>
        <v>7.987000000000002</v>
      </c>
      <c r="G53" s="17" t="s">
        <v>37</v>
      </c>
      <c r="H53" s="17">
        <f>IFERROR(H50-F50,"n/a")</f>
        <v>3.775000000000002</v>
      </c>
      <c r="I53" s="6">
        <f>IFERROR(I50-H50,"n/a")</f>
        <v>-11.439578600000003</v>
      </c>
      <c r="J53" s="13"/>
    </row>
    <row r="54">
      <c r="A54" s="2"/>
      <c r="B54" s="28" t="s">
        <v>184</v>
      </c>
      <c r="C54" s="4">
        <f>IFERROR(C50/C26,"n/a")</f>
        <v>0.46700628143415285</v>
      </c>
      <c r="D54" s="4">
        <f>IFERROR(D50/D26,"n/a")</f>
        <v>0.4716280571474695</v>
      </c>
      <c r="E54" s="4">
        <f>IFERROR(E50/E26,"n/a")</f>
        <v>0.35507933770265604</v>
      </c>
      <c r="F54" s="4">
        <f>IFERROR(F50/F26,"n/a")</f>
        <v>0.41045493649106823</v>
      </c>
      <c r="G54" s="4">
        <f>IFERROR(G50/G26,"n/a")</f>
        <v>0.43514034799737356</v>
      </c>
      <c r="H54" s="4">
        <f>IFERROR(H50/H26,"n/a")</f>
        <v>0.5270134935694708</v>
      </c>
      <c r="I54" s="52">
        <v>0.46</v>
      </c>
      <c r="J54" s="13" t="s">
        <v>185</v>
      </c>
    </row>
    <row r="55">
      <c r="A55" s="2"/>
      <c r="B55" s="1" t="s">
        <v>127</v>
      </c>
      <c r="C55" s="83">
        <f>IFERROR((C50/C26-C51/C27)*10000,"n/a")</f>
        <v>-62.01450398487296</v>
      </c>
      <c r="D55" s="83">
        <f>IFERROR((D50/D26-D51/D27)*10000,"n/a")</f>
        <v>572.4090550285632</v>
      </c>
      <c r="E55" s="83">
        <f>IFERROR((E50/E26-E51/E27)*10000,"n/a")</f>
        <v>-538.8586165203396</v>
      </c>
      <c r="F55" s="83">
        <f>IFERROR((F50/F26-F51/F27)*10000,"n/a")</f>
        <v>-7.898862594784006</v>
      </c>
      <c r="G55" s="83">
        <f>IFERROR((G50/G26-G51/G27)*10000,"n/a")</f>
        <v>76.83764629752955</v>
      </c>
      <c r="H55" s="83">
        <f>IFERROR((H50/H26-H51/H27)*10000,"n/a")</f>
        <v>600.0721213531796</v>
      </c>
      <c r="I55" s="86">
        <f>IFERROR((I50/I26-I51/I27)*10000,"n/a")</f>
        <v>-116.28057147469507</v>
      </c>
      <c r="J55" s="13"/>
    </row>
    <row r="56">
      <c r="A56" s="2"/>
      <c r="B56" s="1" t="s">
        <v>128</v>
      </c>
      <c r="C56" s="83" t="s">
        <v>37</v>
      </c>
      <c r="D56" s="83">
        <f>IFERROR((D54-C54)*10000,"n/a")</f>
        <v>46.217757133166785</v>
      </c>
      <c r="E56" s="83">
        <f>IFERROR((E54-D54)*10000,"n/a")</f>
        <v>-1165.487194448135</v>
      </c>
      <c r="F56" s="83">
        <f>IFERROR((F54-E54)*10000,"n/a")</f>
        <v>553.755987884122</v>
      </c>
      <c r="G56" s="83" t="s">
        <v>37</v>
      </c>
      <c r="H56" s="83">
        <f>IFERROR((H54-F54)*10000,"n/a")</f>
        <v>1165.5855707840258</v>
      </c>
      <c r="I56" s="86">
        <f>IFERROR((I54-H54)*10000,"n/a")</f>
        <v>-670.1349356947078</v>
      </c>
      <c r="J56" s="13"/>
    </row>
    <row r="57">
      <c r="A57" s="2"/>
      <c r="B57" s="18" t="s">
        <v>186</v>
      </c>
      <c r="C57" s="12">
        <v>4.532</v>
      </c>
      <c r="D57" s="12">
        <v>4.453</v>
      </c>
      <c r="E57" s="12">
        <v>4.586</v>
      </c>
      <c r="F57" s="17">
        <f>G57-C57-D57-E57</f>
        <v>4.746</v>
      </c>
      <c r="G57" s="12">
        <v>18.317</v>
      </c>
      <c r="H57" s="12">
        <v>4.758</v>
      </c>
      <c r="I57" s="6">
        <f>I58*(1+I59)</f>
        <v>4.453</v>
      </c>
      <c r="J57" s="13" t="s">
        <v>161</v>
      </c>
    </row>
    <row r="58">
      <c r="A58" s="2"/>
      <c r="B58" s="8" t="s">
        <v>107</v>
      </c>
      <c r="C58" s="12">
        <v>4.194</v>
      </c>
      <c r="D58" s="12">
        <v>4.74</v>
      </c>
      <c r="E58" s="12">
        <v>4.228</v>
      </c>
      <c r="F58" s="17">
        <f>G58-C58-D58-E58</f>
        <v>5.0169999999999995</v>
      </c>
      <c r="G58" s="12">
        <v>18.179</v>
      </c>
      <c r="H58" s="17">
        <f>C57</f>
        <v>4.532</v>
      </c>
      <c r="I58" s="6">
        <f>D57</f>
        <v>4.453</v>
      </c>
      <c r="J58" s="13"/>
    </row>
    <row r="59">
      <c r="A59" s="2"/>
      <c r="B59" s="28" t="s">
        <v>113</v>
      </c>
      <c r="C59" s="4">
        <f>IFERROR(IF(C58&gt;0,C57/C58-1,"n/a"),"n/a")</f>
        <v>0.0805913209346687</v>
      </c>
      <c r="D59" s="4">
        <f>IFERROR(IF(D58&gt;0,D57/D58-1,"n/a"),"n/a")</f>
        <v>-0.06054852320675108</v>
      </c>
      <c r="E59" s="4">
        <f>IFERROR(IF(E58&gt;0,E57/E58-1,"n/a"),"n/a")</f>
        <v>0.08467360454115425</v>
      </c>
      <c r="F59" s="4">
        <f>IFERROR(IF(F58&gt;0,F57/F58-1,"n/a"),"n/a")</f>
        <v>-0.05401634442894143</v>
      </c>
      <c r="G59" s="4">
        <f>IFERROR(IF(G58&gt;0,G57/G58-1,"n/a"),"n/a")</f>
        <v>0.007591176632378183</v>
      </c>
      <c r="H59" s="4">
        <f>IFERROR(IF(H58&gt;0,H57/H58-1,"n/a"),"n/a")</f>
        <v>0.04986760812003532</v>
      </c>
      <c r="I59" s="52">
        <v>0</v>
      </c>
      <c r="J59" s="13"/>
    </row>
    <row r="60">
      <c r="A60" s="2"/>
      <c r="B60" s="8" t="s">
        <v>115</v>
      </c>
      <c r="C60" s="17" t="s">
        <v>37</v>
      </c>
      <c r="D60" s="17">
        <f>IFERROR(D57-C57,"n/a")</f>
        <v>-0.07899999999999974</v>
      </c>
      <c r="E60" s="17">
        <f>IFERROR(E57-D57,"n/a")</f>
        <v>0.133</v>
      </c>
      <c r="F60" s="17">
        <f>IFERROR(F57-E57,"n/a")</f>
        <v>0.16000000000000014</v>
      </c>
      <c r="G60" s="17" t="s">
        <v>37</v>
      </c>
      <c r="H60" s="17">
        <f>IFERROR(H57-F57,"n/a")</f>
        <v>0.011999999999999567</v>
      </c>
      <c r="I60" s="6">
        <f>IFERROR(I57-H57,"n/a")</f>
        <v>-0.3049999999999997</v>
      </c>
      <c r="J60" s="13"/>
    </row>
    <row r="61">
      <c r="A61" s="2"/>
      <c r="B61" s="28" t="s">
        <v>187</v>
      </c>
      <c r="C61" s="4">
        <f>IFERROR(C57/C26,"n/a")</f>
        <v>0.0978263215835258</v>
      </c>
      <c r="D61" s="4">
        <f>IFERROR(D57/D26,"n/a")</f>
        <v>0.11981058465843356</v>
      </c>
      <c r="E61" s="4">
        <f>IFERROR(E57/E26,"n/a")</f>
        <v>0.19774060020696793</v>
      </c>
      <c r="F61" s="4">
        <f>IFERROR(F57/F26,"n/a")</f>
        <v>0.12008501594048883</v>
      </c>
      <c r="G61" s="4">
        <f>IFERROR(G57/G26,"n/a")</f>
        <v>0.12528042241190632</v>
      </c>
      <c r="H61" s="4">
        <f>IFERROR(H57/H26,"n/a")</f>
        <v>0.12539531941808982</v>
      </c>
      <c r="I61" s="23">
        <f>IFERROR(I57/I26,"n/a")</f>
        <v>0.23936883603745399</v>
      </c>
      <c r="J61" s="13"/>
    </row>
    <row r="62">
      <c r="A62" s="2"/>
      <c r="B62" s="1" t="s">
        <v>127</v>
      </c>
      <c r="C62" s="83">
        <f>IFERROR((C57/C26-C58/C27)*10000,"n/a")</f>
        <v>245.27709258732918</v>
      </c>
      <c r="D62" s="83">
        <f>IFERROR((D57/D26-D58/D27)*10000,"n/a")</f>
        <v>260.5873038916398</v>
      </c>
      <c r="E62" s="83">
        <f>IFERROR((E57/E26-E58/E27)*10000,"n/a")</f>
        <v>1165.39094483683</v>
      </c>
      <c r="F62" s="83">
        <f>IFERROR((F57/F26-F58/F27)*10000,"n/a")</f>
        <v>382.763214226661</v>
      </c>
      <c r="G62" s="83">
        <f>IFERROR((G57/G26-G58/G27)*10000,"n/a")</f>
        <v>430.86102180049534</v>
      </c>
      <c r="H62" s="83">
        <f>IFERROR((H57/H26-H58/H27)*10000,"n/a")</f>
        <v>275.68997834564016</v>
      </c>
      <c r="I62" s="86">
        <f>IFERROR((I57/I26-I58/I27)*10000,"n/a")</f>
        <v>1195.5825137902043</v>
      </c>
      <c r="J62" s="13"/>
    </row>
    <row r="63">
      <c r="A63" s="2"/>
      <c r="B63" s="1" t="s">
        <v>128</v>
      </c>
      <c r="C63" s="83" t="s">
        <v>37</v>
      </c>
      <c r="D63" s="83">
        <f>IFERROR((D61-C61)*10000,"n/a")</f>
        <v>219.8426307490775</v>
      </c>
      <c r="E63" s="83">
        <f>IFERROR((E61-D61)*10000,"n/a")</f>
        <v>779.3001554853438</v>
      </c>
      <c r="F63" s="83">
        <f>IFERROR((F61-E61)*10000,"n/a")</f>
        <v>-776.555842664791</v>
      </c>
      <c r="G63" s="83" t="s">
        <v>37</v>
      </c>
      <c r="H63" s="83">
        <f>IFERROR((H61-F61)*10000,"n/a")</f>
        <v>53.10303477600989</v>
      </c>
      <c r="I63" s="86">
        <f>IFERROR((I61-H61)*10000,"n/a")</f>
        <v>1139.7351661936416</v>
      </c>
      <c r="J63" s="13"/>
    </row>
    <row r="64">
      <c r="A64" s="2"/>
      <c r="B64" s="18" t="s">
        <v>188</v>
      </c>
      <c r="C64" s="12">
        <v>6.208</v>
      </c>
      <c r="D64" s="12">
        <v>4.91</v>
      </c>
      <c r="E64" s="12">
        <v>2.288</v>
      </c>
      <c r="F64" s="17">
        <f>G64-C64-D64-E64</f>
        <v>3.9659999999999997</v>
      </c>
      <c r="G64" s="12">
        <v>17.372</v>
      </c>
      <c r="H64" s="12">
        <v>7.042</v>
      </c>
      <c r="I64" s="6">
        <f>I65*(1+I66)</f>
        <v>3.437</v>
      </c>
      <c r="J64" s="13" t="s">
        <v>161</v>
      </c>
    </row>
    <row r="65">
      <c r="A65" s="2"/>
      <c r="B65" s="8" t="s">
        <v>107</v>
      </c>
      <c r="C65" s="12">
        <v>7.323</v>
      </c>
      <c r="D65" s="12">
        <v>6.893</v>
      </c>
      <c r="E65" s="12">
        <v>6.121</v>
      </c>
      <c r="F65" s="17">
        <f>G65-C65-D65-E65</f>
        <v>4.734</v>
      </c>
      <c r="G65" s="12">
        <v>25.071</v>
      </c>
      <c r="H65" s="17">
        <f>C64</f>
        <v>6.208</v>
      </c>
      <c r="I65" s="6">
        <f>D64</f>
        <v>4.91</v>
      </c>
      <c r="J65" s="13"/>
    </row>
    <row r="66">
      <c r="A66" s="2"/>
      <c r="B66" s="28" t="s">
        <v>113</v>
      </c>
      <c r="C66" s="4">
        <f>IFERROR(IF(C65&gt;0,C64/C65-1,"n/a"),"n/a")</f>
        <v>-0.15226000273112117</v>
      </c>
      <c r="D66" s="4">
        <f>IFERROR(IF(D65&gt;0,D64/D65-1,"n/a"),"n/a")</f>
        <v>-0.2876831568257652</v>
      </c>
      <c r="E66" s="4">
        <f>IFERROR(IF(E65&gt;0,E64/E65-1,"n/a"),"n/a")</f>
        <v>-0.6262048684855417</v>
      </c>
      <c r="F66" s="4">
        <f>IFERROR(IF(F65&gt;0,F64/F65-1,"n/a"),"n/a")</f>
        <v>-0.16223067173637518</v>
      </c>
      <c r="G66" s="4">
        <f>IFERROR(IF(G65&gt;0,G64/G65-1,"n/a"),"n/a")</f>
        <v>-0.30708787044792796</v>
      </c>
      <c r="H66" s="4">
        <f>IFERROR(IF(H65&gt;0,H64/H65-1,"n/a"),"n/a")</f>
        <v>0.1343427835051545</v>
      </c>
      <c r="I66" s="52">
        <v>-0.3</v>
      </c>
      <c r="J66" s="13"/>
    </row>
    <row r="67">
      <c r="A67" s="2"/>
      <c r="B67" s="8" t="s">
        <v>115</v>
      </c>
      <c r="C67" s="17" t="s">
        <v>37</v>
      </c>
      <c r="D67" s="17">
        <f>IFERROR(D64-C64,"n/a")</f>
        <v>-1.298</v>
      </c>
      <c r="E67" s="17">
        <f>IFERROR(E64-D64,"n/a")</f>
        <v>-2.6220000000000003</v>
      </c>
      <c r="F67" s="17">
        <f>IFERROR(F64-E64,"n/a")</f>
        <v>1.678</v>
      </c>
      <c r="G67" s="17" t="s">
        <v>37</v>
      </c>
      <c r="H67" s="17">
        <f>IFERROR(H64-F64,"n/a")</f>
        <v>3.076</v>
      </c>
      <c r="I67" s="6">
        <f>IFERROR(I64-H64,"n/a")</f>
        <v>-3.605</v>
      </c>
      <c r="J67" s="13"/>
    </row>
    <row r="68">
      <c r="A68" s="2"/>
      <c r="B68" s="28" t="s">
        <v>187</v>
      </c>
      <c r="C68" s="4">
        <f>IFERROR(C64/C26,"n/a")</f>
        <v>0.1340039285945561</v>
      </c>
      <c r="D68" s="4">
        <f>IFERROR(D64/D26,"n/a")</f>
        <v>0.13210643850727796</v>
      </c>
      <c r="E68" s="4">
        <f>IFERROR(E64/E26,"n/a")</f>
        <v>0.09865470852017937</v>
      </c>
      <c r="F68" s="4">
        <f>IFERROR(F64/F26,"n/a")</f>
        <v>0.10034917261272201</v>
      </c>
      <c r="G68" s="4">
        <f>IFERROR(G64/G26,"n/a")</f>
        <v>0.11881702779601663</v>
      </c>
      <c r="H68" s="4">
        <f>IFERROR(H64/H26,"n/a")</f>
        <v>0.18558928947923253</v>
      </c>
      <c r="I68" s="23">
        <f>IFERROR(I64/I26,"n/a")</f>
        <v>0.1847542531912709</v>
      </c>
      <c r="J68" s="13"/>
    </row>
    <row r="69">
      <c r="A69" s="2"/>
      <c r="B69" s="1" t="s">
        <v>127</v>
      </c>
      <c r="C69" s="83">
        <f>IFERROR((C64/C26-C65/C27)*10000,"n/a")</f>
        <v>60.19727818576514</v>
      </c>
      <c r="D69" s="83">
        <f>IFERROR((D64/D26-D65/D27)*10000,"n/a")</f>
        <v>-42.29327627337048</v>
      </c>
      <c r="E69" s="83">
        <f>IFERROR((E64/E26-E65/E27)*10000,"n/a")</f>
        <v>-189.0310049879583</v>
      </c>
      <c r="F69" s="83">
        <f>IFERROR((F64/F26-F65/F27)*10000,"n/a")</f>
        <v>231.5516028516114</v>
      </c>
      <c r="G69" s="83">
        <f>IFERROR((G64/G26-G65/G27)*10000,"n/a")</f>
        <v>54.612985186701515</v>
      </c>
      <c r="H69" s="83">
        <f>IFERROR((H64/H26-H65/H27)*10000,"n/a")</f>
        <v>515.8536088467644</v>
      </c>
      <c r="I69" s="86">
        <f>IFERROR((I64/I26-I65/I27)*10000,"n/a")</f>
        <v>526.4781468399293</v>
      </c>
      <c r="J69" s="13"/>
    </row>
    <row r="70">
      <c r="A70" s="2"/>
      <c r="B70" s="1" t="s">
        <v>128</v>
      </c>
      <c r="C70" s="83" t="s">
        <v>37</v>
      </c>
      <c r="D70" s="83">
        <f>IFERROR((D68-C68)*10000,"n/a")</f>
        <v>-18.97490087278131</v>
      </c>
      <c r="E70" s="83">
        <f>IFERROR((E68-D68)*10000,"n/a")</f>
        <v>-334.517299870986</v>
      </c>
      <c r="F70" s="83">
        <f>IFERROR((F68-E68)*10000,"n/a")</f>
        <v>16.94464092542647</v>
      </c>
      <c r="G70" s="83" t="s">
        <v>37</v>
      </c>
      <c r="H70" s="83">
        <f>IFERROR((H68-F68)*10000,"n/a")</f>
        <v>852.4011686651052</v>
      </c>
      <c r="I70" s="86">
        <f>IFERROR((I68-H68)*10000,"n/a")</f>
        <v>-8.35036287961638</v>
      </c>
      <c r="J70" s="13"/>
    </row>
    <row r="71">
      <c r="A71" s="2"/>
      <c r="B71" s="18" t="s">
        <v>189</v>
      </c>
      <c r="C71" s="12">
        <v>0.038</v>
      </c>
      <c r="D71" s="12">
        <v>0.018</v>
      </c>
      <c r="E71" s="12">
        <v>0.025</v>
      </c>
      <c r="F71" s="17">
        <f>G71-C71-D71-E71</f>
        <v>0.030000000000000006</v>
      </c>
      <c r="G71" s="12">
        <v>0.111</v>
      </c>
      <c r="H71" s="12">
        <v>0.004</v>
      </c>
      <c r="I71" s="6">
        <f>I72*(1+I73)</f>
        <v>0.018</v>
      </c>
      <c r="J71" s="13" t="s">
        <v>161</v>
      </c>
    </row>
    <row r="72">
      <c r="A72" s="2"/>
      <c r="B72" s="8" t="s">
        <v>107</v>
      </c>
      <c r="C72" s="12">
        <v>0.189</v>
      </c>
      <c r="D72" s="12">
        <v>0.083</v>
      </c>
      <c r="E72" s="12">
        <v>0.079</v>
      </c>
      <c r="F72" s="17">
        <f>G72-C72-D72-E72</f>
        <v>0.07299999999999997</v>
      </c>
      <c r="G72" s="12">
        <v>0.424</v>
      </c>
      <c r="H72" s="17">
        <f>C71</f>
        <v>0.038</v>
      </c>
      <c r="I72" s="6">
        <f>D71</f>
        <v>0.018</v>
      </c>
      <c r="J72" s="13"/>
    </row>
    <row r="73">
      <c r="A73" s="2"/>
      <c r="B73" s="28" t="s">
        <v>113</v>
      </c>
      <c r="C73" s="4">
        <f>IFERROR(IF(C72&gt;0,C71/C72-1,"n/a"),"n/a")</f>
        <v>-0.798941798941799</v>
      </c>
      <c r="D73" s="4">
        <f>IFERROR(IF(D72&gt;0,D71/D72-1,"n/a"),"n/a")</f>
        <v>-0.7831325301204819</v>
      </c>
      <c r="E73" s="4">
        <f>IFERROR(IF(E72&gt;0,E71/E72-1,"n/a"),"n/a")</f>
        <v>-0.6835443037974683</v>
      </c>
      <c r="F73" s="4">
        <f>IFERROR(IF(F72&gt;0,F71/F72-1,"n/a"),"n/a")</f>
        <v>-0.5890410958904106</v>
      </c>
      <c r="G73" s="4">
        <f>IFERROR(IF(G72&gt;0,G71/G72-1,"n/a"),"n/a")</f>
        <v>-0.7382075471698113</v>
      </c>
      <c r="H73" s="4">
        <f>IFERROR(IF(H72&gt;0,H71/H72-1,"n/a"),"n/a")</f>
        <v>-0.8947368421052632</v>
      </c>
      <c r="I73" s="52">
        <v>0</v>
      </c>
      <c r="J73" s="13"/>
    </row>
    <row r="74">
      <c r="A74" s="2"/>
      <c r="B74" s="8" t="s">
        <v>115</v>
      </c>
      <c r="C74" s="17" t="s">
        <v>37</v>
      </c>
      <c r="D74" s="17">
        <f>IFERROR(D71-C71,"n/a")</f>
        <v>-0.02</v>
      </c>
      <c r="E74" s="17">
        <f>IFERROR(E71-D71,"n/a")</f>
        <v>0.007000000000000003</v>
      </c>
      <c r="F74" s="17">
        <f>IFERROR(F71-E71,"n/a")</f>
        <v>0.0050000000000000044</v>
      </c>
      <c r="G74" s="17" t="s">
        <v>37</v>
      </c>
      <c r="H74" s="17">
        <f>IFERROR(H71-F71,"n/a")</f>
        <v>-0.026000000000000006</v>
      </c>
      <c r="I74" s="6">
        <f>IFERROR(I71-H71,"n/a")</f>
        <v>0.013999999999999999</v>
      </c>
      <c r="J74" s="13"/>
    </row>
    <row r="75">
      <c r="A75" s="2"/>
      <c r="B75" s="28" t="s">
        <v>187</v>
      </c>
      <c r="C75" s="4">
        <f>IFERROR(C71/C26,"n/a")</f>
        <v>0.0008202560062166771</v>
      </c>
      <c r="D75" s="4">
        <f>IFERROR(D71/D26,"n/a")</f>
        <v>0.0004843005892323835</v>
      </c>
      <c r="E75" s="4">
        <f>IFERROR(E71/E26,"n/a")</f>
        <v>0.001077957916522939</v>
      </c>
      <c r="F75" s="4">
        <f>IFERROR(F71/F26,"n/a")</f>
        <v>0.0007590708972218006</v>
      </c>
      <c r="G75" s="4">
        <f>IFERROR(G71/G26,"n/a")</f>
        <v>0.0007591923834537098</v>
      </c>
      <c r="H75" s="4">
        <f>IFERROR(H71/H26,"n/a")</f>
        <v>0.00010541851149061775</v>
      </c>
      <c r="I75" s="23">
        <f>IFERROR(I71/I26,"n/a")</f>
        <v>0.0009675811921567867</v>
      </c>
      <c r="J75" s="13"/>
    </row>
    <row r="76">
      <c r="A76" s="2"/>
      <c r="B76" s="1" t="s">
        <v>127</v>
      </c>
      <c r="C76" s="83">
        <f>IFERROR((C71/C26-C72/C27)*10000,"n/a")</f>
        <v>-24.82900343183861</v>
      </c>
      <c r="D76" s="83">
        <f>IFERROR((D71/D26-D72/D27)*10000,"n/a")</f>
        <v>-11.573458040902693</v>
      </c>
      <c r="E76" s="83">
        <f>IFERROR((E71/E26-E72/E27)*10000,"n/a")</f>
        <v>-4.392887608988942</v>
      </c>
      <c r="F76" s="83">
        <f>IFERROR((F71/F26-F72/F27)*10000,"n/a")</f>
        <v>-4.312888197008738</v>
      </c>
      <c r="G76" s="83">
        <f>IFERROR((G71/G26-G72/G27)*10000,"n/a")</f>
        <v>-11.57876310000676</v>
      </c>
      <c r="H76" s="83">
        <f>IFERROR((H71/H26-H72/H27)*10000,"n/a")</f>
        <v>-7.148374947260593</v>
      </c>
      <c r="I76" s="86">
        <f>IFERROR((I71/I26-I72/I27)*10000,"n/a")</f>
        <v>4.832806029244032</v>
      </c>
      <c r="J76" s="13"/>
    </row>
    <row r="77">
      <c r="A77" s="2"/>
      <c r="B77" s="1" t="s">
        <v>128</v>
      </c>
      <c r="C77" s="83" t="s">
        <v>37</v>
      </c>
      <c r="D77" s="83">
        <f>IFERROR((D75-C75)*10000,"n/a")</f>
        <v>-3.3595541698429363</v>
      </c>
      <c r="E77" s="83">
        <f>IFERROR((E75-D75)*10000,"n/a")</f>
        <v>5.936573272905555</v>
      </c>
      <c r="F77" s="83">
        <f>IFERROR((F75-E75)*10000,"n/a")</f>
        <v>-3.188870193011384</v>
      </c>
      <c r="G77" s="83" t="s">
        <v>37</v>
      </c>
      <c r="H77" s="83">
        <f>IFERROR((H75-F75)*10000,"n/a")</f>
        <v>-6.536523857311828</v>
      </c>
      <c r="I77" s="86">
        <f>IFERROR((I75-H75)*10000,"n/a")</f>
        <v>8.62162680666169</v>
      </c>
      <c r="J77" s="13"/>
    </row>
    <row r="78">
      <c r="A78" s="2"/>
      <c r="B78" s="18" t="s">
        <v>190</v>
      </c>
      <c r="C78" s="12">
        <v>0.039</v>
      </c>
      <c r="D78" s="12">
        <v>0.006</v>
      </c>
      <c r="E78" s="12">
        <v>0.006</v>
      </c>
      <c r="F78" s="17">
        <f>G78-C78-D78-E78</f>
        <v>0.057</v>
      </c>
      <c r="G78" s="12">
        <v>0.108</v>
      </c>
      <c r="H78" s="12">
        <v>0.163</v>
      </c>
      <c r="I78" s="6">
        <f>I79*(1+I80)</f>
        <v>0.006</v>
      </c>
      <c r="J78" s="13" t="s">
        <v>161</v>
      </c>
    </row>
    <row r="79">
      <c r="A79" s="2"/>
      <c r="B79" s="8" t="s">
        <v>107</v>
      </c>
      <c r="C79" s="12">
        <v>0.308</v>
      </c>
      <c r="D79" s="12">
        <v>3.901</v>
      </c>
      <c r="E79" s="12">
        <v>0.117</v>
      </c>
      <c r="F79" s="17">
        <f>G79-C79-D79-E79</f>
        <v>0.08600000000000028</v>
      </c>
      <c r="G79" s="12">
        <v>4.412</v>
      </c>
      <c r="H79" s="17">
        <f>C78</f>
        <v>0.039</v>
      </c>
      <c r="I79" s="6">
        <f>D78</f>
        <v>0.006</v>
      </c>
      <c r="J79" s="13"/>
    </row>
    <row r="80">
      <c r="A80" s="2"/>
      <c r="B80" s="28" t="s">
        <v>113</v>
      </c>
      <c r="C80" s="4">
        <f>IFERROR(IF(C79&gt;0,C78/C79-1,"n/a"),"n/a")</f>
        <v>-0.8733766233766234</v>
      </c>
      <c r="D80" s="4">
        <f>IFERROR(IF(D79&gt;0,D78/D79-1,"n/a"),"n/a")</f>
        <v>-0.9984619328377339</v>
      </c>
      <c r="E80" s="4">
        <f>IFERROR(IF(E79&gt;0,E78/E79-1,"n/a"),"n/a")</f>
        <v>-0.9487179487179487</v>
      </c>
      <c r="F80" s="4">
        <f>IFERROR(IF(F79&gt;0,F78/F79-1,"n/a"),"n/a")</f>
        <v>-0.33720930232558355</v>
      </c>
      <c r="G80" s="4">
        <f>IFERROR(IF(G79&gt;0,G78/G79-1,"n/a"),"n/a")</f>
        <v>-0.9755213055303718</v>
      </c>
      <c r="H80" s="4">
        <f>IFERROR(IF(H79&gt;0,H78/H79-1,"n/a"),"n/a")</f>
        <v>3.1794871794871797</v>
      </c>
      <c r="I80" s="52">
        <v>0</v>
      </c>
      <c r="J80" s="13"/>
    </row>
    <row r="81">
      <c r="A81" s="2"/>
      <c r="B81" s="8" t="s">
        <v>115</v>
      </c>
      <c r="C81" s="17" t="s">
        <v>37</v>
      </c>
      <c r="D81" s="17">
        <f>IFERROR(D78-C78,"n/a")</f>
        <v>-0.033</v>
      </c>
      <c r="E81" s="17">
        <f>IFERROR(E78-D78,"n/a")</f>
        <v>0</v>
      </c>
      <c r="F81" s="17">
        <f>IFERROR(F78-E78,"n/a")</f>
        <v>0.051000000000000004</v>
      </c>
      <c r="G81" s="17" t="s">
        <v>37</v>
      </c>
      <c r="H81" s="17">
        <f>IFERROR(H78-F78,"n/a")</f>
        <v>0.10600000000000001</v>
      </c>
      <c r="I81" s="6">
        <f>IFERROR(I78-H78,"n/a")</f>
        <v>-0.157</v>
      </c>
      <c r="J81" s="13"/>
    </row>
    <row r="82">
      <c r="A82" s="2"/>
      <c r="B82" s="28" t="s">
        <v>187</v>
      </c>
      <c r="C82" s="4">
        <f>IFERROR(C78/C26,"n/a")</f>
        <v>0.0008418416905908002</v>
      </c>
      <c r="D82" s="4">
        <f>IFERROR(D78/D26,"n/a")</f>
        <v>0.00016143352974412785</v>
      </c>
      <c r="E82" s="4">
        <f>IFERROR(E78/E26,"n/a")</f>
        <v>0.00025870989996550536</v>
      </c>
      <c r="F82" s="4">
        <f>IFERROR(F78/F26,"n/a")</f>
        <v>0.001442234704721421</v>
      </c>
      <c r="G82" s="4">
        <f>IFERROR(G78/G26,"n/a")</f>
        <v>0.0007386736703873933</v>
      </c>
      <c r="H82" s="4">
        <f>IFERROR(H78/H26,"n/a")</f>
        <v>0.004295804343242673</v>
      </c>
      <c r="I82" s="23">
        <f>IFERROR(I78/I26,"n/a")</f>
        <v>0.00032252706405226227</v>
      </c>
      <c r="J82" s="13"/>
    </row>
    <row r="83">
      <c r="A83" s="2"/>
      <c r="B83" s="1" t="s">
        <v>127</v>
      </c>
      <c r="C83" s="83">
        <f>IFERROR((C78/C26-C79/C27)*10000,"n/a")</f>
        <v>-45.41079767691558</v>
      </c>
      <c r="D83" s="83">
        <f>IFERROR((D78/D26-D79/D27)*10000,"n/a")</f>
        <v>-769.9594695642055</v>
      </c>
      <c r="E83" s="83">
        <f>IFERROR((E78/E26-E79/E27)*10000,"n/a")</f>
        <v>-19.88351634950374</v>
      </c>
      <c r="F83" s="83">
        <f>IFERROR((F78/F26-F79/F27)*10000,"n/a")</f>
        <v>0.3989312040155249</v>
      </c>
      <c r="G83" s="83">
        <f>IFERROR((G78/G26-G79/G27)*10000,"n/a")</f>
        <v>-192.09692073765316</v>
      </c>
      <c r="H83" s="83">
        <f>IFERROR((H78/H26-H79/H27)*10000,"n/a")</f>
        <v>34.53962652651873</v>
      </c>
      <c r="I83" s="86">
        <f>IFERROR((I78/I26-I79/I27)*10000,"n/a")</f>
        <v>1.6109353430813442</v>
      </c>
      <c r="J83" s="13"/>
    </row>
    <row r="84">
      <c r="A84" s="2"/>
      <c r="B84" s="1" t="s">
        <v>128</v>
      </c>
      <c r="C84" s="83" t="s">
        <v>37</v>
      </c>
      <c r="D84" s="83">
        <f>IFERROR((D82-C82)*10000,"n/a")</f>
        <v>-6.804081608466723</v>
      </c>
      <c r="E84" s="83">
        <f>IFERROR((E82-D82)*10000,"n/a")</f>
        <v>0.9727637022137752</v>
      </c>
      <c r="F84" s="83">
        <f>IFERROR((F82-E82)*10000,"n/a")</f>
        <v>11.835248047559157</v>
      </c>
      <c r="G84" s="83" t="s">
        <v>37</v>
      </c>
      <c r="H84" s="83">
        <f>IFERROR((H82-F82)*10000,"n/a")</f>
        <v>28.535696385212525</v>
      </c>
      <c r="I84" s="86">
        <f>IFERROR((I82-H82)*10000,"n/a")</f>
        <v>-39.73277279190411</v>
      </c>
      <c r="J84" s="13"/>
    </row>
    <row r="85">
      <c r="A85" s="2"/>
      <c r="B85" s="18" t="s">
        <v>191</v>
      </c>
      <c r="C85" s="12">
        <v>3.065</v>
      </c>
      <c r="D85" s="12">
        <v>5.439</v>
      </c>
      <c r="E85" s="12">
        <v>-2.745</v>
      </c>
      <c r="F85" s="17">
        <f>G85-C85-D85-E85</f>
        <v>5.589000000000001</v>
      </c>
      <c r="G85" s="12">
        <v>11.348</v>
      </c>
      <c r="H85" s="12">
        <v>1.488</v>
      </c>
      <c r="I85" s="6">
        <f>I86*(1+I87)</f>
        <v>2.7195</v>
      </c>
      <c r="J85" s="13" t="s">
        <v>161</v>
      </c>
    </row>
    <row r="86">
      <c r="A86" s="2"/>
      <c r="B86" s="8" t="s">
        <v>107</v>
      </c>
      <c r="C86" s="12">
        <v>2.376</v>
      </c>
      <c r="D86" s="12">
        <v>4.5</v>
      </c>
      <c r="E86" s="12">
        <v>3.385</v>
      </c>
      <c r="F86" s="17">
        <f>G86-C86-D86-E86</f>
        <v>1.6160000000000014</v>
      </c>
      <c r="G86" s="12">
        <v>11.877</v>
      </c>
      <c r="H86" s="17">
        <f>C85</f>
        <v>3.065</v>
      </c>
      <c r="I86" s="6">
        <f>D85</f>
        <v>5.439</v>
      </c>
      <c r="J86" s="13"/>
    </row>
    <row r="87">
      <c r="A87" s="2"/>
      <c r="B87" s="28" t="s">
        <v>113</v>
      </c>
      <c r="C87" s="4">
        <f>IFERROR(IF(C86&gt;0,C85/C86-1,"n/a"),"n/a")</f>
        <v>0.289983164983165</v>
      </c>
      <c r="D87" s="4">
        <f>IFERROR(IF(D86&gt;0,D85/D86-1,"n/a"),"n/a")</f>
        <v>0.20866666666666678</v>
      </c>
      <c r="E87" s="4">
        <f>IFERROR(IF(E86&gt;0,E85/E86-1,"n/a"),"n/a")</f>
        <v>-1.8109305760709011</v>
      </c>
      <c r="F87" s="4">
        <f>IFERROR(IF(F86&gt;0,F85/F86-1,"n/a"),"n/a")</f>
        <v>2.4585396039603937</v>
      </c>
      <c r="G87" s="4">
        <f>IFERROR(IF(G86&gt;0,G85/G86-1,"n/a"),"n/a")</f>
        <v>-0.04453986696977352</v>
      </c>
      <c r="H87" s="4">
        <f>IFERROR(IF(H86&gt;0,H85/H86-1,"n/a"),"n/a")</f>
        <v>-0.5145187601957586</v>
      </c>
      <c r="I87" s="52">
        <v>-0.5</v>
      </c>
      <c r="J87" s="13"/>
    </row>
    <row r="88">
      <c r="A88" s="2"/>
      <c r="B88" s="8" t="s">
        <v>115</v>
      </c>
      <c r="C88" s="17" t="s">
        <v>37</v>
      </c>
      <c r="D88" s="17">
        <f>IFERROR(D85-C85,"n/a")</f>
        <v>2.374</v>
      </c>
      <c r="E88" s="17">
        <f>IFERROR(E85-D85,"n/a")</f>
        <v>-8.184000000000001</v>
      </c>
      <c r="F88" s="17">
        <f>IFERROR(F85-E85,"n/a")</f>
        <v>8.334000000000001</v>
      </c>
      <c r="G88" s="17" t="s">
        <v>37</v>
      </c>
      <c r="H88" s="17">
        <f>IFERROR(H85-F85,"n/a")</f>
        <v>-4.101000000000001</v>
      </c>
      <c r="I88" s="6">
        <f>IFERROR(I85-H85,"n/a")</f>
        <v>1.2315</v>
      </c>
      <c r="J88" s="13"/>
    </row>
    <row r="89">
      <c r="A89" s="2"/>
      <c r="B89" s="28" t="s">
        <v>187</v>
      </c>
      <c r="C89" s="4">
        <f>IFERROR(C85/C26,"n/a")</f>
        <v>0.06616012260668724</v>
      </c>
      <c r="D89" s="4">
        <f>IFERROR(D85/D26,"n/a")</f>
        <v>0.1463394947130519</v>
      </c>
      <c r="E89" s="4">
        <f>IFERROR(E85/E26,"n/a")</f>
        <v>-0.1183597792342187</v>
      </c>
      <c r="F89" s="4">
        <f>IFERROR(F85/F26,"n/a")</f>
        <v>0.14141490815242144</v>
      </c>
      <c r="G89" s="4">
        <f>IFERROR(G85/G26,"n/a")</f>
        <v>0.07761545195885315</v>
      </c>
      <c r="H89" s="4">
        <f>IFERROR(H85/H26,"n/a")</f>
        <v>0.0392156862745098</v>
      </c>
      <c r="I89" s="23">
        <f>IFERROR(I85/I26,"n/a")</f>
        <v>0.14618539178168788</v>
      </c>
      <c r="J89" s="13"/>
    </row>
    <row r="90">
      <c r="A90" s="2"/>
      <c r="B90" s="1" t="s">
        <v>127</v>
      </c>
      <c r="C90" s="83">
        <f>IFERROR((C85/C26-C86/C27)*10000,"n/a")</f>
        <v>246.3472849993762</v>
      </c>
      <c r="D90" s="83">
        <f>IFERROR((D85/D26-D86/D27)*10000,"n/a")</f>
        <v>573.3456977387194</v>
      </c>
      <c r="E90" s="83">
        <f>IFERROR((E85/E26-E86/E27)*10000,"n/a")</f>
        <v>-1833.7091851362256</v>
      </c>
      <c r="F90" s="83">
        <f>IFERROR((F85/F26-F86/F27)*10000,"n/a")</f>
        <v>1150.6393140520165</v>
      </c>
      <c r="G90" s="83">
        <f>IFERROR((G85/G26-G86/G27)*10000,"n/a")</f>
        <v>239.14921599990555</v>
      </c>
      <c r="H90" s="83">
        <f>IFERROR((H85/H26-H86/H27)*10000,"n/a")</f>
        <v>-269.4443633217744</v>
      </c>
      <c r="I90" s="86">
        <f>IFERROR((I85/I26-I86/I27)*10000,"n/a")</f>
        <v>-1.5410293136403075</v>
      </c>
      <c r="J90" s="13"/>
    </row>
    <row r="91">
      <c r="A91" s="2"/>
      <c r="B91" s="1" t="s">
        <v>128</v>
      </c>
      <c r="C91" s="83" t="s">
        <v>37</v>
      </c>
      <c r="D91" s="83">
        <f>IFERROR((D89-C89)*10000,"n/a")</f>
        <v>801.7937210636467</v>
      </c>
      <c r="E91" s="83">
        <f>IFERROR((E89-D89)*10000,"n/a")</f>
        <v>-2646.992739472706</v>
      </c>
      <c r="F91" s="83">
        <f>IFERROR((F89-E89)*10000,"n/a")</f>
        <v>2597.746873866401</v>
      </c>
      <c r="G91" s="83" t="s">
        <v>37</v>
      </c>
      <c r="H91" s="83">
        <f>IFERROR((H89-F89)*10000,"n/a")</f>
        <v>-1021.9922187791163</v>
      </c>
      <c r="I91" s="86">
        <f>IFERROR((I89-H89)*10000,"n/a")</f>
        <v>1069.6970550717808</v>
      </c>
      <c r="J91" s="13"/>
    </row>
    <row r="92">
      <c r="A92" s="2"/>
      <c r="B92" s="27" t="s">
        <v>192</v>
      </c>
      <c r="C92" s="3">
        <f>C57+C64+C71+C78+C85</f>
        <v>13.882</v>
      </c>
      <c r="D92" s="3">
        <f>D57+D64+D71+D78+D85</f>
        <v>14.826</v>
      </c>
      <c r="E92" s="3">
        <f>E57+E64+E71+E78+E85</f>
        <v>4.160000000000001</v>
      </c>
      <c r="F92" s="3">
        <f>F57+F64+F71+F78+F85</f>
        <v>14.388000000000002</v>
      </c>
      <c r="G92" s="3">
        <f>G57+G64+G71+G78+G85</f>
        <v>47.25599999999999</v>
      </c>
      <c r="H92" s="3">
        <f>H57+H64+H71+H78+H85</f>
        <v>13.455</v>
      </c>
      <c r="I92" s="59">
        <f>I57+I64+I71+I78+I85</f>
        <v>10.633500000000002</v>
      </c>
      <c r="J92" s="13"/>
    </row>
    <row r="93">
      <c r="A93" s="2"/>
      <c r="B93" s="8" t="s">
        <v>107</v>
      </c>
      <c r="C93" s="17">
        <f>C58+C65+C72+C79+C86</f>
        <v>14.389999999999999</v>
      </c>
      <c r="D93" s="17">
        <f>D58+D65+D72+D79+D86</f>
        <v>20.116999999999997</v>
      </c>
      <c r="E93" s="17">
        <f>E58+E65+E72+E79+E86</f>
        <v>13.930000000000001</v>
      </c>
      <c r="F93" s="17">
        <f>F58+F65+F72+F79+F86</f>
        <v>11.526000000000002</v>
      </c>
      <c r="G93" s="17">
        <f>G58+G65+G72+G79+G86</f>
        <v>59.963</v>
      </c>
      <c r="H93" s="17">
        <f>H58+H65+H72+H79+H86</f>
        <v>13.882</v>
      </c>
      <c r="I93" s="6">
        <f>I58+I65+I72+I79+I86</f>
        <v>14.826</v>
      </c>
      <c r="J93" s="13"/>
    </row>
    <row r="94">
      <c r="A94" s="2"/>
      <c r="B94" s="28" t="s">
        <v>113</v>
      </c>
      <c r="C94" s="4">
        <f>IFERROR(IF(C93&gt;0,C92/C93-1,"n/a"),"n/a")</f>
        <v>-0.03530229325920775</v>
      </c>
      <c r="D94" s="4">
        <f>IFERROR(IF(D93&gt;0,D92/D93-1,"n/a"),"n/a")</f>
        <v>-0.26301138340706853</v>
      </c>
      <c r="E94" s="4">
        <f>IFERROR(IF(E93&gt;0,E92/E93-1,"n/a"),"n/a")</f>
        <v>-0.7013639626704953</v>
      </c>
      <c r="F94" s="4">
        <f>IFERROR(IF(F93&gt;0,F92/F93-1,"n/a"),"n/a")</f>
        <v>0.24830817282665274</v>
      </c>
      <c r="G94" s="4">
        <f>IFERROR(IF(G93&gt;0,G92/G93-1,"n/a"),"n/a")</f>
        <v>-0.2119140136417459</v>
      </c>
      <c r="H94" s="4">
        <f>IFERROR(IF(H93&gt;0,H92/H93-1,"n/a"),"n/a")</f>
        <v>-0.030759256591269213</v>
      </c>
      <c r="I94" s="23">
        <f>IFERROR(IF(I93&gt;0,I92/I93-1,"n/a"),"n/a")</f>
        <v>-0.28278025091056247</v>
      </c>
      <c r="J94" s="13"/>
    </row>
    <row r="95">
      <c r="A95" s="2"/>
      <c r="B95" s="8" t="s">
        <v>115</v>
      </c>
      <c r="C95" s="17" t="s">
        <v>37</v>
      </c>
      <c r="D95" s="17">
        <f>IFERROR(D92-C92,"n/a")</f>
        <v>0.9440000000000008</v>
      </c>
      <c r="E95" s="17">
        <f>IFERROR(E92-D92,"n/a")</f>
        <v>-10.666</v>
      </c>
      <c r="F95" s="17">
        <f>IFERROR(F92-E92,"n/a")</f>
        <v>10.228000000000002</v>
      </c>
      <c r="G95" s="17" t="s">
        <v>37</v>
      </c>
      <c r="H95" s="17">
        <f>IFERROR(H92-F92,"n/a")</f>
        <v>-0.9330000000000016</v>
      </c>
      <c r="I95" s="6">
        <f>IFERROR(I92-H92,"n/a")</f>
        <v>-2.8214999999999986</v>
      </c>
      <c r="J95" s="13"/>
    </row>
    <row r="96">
      <c r="A96" s="2"/>
      <c r="B96" s="28" t="s">
        <v>193</v>
      </c>
      <c r="C96" s="4">
        <f>IFERROR(C92/C26,"n/a")</f>
        <v>0.2996524704815766</v>
      </c>
      <c r="D96" s="4">
        <f>IFERROR(D92/D26,"n/a")</f>
        <v>0.39890225199773993</v>
      </c>
      <c r="E96" s="4">
        <f>IFERROR(E92/E26,"n/a")</f>
        <v>0.1793721973094171</v>
      </c>
      <c r="F96" s="4">
        <f>IFERROR(F92/F26,"n/a")</f>
        <v>0.3640504023075755</v>
      </c>
      <c r="G96" s="4">
        <f>IFERROR(G92/G26,"n/a")</f>
        <v>0.3232107682206172</v>
      </c>
      <c r="H96" s="4">
        <f>IFERROR(H92/H26,"n/a")</f>
        <v>0.3546015180265654</v>
      </c>
      <c r="I96" s="23">
        <f>IFERROR(I92/I26,"n/a")</f>
        <v>0.5715985892666219</v>
      </c>
      <c r="J96" s="13"/>
    </row>
    <row r="97">
      <c r="A97" s="2"/>
      <c r="B97" s="1" t="s">
        <v>127</v>
      </c>
      <c r="C97" s="83">
        <f>IFERROR((C92/C26-C93/C27)*10000,"n/a")</f>
        <v>481.5818546637163</v>
      </c>
      <c r="D97" s="83">
        <f>IFERROR((D92/D26-D93/D27)*10000,"n/a")</f>
        <v>10.106797751880947</v>
      </c>
      <c r="E97" s="83">
        <f>IFERROR((E92/E26-E93/E27)*10000,"n/a")</f>
        <v>-881.6256492458466</v>
      </c>
      <c r="F97" s="83">
        <f>IFERROR((F92/F26-F93/F27)*10000,"n/a")</f>
        <v>1761.0401741372957</v>
      </c>
      <c r="G97" s="83">
        <f>IFERROR((G92/G26-G93/G27)*10000,"n/a")</f>
        <v>520.9475391494423</v>
      </c>
      <c r="H97" s="83">
        <f>IFERROR((H92/H26-H93/H27)*10000,"n/a")</f>
        <v>549.4904754498881</v>
      </c>
      <c r="I97" s="86">
        <f>IFERROR((I92/I26-I93/I27)*10000,"n/a")</f>
        <v>1726.9633726888194</v>
      </c>
      <c r="J97" s="13"/>
    </row>
    <row r="98">
      <c r="A98" s="2"/>
      <c r="B98" s="1" t="s">
        <v>128</v>
      </c>
      <c r="C98" s="83" t="s">
        <v>37</v>
      </c>
      <c r="D98" s="83">
        <f>IFERROR((D96-C96)*10000,"n/a")</f>
        <v>992.4978151616332</v>
      </c>
      <c r="E98" s="83">
        <f>IFERROR((E96-D96)*10000,"n/a")</f>
        <v>-2195.3005468832284</v>
      </c>
      <c r="F98" s="83">
        <f>IFERROR((F96-E96)*10000,"n/a")</f>
        <v>1846.7820499815844</v>
      </c>
      <c r="G98" s="83" t="s">
        <v>37</v>
      </c>
      <c r="H98" s="83">
        <f>IFERROR((H96-F96)*10000,"n/a")</f>
        <v>-94.48884281010095</v>
      </c>
      <c r="I98" s="86">
        <f>IFERROR((I96-H96)*10000,"n/a")</f>
        <v>2169.9707124005645</v>
      </c>
      <c r="J98" s="13"/>
    </row>
    <row r="99">
      <c r="A99" s="2"/>
      <c r="B99" s="27" t="s">
        <v>194</v>
      </c>
      <c r="C99" s="3">
        <f>C50-C92</f>
        <v>7.752999999999998</v>
      </c>
      <c r="D99" s="3">
        <f>D50-D92</f>
        <v>2.7029999999999994</v>
      </c>
      <c r="E99" s="3">
        <f>E50-E92</f>
        <v>4.074999999999998</v>
      </c>
      <c r="F99" s="3">
        <f>F50-F92</f>
        <v>1.8339999999999996</v>
      </c>
      <c r="G99" s="3">
        <f>G50-G92</f>
        <v>16.365000000000002</v>
      </c>
      <c r="H99" s="3">
        <f>H50-H92</f>
        <v>6.542000000000003</v>
      </c>
      <c r="I99" s="59">
        <f>I50-I92</f>
        <v>-2.0760786000000007</v>
      </c>
      <c r="J99" s="13" t="s">
        <v>195</v>
      </c>
    </row>
    <row r="100">
      <c r="A100" s="2"/>
      <c r="B100" s="8" t="s">
        <v>107</v>
      </c>
      <c r="C100" s="17">
        <f>C51-C93</f>
        <v>12.686000000000005</v>
      </c>
      <c r="D100" s="17">
        <f>D51-D93</f>
        <v>0.8339999999999996</v>
      </c>
      <c r="E100" s="17">
        <f>E51-E93</f>
        <v>7.363999999999995</v>
      </c>
      <c r="F100" s="17">
        <f>F51-F93</f>
        <v>13.694000000000033</v>
      </c>
      <c r="G100" s="17">
        <f>G51-G93</f>
        <v>34.578000000000024</v>
      </c>
      <c r="H100" s="17">
        <f>H51-H93</f>
        <v>7.752999999999998</v>
      </c>
      <c r="I100" s="6">
        <f>I51-I93</f>
        <v>2.7029999999999994</v>
      </c>
      <c r="J100" s="13"/>
    </row>
    <row r="101">
      <c r="A101" s="2"/>
      <c r="B101" s="28" t="s">
        <v>113</v>
      </c>
      <c r="C101" s="4">
        <f>IFERROR(IF(C100&gt;0,C99/C100-1,"n/a"),"n/a")</f>
        <v>-0.3888538546429139</v>
      </c>
      <c r="D101" s="4">
        <f>IFERROR(IF(D100&gt;0,D99/D100-1,"n/a"),"n/a")</f>
        <v>2.241007194244605</v>
      </c>
      <c r="E101" s="4">
        <f>IFERROR(IF(E100&gt;0,E99/E100-1,"n/a"),"n/a")</f>
        <v>-0.44663226507332954</v>
      </c>
      <c r="F101" s="4">
        <f>IFERROR(IF(F100&gt;0,F99/F100-1,"n/a"),"n/a")</f>
        <v>-0.8660727325836136</v>
      </c>
      <c r="G101" s="4">
        <f>IFERROR(IF(G100&gt;0,G99/G100-1,"n/a"),"n/a")</f>
        <v>-0.5267221933020998</v>
      </c>
      <c r="H101" s="4">
        <f>IFERROR(IF(H100&gt;0,H99/H100-1,"n/a"),"n/a")</f>
        <v>-0.1561976009286722</v>
      </c>
      <c r="I101" s="23">
        <f>IFERROR(IF(I100&gt;0,I99/I100-1,"n/a"),"n/a")</f>
        <v>-1.768064594894562</v>
      </c>
      <c r="J101" s="13"/>
    </row>
    <row r="102">
      <c r="A102" s="2"/>
      <c r="B102" s="8" t="s">
        <v>115</v>
      </c>
      <c r="C102" s="17" t="s">
        <v>37</v>
      </c>
      <c r="D102" s="17">
        <f>IFERROR(D99-C99,"n/a")</f>
        <v>-5.049999999999999</v>
      </c>
      <c r="E102" s="17">
        <f>IFERROR(E99-D99,"n/a")</f>
        <v>1.371999999999999</v>
      </c>
      <c r="F102" s="17">
        <f>IFERROR(F99-E99,"n/a")</f>
        <v>-2.2409999999999988</v>
      </c>
      <c r="G102" s="17" t="s">
        <v>37</v>
      </c>
      <c r="H102" s="17">
        <f>IFERROR(H99-F99,"n/a")</f>
        <v>4.708000000000004</v>
      </c>
      <c r="I102" s="6">
        <f>IFERROR(I99-H99,"n/a")</f>
        <v>-8.618078600000004</v>
      </c>
      <c r="J102" s="13"/>
    </row>
    <row r="103">
      <c r="A103" s="2"/>
      <c r="B103" s="28" t="s">
        <v>196</v>
      </c>
      <c r="C103" s="4">
        <f>IFERROR(C99/C26,"n/a")</f>
        <v>0.16735381095257623</v>
      </c>
      <c r="D103" s="4">
        <f>IFERROR(D99/D26,"n/a")</f>
        <v>0.07272580514972958</v>
      </c>
      <c r="E103" s="4">
        <f>IFERROR(E99/E26,"n/a")</f>
        <v>0.17570714039323898</v>
      </c>
      <c r="F103" s="4">
        <f>IFERROR(F99/F26,"n/a")</f>
        <v>0.046404534183492725</v>
      </c>
      <c r="G103" s="4">
        <f>IFERROR(G99/G26,"n/a")</f>
        <v>0.11192957977675641</v>
      </c>
      <c r="H103" s="4">
        <f>IFERROR(H99/H26,"n/a")</f>
        <v>0.1724119755429054</v>
      </c>
      <c r="I103" s="23">
        <f>IFERROR(I99/I26,"n/a")</f>
        <v>-0.11159858926662186</v>
      </c>
      <c r="J103" s="13"/>
    </row>
    <row r="104">
      <c r="A104" s="2"/>
      <c r="B104" s="1" t="s">
        <v>127</v>
      </c>
      <c r="C104" s="83">
        <f>IFERROR((C99/C26-C100/C27)*10000,"n/a")</f>
        <v>-543.5963586485892</v>
      </c>
      <c r="D104" s="83">
        <f>IFERROR((D99/D26-D100/D27)*10000,"n/a")</f>
        <v>562.3022572766823</v>
      </c>
      <c r="E104" s="83">
        <f>IFERROR((E99/E26-E100/E27)*10000,"n/a")</f>
        <v>342.76703272550725</v>
      </c>
      <c r="F104" s="83">
        <f>IFERROR((F99/F26-F100/F27)*10000,"n/a")</f>
        <v>-1768.9390367320798</v>
      </c>
      <c r="G104" s="83">
        <f>IFERROR((G99/G26-G100/G27)*10000,"n/a")</f>
        <v>-444.10989285191215</v>
      </c>
      <c r="H104" s="83">
        <f>IFERROR((H99/H26-H100/H27)*10000,"n/a")</f>
        <v>50.581645903291786</v>
      </c>
      <c r="I104" s="86">
        <f>IFERROR((I99/I26-I100/I27)*10000,"n/a")</f>
        <v>-1843.2439441635145</v>
      </c>
      <c r="J104" s="13"/>
    </row>
    <row r="105">
      <c r="A105" s="2"/>
      <c r="B105" s="1" t="s">
        <v>128</v>
      </c>
      <c r="C105" s="83" t="s">
        <v>37</v>
      </c>
      <c r="D105" s="83">
        <f>IFERROR((D103-C103)*10000,"n/a")</f>
        <v>-946.2800580284666</v>
      </c>
      <c r="E105" s="83">
        <f>IFERROR((E103-D103)*10000,"n/a")</f>
        <v>1029.813352435094</v>
      </c>
      <c r="F105" s="83">
        <f>IFERROR((F103-E103)*10000,"n/a")</f>
        <v>-1293.0260620974627</v>
      </c>
      <c r="G105" s="83" t="s">
        <v>37</v>
      </c>
      <c r="H105" s="83">
        <f>IFERROR((H103-F103)*10000,"n/a")</f>
        <v>1260.074413594127</v>
      </c>
      <c r="I105" s="86">
        <f>IFERROR((I103-H103)*10000,"n/a")</f>
        <v>-2840.1056480952725</v>
      </c>
      <c r="J105" s="13"/>
    </row>
    <row r="106">
      <c r="A106" s="2"/>
      <c r="B106" s="18"/>
      <c r="C106" s="5"/>
      <c r="D106" s="5"/>
      <c r="E106" s="5"/>
      <c r="F106" s="5"/>
      <c r="G106" s="5"/>
      <c r="H106" s="5"/>
      <c r="I106" s="9"/>
      <c r="J106" s="13"/>
    </row>
    <row r="107">
      <c r="A107" s="2"/>
      <c r="B107" s="18"/>
      <c r="C107" s="5"/>
      <c r="D107" s="5"/>
      <c r="E107" s="5"/>
      <c r="F107" s="5"/>
      <c r="G107" s="5"/>
      <c r="H107" s="5"/>
      <c r="I107" s="9"/>
      <c r="J107" s="13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11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203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204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27" t="s">
        <v>205</v>
      </c>
      <c r="C10" s="85">
        <f>'Revenue summary'!C16</f>
        <v>964.538</v>
      </c>
      <c r="D10" s="85">
        <f>'Revenue summary'!D16</f>
        <v>1430.84</v>
      </c>
      <c r="E10" s="85">
        <f>'Revenue summary'!E16</f>
        <v>1957.549</v>
      </c>
      <c r="F10" s="85">
        <f>'Revenue summary'!F16</f>
        <v>1119.3689999999997</v>
      </c>
      <c r="G10" s="85">
        <f>'Revenue summary'!G16</f>
        <v>5472.295999999999</v>
      </c>
      <c r="H10" s="85">
        <f>'Revenue summary'!H16</f>
        <v>1019.531</v>
      </c>
      <c r="I10" s="94">
        <f>'Revenue summary'!I16</f>
        <v>1501.4237400000002</v>
      </c>
      <c r="J10" s="13" t="s">
        <v>206</v>
      </c>
    </row>
    <row r="11">
      <c r="A11" s="2"/>
      <c r="B11" s="8" t="s">
        <v>107</v>
      </c>
      <c r="C11" s="11">
        <f>'Revenue summary'!C17</f>
        <v>825.347</v>
      </c>
      <c r="D11" s="11">
        <f>'Revenue summary'!D17</f>
        <v>1311.32</v>
      </c>
      <c r="E11" s="11">
        <f>'Revenue summary'!E17</f>
        <v>1827.1650000000002</v>
      </c>
      <c r="F11" s="11">
        <f>'Revenue summary'!F17</f>
        <v>1021.7800000000002</v>
      </c>
      <c r="G11" s="11">
        <f>'Revenue summary'!G17</f>
        <v>4985.612</v>
      </c>
      <c r="H11" s="11">
        <f>'Revenue summary'!H17</f>
        <v>964.538</v>
      </c>
      <c r="I11" s="35">
        <f>'Revenue summary'!I17</f>
        <v>1430.84</v>
      </c>
      <c r="J11" s="13"/>
    </row>
    <row r="12">
      <c r="A12" s="2"/>
      <c r="B12" s="28" t="s">
        <v>113</v>
      </c>
      <c r="C12" s="4">
        <f>IFERROR(IF(C11&gt;0,C10/C11-1,"n/a"),"n/a")</f>
        <v>0.16864543034626656</v>
      </c>
      <c r="D12" s="4">
        <f>IFERROR(IF(D11&gt;0,D10/D11-1,"n/a"),"n/a")</f>
        <v>0.09114480065887798</v>
      </c>
      <c r="E12" s="4">
        <f>IFERROR(IF(E11&gt;0,E10/E11-1,"n/a"),"n/a")</f>
        <v>0.07135863482498839</v>
      </c>
      <c r="F12" s="4">
        <f>IFERROR(IF(F11&gt;0,F10/F11-1,"n/a"),"n/a")</f>
        <v>0.09550881794515398</v>
      </c>
      <c r="G12" s="4">
        <f>IFERROR(IF(G11&gt;0,G10/G11-1,"n/a"),"n/a")</f>
        <v>0.09761770470706499</v>
      </c>
      <c r="H12" s="4">
        <f>IFERROR(IF(H11&gt;0,H10/H11-1,"n/a"),"n/a")</f>
        <v>0.05701486100081077</v>
      </c>
      <c r="I12" s="23">
        <f>IFERROR(IF(I11&gt;0,I10/I11-1,"n/a"),"n/a")</f>
        <v>0.04933028151295771</v>
      </c>
      <c r="J12" s="13"/>
    </row>
    <row r="13">
      <c r="A13" s="2"/>
      <c r="B13" s="28" t="s">
        <v>114</v>
      </c>
      <c r="C13" s="4" t="s">
        <v>37</v>
      </c>
      <c r="D13" s="4">
        <f>IFERROR(IF(C10&gt;0,D10/C10-1,"n/a"),"n/a")</f>
        <v>0.4834459606568118</v>
      </c>
      <c r="E13" s="4">
        <f>IFERROR(IF(D10&gt;0,E10/D10-1,"n/a"),"n/a")</f>
        <v>0.3681117385591681</v>
      </c>
      <c r="F13" s="4">
        <f>IFERROR(IF(E10&gt;0,F10/E10-1,"n/a"),"n/a")</f>
        <v>-0.4281782984742657</v>
      </c>
      <c r="G13" s="4" t="s">
        <v>37</v>
      </c>
      <c r="H13" s="4">
        <f>IFERROR(IF(F10&gt;0,H10/F10-1,"n/a"),"n/a")</f>
        <v>-0.08919132118184425</v>
      </c>
      <c r="I13" s="23">
        <f>IFERROR(IF(H10&gt;0,I10/H10-1,"n/a"),"n/a")</f>
        <v>0.4726611942157719</v>
      </c>
      <c r="J13" s="13"/>
    </row>
    <row r="14">
      <c r="A14" s="2"/>
      <c r="B14" s="8" t="s">
        <v>115</v>
      </c>
      <c r="C14" s="17" t="s">
        <v>37</v>
      </c>
      <c r="D14" s="17">
        <f>IFERROR(D10-C10,"n/a")</f>
        <v>466.3019999999999</v>
      </c>
      <c r="E14" s="17">
        <f>IFERROR(E10-D10,"n/a")</f>
        <v>526.7090000000001</v>
      </c>
      <c r="F14" s="17">
        <f>IFERROR(F10-E10,"n/a")</f>
        <v>-838.1800000000003</v>
      </c>
      <c r="G14" s="17" t="s">
        <v>37</v>
      </c>
      <c r="H14" s="17">
        <f>IFERROR(H10-F10,"n/a")</f>
        <v>-99.83799999999974</v>
      </c>
      <c r="I14" s="6">
        <f>IFERROR(I10-H10,"n/a")</f>
        <v>481.89274000000023</v>
      </c>
      <c r="J14" s="13"/>
    </row>
    <row r="15">
      <c r="A15" s="2"/>
      <c r="B15" s="18" t="s">
        <v>182</v>
      </c>
      <c r="C15" s="11">
        <f>'Segment - HOKA'!C61+'Segment - UGG'!C61+'Segment - Other brands'!C46</f>
        <v>426.63200000000006</v>
      </c>
      <c r="D15" s="11">
        <f>'Segment - HOKA'!D61+'Segment - UGG'!D61+'Segment - Other brands'!D46</f>
        <v>627.018</v>
      </c>
      <c r="E15" s="11">
        <f>'Segment - HOKA'!E61+'Segment - UGG'!E61+'Segment - Other brands'!E46</f>
        <v>786.189</v>
      </c>
      <c r="F15" s="11">
        <f>'Segment - HOKA'!F61+'Segment - UGG'!F61+'Segment - Other brands'!F46</f>
        <v>474.73099999999994</v>
      </c>
      <c r="G15" s="11">
        <f>'Segment - HOKA'!G61+'Segment - UGG'!G61+'Segment - Other brands'!G46</f>
        <v>2314.57</v>
      </c>
      <c r="H15" s="11">
        <f>'Segment - HOKA'!H61+'Segment - UGG'!H61+'Segment - Other brands'!H46</f>
        <v>444.36800000000005</v>
      </c>
      <c r="I15" s="35">
        <f>'Segment - HOKA'!I61+'Segment - UGG'!I61+'Segment - Other brands'!I46</f>
        <v>674.68494243</v>
      </c>
      <c r="J15" s="13" t="s">
        <v>207</v>
      </c>
    </row>
    <row r="16">
      <c r="A16" s="2"/>
      <c r="B16" s="8" t="s">
        <v>107</v>
      </c>
      <c r="C16" s="11">
        <f>'Segment - HOKA'!C62+'Segment - UGG'!C62+'Segment - Other brands'!C47</f>
        <v>355.347</v>
      </c>
      <c r="D16" s="11">
        <f>'Segment - HOKA'!D62+'Segment - UGG'!D62+'Segment - Other brands'!D47</f>
        <v>578.048</v>
      </c>
      <c r="E16" s="11">
        <f>'Segment - HOKA'!E62+'Segment - UGG'!E62+'Segment - Other brands'!E47</f>
        <v>724.542</v>
      </c>
      <c r="F16" s="11">
        <f>'Segment - HOKA'!F62+'Segment - UGG'!F62+'Segment - Other brands'!F47</f>
        <v>442.012</v>
      </c>
      <c r="G16" s="11">
        <f>'Segment - HOKA'!G62+'Segment - UGG'!G62+'Segment - Other brands'!G47</f>
        <v>2099.949</v>
      </c>
      <c r="H16" s="11">
        <f>'Segment - HOKA'!H62+'Segment - UGG'!H62+'Segment - Other brands'!H47</f>
        <v>426.63200000000006</v>
      </c>
      <c r="I16" s="35">
        <f>'Segment - HOKA'!I62+'Segment - UGG'!I62+'Segment - Other brands'!I47</f>
        <v>627.018</v>
      </c>
      <c r="J16" s="13"/>
    </row>
    <row r="17">
      <c r="A17" s="2"/>
      <c r="B17" s="28" t="s">
        <v>113</v>
      </c>
      <c r="C17" s="4">
        <f>IFERROR(IF(C16&gt;0,C15/C16-1,"n/a"),"n/a")</f>
        <v>0.20060673088558523</v>
      </c>
      <c r="D17" s="4">
        <f>IFERROR(IF(D16&gt;0,D15/D16-1,"n/a"),"n/a")</f>
        <v>0.08471614813994699</v>
      </c>
      <c r="E17" s="4">
        <f>IFERROR(IF(E16&gt;0,E15/E16-1,"n/a"),"n/a")</f>
        <v>0.08508409450383825</v>
      </c>
      <c r="F17" s="4">
        <f>IFERROR(IF(F16&gt;0,F15/F16-1,"n/a"),"n/a")</f>
        <v>0.07402287720695355</v>
      </c>
      <c r="G17" s="4">
        <f>IFERROR(IF(G16&gt;0,G15/G16-1,"n/a"),"n/a")</f>
        <v>0.10220295826231984</v>
      </c>
      <c r="H17" s="4">
        <f>IFERROR(IF(H16&gt;0,H15/H16-1,"n/a"),"n/a")</f>
        <v>0.04157212773537844</v>
      </c>
      <c r="I17" s="23">
        <f>IFERROR(IF(I16&gt;0,I15/I16-1,"n/a"),"n/a")</f>
        <v>0.07602164918710463</v>
      </c>
      <c r="J17" s="13"/>
    </row>
    <row r="18">
      <c r="A18" s="2"/>
      <c r="B18" s="8" t="s">
        <v>115</v>
      </c>
      <c r="C18" s="17" t="s">
        <v>37</v>
      </c>
      <c r="D18" s="17">
        <f>IFERROR(D15-C15,"n/a")</f>
        <v>200.38599999999997</v>
      </c>
      <c r="E18" s="17">
        <f>IFERROR(E15-D15,"n/a")</f>
        <v>159.17099999999994</v>
      </c>
      <c r="F18" s="17">
        <f>IFERROR(F15-E15,"n/a")</f>
        <v>-311.458</v>
      </c>
      <c r="G18" s="17" t="s">
        <v>37</v>
      </c>
      <c r="H18" s="17">
        <f>IFERROR(H15-F15,"n/a")</f>
        <v>-30.362999999999886</v>
      </c>
      <c r="I18" s="6">
        <f>IFERROR(I15-H15,"n/a")</f>
        <v>230.31694242999993</v>
      </c>
      <c r="J18" s="13"/>
    </row>
    <row r="19">
      <c r="A19" s="2"/>
      <c r="B19" s="27" t="s">
        <v>208</v>
      </c>
      <c r="C19" s="3">
        <f>C10-C15</f>
        <v>537.906</v>
      </c>
      <c r="D19" s="3">
        <f>D10-D15</f>
        <v>803.8219999999999</v>
      </c>
      <c r="E19" s="3">
        <f>E10-E15</f>
        <v>1171.3600000000001</v>
      </c>
      <c r="F19" s="3">
        <f>F10-F15</f>
        <v>644.6379999999997</v>
      </c>
      <c r="G19" s="3">
        <f>G10-G15</f>
        <v>3157.725999999999</v>
      </c>
      <c r="H19" s="3">
        <f>H10-H15</f>
        <v>575.1629999999999</v>
      </c>
      <c r="I19" s="59">
        <f>I10-I15</f>
        <v>826.7387975700002</v>
      </c>
      <c r="J19" s="13"/>
    </row>
    <row r="20">
      <c r="A20" s="2"/>
      <c r="B20" s="8" t="s">
        <v>107</v>
      </c>
      <c r="C20" s="17">
        <f>C11-C16</f>
        <v>470</v>
      </c>
      <c r="D20" s="17">
        <f>D11-D16</f>
        <v>733.2719999999999</v>
      </c>
      <c r="E20" s="17">
        <f>E11-E16</f>
        <v>1102.623</v>
      </c>
      <c r="F20" s="17">
        <f>F11-F16</f>
        <v>579.7680000000003</v>
      </c>
      <c r="G20" s="17">
        <f>G11-G16</f>
        <v>2885.663</v>
      </c>
      <c r="H20" s="17">
        <f>H11-H16</f>
        <v>537.906</v>
      </c>
      <c r="I20" s="6">
        <f>I11-I16</f>
        <v>803.8219999999999</v>
      </c>
      <c r="J20" s="13"/>
    </row>
    <row r="21">
      <c r="A21" s="2"/>
      <c r="B21" s="28" t="s">
        <v>113</v>
      </c>
      <c r="C21" s="4">
        <f>IFERROR(IF(C20&gt;0,C19/C20-1,"n/a"),"n/a")</f>
        <v>0.14448085106382957</v>
      </c>
      <c r="D21" s="4">
        <f>IFERROR(IF(D20&gt;0,D19/D20-1,"n/a"),"n/a")</f>
        <v>0.09621259232590362</v>
      </c>
      <c r="E21" s="4">
        <f>IFERROR(IF(E20&gt;0,E19/E20-1,"n/a"),"n/a")</f>
        <v>0.06233953037438922</v>
      </c>
      <c r="F21" s="4">
        <f>IFERROR(IF(F20&gt;0,F19/F20-1,"n/a"),"n/a")</f>
        <v>0.11188958341957367</v>
      </c>
      <c r="G21" s="4">
        <f>IFERROR(IF(G20&gt;0,G19/G20-1,"n/a"),"n/a")</f>
        <v>0.09428093301262108</v>
      </c>
      <c r="H21" s="4">
        <f>IFERROR(IF(H20&gt;0,H19/H20-1,"n/a"),"n/a")</f>
        <v>0.06926303108721599</v>
      </c>
      <c r="I21" s="23">
        <f>IFERROR(IF(I20&gt;0,I19/I20-1,"n/a"),"n/a")</f>
        <v>0.028509791433924736</v>
      </c>
      <c r="J21" s="13"/>
    </row>
    <row r="22">
      <c r="A22" s="2"/>
      <c r="B22" s="8" t="s">
        <v>115</v>
      </c>
      <c r="C22" s="17" t="s">
        <v>37</v>
      </c>
      <c r="D22" s="17">
        <f>IFERROR(D19-C19,"n/a")</f>
        <v>265.91599999999994</v>
      </c>
      <c r="E22" s="17">
        <f>IFERROR(E19-D19,"n/a")</f>
        <v>367.53800000000024</v>
      </c>
      <c r="F22" s="17">
        <f>IFERROR(F19-E19,"n/a")</f>
        <v>-526.7220000000004</v>
      </c>
      <c r="G22" s="17" t="s">
        <v>37</v>
      </c>
      <c r="H22" s="17">
        <f>IFERROR(H19-F19,"n/a")</f>
        <v>-69.4749999999998</v>
      </c>
      <c r="I22" s="6">
        <f>IFERROR(I19-H19,"n/a")</f>
        <v>251.5757975700003</v>
      </c>
      <c r="J22" s="13"/>
    </row>
    <row r="23">
      <c r="A23" s="2"/>
      <c r="B23" s="28" t="s">
        <v>89</v>
      </c>
      <c r="C23" s="4">
        <f>IFERROR(C19/C10,"n/a")</f>
        <v>0.5576825381685324</v>
      </c>
      <c r="D23" s="4">
        <f>IFERROR(D19/D10,"n/a")</f>
        <v>0.5617832881384361</v>
      </c>
      <c r="E23" s="4">
        <f>IFERROR(E19/E10,"n/a")</f>
        <v>0.5983809345257769</v>
      </c>
      <c r="F23" s="4">
        <f>IFERROR(F19/F10,"n/a")</f>
        <v>0.5758940974781327</v>
      </c>
      <c r="G23" s="4">
        <f>IFERROR(G19/G10,"n/a")</f>
        <v>0.5770385958654283</v>
      </c>
      <c r="H23" s="4">
        <f>IFERROR(H19/H10,"n/a")</f>
        <v>0.564144690058468</v>
      </c>
      <c r="I23" s="23">
        <f>IFERROR(I19/I10,"n/a")</f>
        <v>0.5506365561863302</v>
      </c>
      <c r="J23" s="13"/>
    </row>
    <row r="24">
      <c r="A24" s="2"/>
      <c r="B24" s="1" t="s">
        <v>127</v>
      </c>
      <c r="C24" s="83">
        <f>IFERROR((C19/C10-C20/C11)*10000,"n/a")</f>
        <v>-117.74914272683179</v>
      </c>
      <c r="D24" s="83">
        <f>IFERROR((D19/D10-D20/D11)*10000,"n/a")</f>
        <v>25.971245780542773</v>
      </c>
      <c r="E24" s="83">
        <f>IFERROR((E19/E10-E20/E11)*10000,"n/a")</f>
        <v>-50.8016504651132</v>
      </c>
      <c r="F24" s="83">
        <f>IFERROR((F19/F10-F20/F11)*10000,"n/a")</f>
        <v>84.84283232404466</v>
      </c>
      <c r="G24" s="83">
        <f>IFERROR((G19/G10-G20/G11)*10000,"n/a")</f>
        <v>-17.595536897316855</v>
      </c>
      <c r="H24" s="83">
        <f>IFERROR((H19/H10-H20/H11)*10000,"n/a")</f>
        <v>64.62151889935596</v>
      </c>
      <c r="I24" s="86">
        <f>IFERROR((I19/I10-I20/I11)*10000,"n/a")</f>
        <v>-111.46731952105915</v>
      </c>
      <c r="J24" s="13"/>
    </row>
    <row r="25">
      <c r="A25" s="2"/>
      <c r="B25" s="1" t="s">
        <v>128</v>
      </c>
      <c r="C25" s="83" t="s">
        <v>37</v>
      </c>
      <c r="D25" s="83">
        <f>IFERROR((D23-C23)*10000,"n/a")</f>
        <v>41.007499699037275</v>
      </c>
      <c r="E25" s="83">
        <f>IFERROR((E23-D23)*10000,"n/a")</f>
        <v>365.97646387340757</v>
      </c>
      <c r="F25" s="83">
        <f>IFERROR((F23-E23)*10000,"n/a")</f>
        <v>-224.86837047644204</v>
      </c>
      <c r="G25" s="83" t="s">
        <v>37</v>
      </c>
      <c r="H25" s="83">
        <f>IFERROR((H23-F23)*10000,"n/a")</f>
        <v>-117.4940741966468</v>
      </c>
      <c r="I25" s="86">
        <f>IFERROR((I23-H23)*10000,"n/a")</f>
        <v>-135.08133872137785</v>
      </c>
      <c r="J25" s="13"/>
    </row>
    <row r="26">
      <c r="A26" s="2"/>
      <c r="B26" s="18" t="s">
        <v>209</v>
      </c>
      <c r="C26" s="11">
        <f>'Segment - HOKA'!C107+'Segment - UGG'!C107+'Segment - Other brands'!C92</f>
        <v>222.642</v>
      </c>
      <c r="D26" s="11">
        <f>'Segment - HOKA'!D107+'Segment - UGG'!D107+'Segment - Other brands'!D92</f>
        <v>307.54900000000004</v>
      </c>
      <c r="E26" s="11">
        <f>'Segment - HOKA'!E107+'Segment - UGG'!E107+'Segment - Other brands'!E92</f>
        <v>361.262</v>
      </c>
      <c r="F26" s="11">
        <f>'Segment - HOKA'!F107+'Segment - UGG'!F107+'Segment - Other brands'!F92</f>
        <v>293.5969999999999</v>
      </c>
      <c r="G26" s="11">
        <f>'Segment - HOKA'!G107+'Segment - UGG'!G107+'Segment - Other brands'!G92</f>
        <v>1185.0500000000002</v>
      </c>
      <c r="H26" s="11">
        <f>'Segment - HOKA'!H107+'Segment - UGG'!H107+'Segment - Other brands'!H92</f>
        <v>259.139</v>
      </c>
      <c r="I26" s="35">
        <f>'Segment - HOKA'!I107+'Segment - UGG'!I107+'Segment - Other brands'!I92</f>
        <v>339.96725000000004</v>
      </c>
      <c r="J26" s="13" t="s">
        <v>210</v>
      </c>
    </row>
    <row r="27">
      <c r="A27" s="2"/>
      <c r="B27" s="8" t="s">
        <v>107</v>
      </c>
      <c r="C27" s="11">
        <f>'Segment - HOKA'!C108+'Segment - UGG'!C108+'Segment - Other brands'!C93</f>
        <v>180.51</v>
      </c>
      <c r="D27" s="11">
        <f>'Segment - HOKA'!D108+'Segment - UGG'!D108+'Segment - Other brands'!D93</f>
        <v>265.53</v>
      </c>
      <c r="E27" s="11">
        <f>'Segment - HOKA'!E108+'Segment - UGG'!E108+'Segment - Other brands'!E93</f>
        <v>319.464</v>
      </c>
      <c r="F27" s="11">
        <f>'Segment - HOKA'!F108+'Segment - UGG'!F108+'Segment - Other brands'!F93</f>
        <v>234.20300000000003</v>
      </c>
      <c r="G27" s="11">
        <f>'Segment - HOKA'!G108+'Segment - UGG'!G108+'Segment - Other brands'!G93</f>
        <v>999.7069999999999</v>
      </c>
      <c r="H27" s="11">
        <f>'Segment - HOKA'!H108+'Segment - UGG'!H108+'Segment - Other brands'!H93</f>
        <v>222.642</v>
      </c>
      <c r="I27" s="35">
        <f>'Segment - HOKA'!I108+'Segment - UGG'!I108+'Segment - Other brands'!I93</f>
        <v>307.54900000000004</v>
      </c>
      <c r="J27" s="13"/>
    </row>
    <row r="28">
      <c r="A28" s="2"/>
      <c r="B28" s="28" t="s">
        <v>113</v>
      </c>
      <c r="C28" s="4">
        <f>IFERROR(IF(C27&gt;0,C26/C27-1,"n/a"),"n/a")</f>
        <v>0.23340535150407193</v>
      </c>
      <c r="D28" s="4">
        <f>IFERROR(IF(D27&gt;0,D26/D27-1,"n/a"),"n/a")</f>
        <v>0.15824577260573225</v>
      </c>
      <c r="E28" s="4">
        <f>IFERROR(IF(E27&gt;0,E26/E27-1,"n/a"),"n/a")</f>
        <v>0.1308379034883429</v>
      </c>
      <c r="F28" s="4">
        <f>IFERROR(IF(F27&gt;0,F26/F27-1,"n/a"),"n/a")</f>
        <v>0.25360050896017516</v>
      </c>
      <c r="G28" s="4">
        <f>IFERROR(IF(G27&gt;0,G26/G27-1,"n/a"),"n/a")</f>
        <v>0.18539732141517495</v>
      </c>
      <c r="H28" s="4">
        <f>IFERROR(IF(H27&gt;0,H26/H27-1,"n/a"),"n/a")</f>
        <v>0.16392684219509346</v>
      </c>
      <c r="I28" s="23">
        <f>IFERROR(IF(I27&gt;0,I26/I27-1,"n/a"),"n/a")</f>
        <v>0.10540840646531113</v>
      </c>
      <c r="J28" s="13"/>
    </row>
    <row r="29">
      <c r="A29" s="2"/>
      <c r="B29" s="8" t="s">
        <v>115</v>
      </c>
      <c r="C29" s="17" t="s">
        <v>37</v>
      </c>
      <c r="D29" s="17">
        <f>IFERROR(D26-C26,"n/a")</f>
        <v>84.90700000000004</v>
      </c>
      <c r="E29" s="17">
        <f>IFERROR(E26-D26,"n/a")</f>
        <v>53.712999999999965</v>
      </c>
      <c r="F29" s="17">
        <f>IFERROR(F26-E26,"n/a")</f>
        <v>-67.66500000000008</v>
      </c>
      <c r="G29" s="17" t="s">
        <v>37</v>
      </c>
      <c r="H29" s="17">
        <f>IFERROR(H26-F26,"n/a")</f>
        <v>-34.45799999999991</v>
      </c>
      <c r="I29" s="6">
        <f>IFERROR(I26-H26,"n/a")</f>
        <v>80.82825000000003</v>
      </c>
      <c r="J29" s="13"/>
    </row>
    <row r="30">
      <c r="A30" s="2"/>
      <c r="B30" s="18" t="s">
        <v>211</v>
      </c>
      <c r="C30" s="12">
        <v>149.977</v>
      </c>
      <c r="D30" s="12">
        <v>169.752</v>
      </c>
      <c r="E30" s="12">
        <v>195.732</v>
      </c>
      <c r="F30" s="17">
        <f>G30-C30-D30-E30</f>
        <v>194.31200000000004</v>
      </c>
      <c r="G30" s="12">
        <v>709.773</v>
      </c>
      <c r="H30" s="12">
        <v>160.723</v>
      </c>
      <c r="I30" s="6">
        <f>I31*(1+I32)</f>
        <v>181.63464000000002</v>
      </c>
      <c r="J30" s="13" t="s">
        <v>212</v>
      </c>
    </row>
    <row r="31">
      <c r="A31" s="2"/>
      <c r="B31" s="8" t="s">
        <v>107</v>
      </c>
      <c r="C31" s="12">
        <v>156.683</v>
      </c>
      <c r="D31" s="12">
        <v>162.656</v>
      </c>
      <c r="E31" s="12">
        <v>215.885</v>
      </c>
      <c r="F31" s="17">
        <f>G31-C31-D31-E31</f>
        <v>171.64000000000004</v>
      </c>
      <c r="G31" s="12">
        <v>706.864</v>
      </c>
      <c r="H31" s="17">
        <f>C30</f>
        <v>149.977</v>
      </c>
      <c r="I31" s="6">
        <f>D30</f>
        <v>169.752</v>
      </c>
      <c r="J31" s="13" t="s">
        <v>213</v>
      </c>
    </row>
    <row r="32">
      <c r="A32" s="2"/>
      <c r="B32" s="28" t="s">
        <v>113</v>
      </c>
      <c r="C32" s="4">
        <f>IFERROR(IF(C31&gt;0,C30/C31-1,"n/a"),"n/a")</f>
        <v>-0.04279979321304794</v>
      </c>
      <c r="D32" s="4">
        <f>IFERROR(IF(D31&gt;0,D30/D31-1,"n/a"),"n/a")</f>
        <v>0.04362581152862477</v>
      </c>
      <c r="E32" s="4">
        <f>IFERROR(IF(E31&gt;0,E30/E31-1,"n/a"),"n/a")</f>
        <v>-0.09335062649095582</v>
      </c>
      <c r="F32" s="4">
        <f>IFERROR(IF(F31&gt;0,F30/F31-1,"n/a"),"n/a")</f>
        <v>0.13209042181309716</v>
      </c>
      <c r="G32" s="4">
        <f>IFERROR(IF(G31&gt;0,G30/G31-1,"n/a"),"n/a")</f>
        <v>0.004115360239027588</v>
      </c>
      <c r="H32" s="4">
        <f>IFERROR(IF(H31&gt;0,H30/H31-1,"n/a"),"n/a")</f>
        <v>0.07165098648459445</v>
      </c>
      <c r="I32" s="52">
        <v>0.07</v>
      </c>
      <c r="J32" s="13" t="s">
        <v>214</v>
      </c>
    </row>
    <row r="33">
      <c r="A33" s="2"/>
      <c r="B33" s="8" t="s">
        <v>115</v>
      </c>
      <c r="C33" s="17" t="s">
        <v>37</v>
      </c>
      <c r="D33" s="17">
        <f>IFERROR(D30-C30,"n/a")</f>
        <v>19.775000000000006</v>
      </c>
      <c r="E33" s="17">
        <f>IFERROR(E30-D30,"n/a")</f>
        <v>25.97999999999999</v>
      </c>
      <c r="F33" s="17">
        <f>IFERROR(F30-E30,"n/a")</f>
        <v>-1.419999999999959</v>
      </c>
      <c r="G33" s="17" t="s">
        <v>37</v>
      </c>
      <c r="H33" s="17">
        <f>IFERROR(H30-F30,"n/a")</f>
        <v>-33.58900000000003</v>
      </c>
      <c r="I33" s="6">
        <f>IFERROR(I30-H30,"n/a")</f>
        <v>20.911640000000006</v>
      </c>
      <c r="J33" s="13"/>
    </row>
    <row r="34">
      <c r="A34" s="2"/>
      <c r="B34" s="27" t="s">
        <v>215</v>
      </c>
      <c r="C34" s="3">
        <f>C26+C30</f>
        <v>372.619</v>
      </c>
      <c r="D34" s="3">
        <f>D26+D30</f>
        <v>477.30100000000004</v>
      </c>
      <c r="E34" s="3">
        <f>E26+E30</f>
        <v>556.994</v>
      </c>
      <c r="F34" s="3">
        <f>F26+F30</f>
        <v>487.909</v>
      </c>
      <c r="G34" s="3">
        <f>G26+G30</f>
        <v>1894.8230000000003</v>
      </c>
      <c r="H34" s="3">
        <f>H26+H30</f>
        <v>419.862</v>
      </c>
      <c r="I34" s="59">
        <f>I26+I30</f>
        <v>521.60189</v>
      </c>
      <c r="J34" s="13"/>
    </row>
    <row r="35">
      <c r="A35" s="2"/>
      <c r="B35" s="8" t="s">
        <v>107</v>
      </c>
      <c r="C35" s="17">
        <f>C27+C31</f>
        <v>337.193</v>
      </c>
      <c r="D35" s="17">
        <f>D27+D31</f>
        <v>428.186</v>
      </c>
      <c r="E35" s="17">
        <f>E27+E31</f>
        <v>535.3489999999999</v>
      </c>
      <c r="F35" s="17">
        <f>F27+F31</f>
        <v>405.8430000000001</v>
      </c>
      <c r="G35" s="17">
        <f>G27+G31</f>
        <v>1706.571</v>
      </c>
      <c r="H35" s="17">
        <f>H27+H31</f>
        <v>372.619</v>
      </c>
      <c r="I35" s="6">
        <f>I27+I31</f>
        <v>477.30100000000004</v>
      </c>
      <c r="J35" s="13"/>
    </row>
    <row r="36">
      <c r="A36" s="2"/>
      <c r="B36" s="28" t="s">
        <v>113</v>
      </c>
      <c r="C36" s="4">
        <f>IFERROR(IF(C35&gt;0,C34/C35-1,"n/a"),"n/a")</f>
        <v>0.10506149297286727</v>
      </c>
      <c r="D36" s="4">
        <f>IFERROR(IF(D35&gt;0,D34/D35-1,"n/a"),"n/a")</f>
        <v>0.11470482453886888</v>
      </c>
      <c r="E36" s="4">
        <f>IFERROR(IF(E35&gt;0,E34/E35-1,"n/a"),"n/a")</f>
        <v>0.040431568939140794</v>
      </c>
      <c r="F36" s="4">
        <f>IFERROR(IF(F35&gt;0,F34/F35-1,"n/a"),"n/a")</f>
        <v>0.20221119989749714</v>
      </c>
      <c r="G36" s="4">
        <f>IFERROR(IF(G35&gt;0,G34/G35-1,"n/a"),"n/a")</f>
        <v>0.11031008964760347</v>
      </c>
      <c r="H36" s="4">
        <f>IFERROR(IF(H35&gt;0,H34/H35-1,"n/a"),"n/a")</f>
        <v>0.12678634208132156</v>
      </c>
      <c r="I36" s="23">
        <f>IFERROR(IF(I35&gt;0,I34/I35-1,"n/a"),"n/a")</f>
        <v>0.09281541417260808</v>
      </c>
      <c r="J36" s="13"/>
    </row>
    <row r="37">
      <c r="A37" s="2"/>
      <c r="B37" s="8" t="s">
        <v>115</v>
      </c>
      <c r="C37" s="17" t="s">
        <v>37</v>
      </c>
      <c r="D37" s="17">
        <f>IFERROR(D34-C34,"n/a")</f>
        <v>104.68200000000002</v>
      </c>
      <c r="E37" s="17">
        <f>IFERROR(E34-D34,"n/a")</f>
        <v>79.69299999999998</v>
      </c>
      <c r="F37" s="17">
        <f>IFERROR(F34-E34,"n/a")</f>
        <v>-69.08500000000004</v>
      </c>
      <c r="G37" s="17" t="s">
        <v>37</v>
      </c>
      <c r="H37" s="17">
        <f>IFERROR(H34-F34,"n/a")</f>
        <v>-68.04699999999997</v>
      </c>
      <c r="I37" s="6">
        <f>IFERROR(I34-H34,"n/a")</f>
        <v>101.73989</v>
      </c>
      <c r="J37" s="13"/>
    </row>
    <row r="38">
      <c r="A38" s="2"/>
      <c r="B38" s="28" t="s">
        <v>216</v>
      </c>
      <c r="C38" s="4">
        <f>IFERROR(C34/C10,"n/a")</f>
        <v>0.3863186313032768</v>
      </c>
      <c r="D38" s="4">
        <f>IFERROR(D34/D10,"n/a")</f>
        <v>0.3335809734142183</v>
      </c>
      <c r="E38" s="4">
        <f>IFERROR(E34/E10,"n/a")</f>
        <v>0.28453642795148426</v>
      </c>
      <c r="F38" s="4">
        <f>IFERROR(F34/F10,"n/a")</f>
        <v>0.43587860660783007</v>
      </c>
      <c r="G38" s="4">
        <f>IFERROR(G34/G10,"n/a")</f>
        <v>0.3462574027428342</v>
      </c>
      <c r="H38" s="4">
        <f>IFERROR(H34/H10,"n/a")</f>
        <v>0.4118187676490465</v>
      </c>
      <c r="I38" s="23">
        <f>IFERROR(I34/I10,"n/a")</f>
        <v>0.34740485054538967</v>
      </c>
      <c r="J38" s="13"/>
    </row>
    <row r="39">
      <c r="A39" s="2"/>
      <c r="B39" s="1" t="s">
        <v>127</v>
      </c>
      <c r="C39" s="83">
        <f>IFERROR((C34/C10-C35/C11)*10000,"n/a")</f>
        <v>-222.28319252065364</v>
      </c>
      <c r="D39" s="83">
        <f>IFERROR((D34/D10-D35/D11)*10000,"n/a")</f>
        <v>70.5045454773262</v>
      </c>
      <c r="E39" s="83">
        <f>IFERROR((E34/E10-E35/E11)*10000,"n/a")</f>
        <v>-84.57910271938319</v>
      </c>
      <c r="F39" s="83">
        <f>IFERROR((F34/F10-F35/F11)*10000,"n/a")</f>
        <v>386.8645174083324</v>
      </c>
      <c r="G39" s="83">
        <f>IFERROR((G34/G10-G35/G11)*10000,"n/a")</f>
        <v>39.582025644007146</v>
      </c>
      <c r="H39" s="83">
        <f>IFERROR((H34/H10-H35/H11)*10000,"n/a")</f>
        <v>255.00136345769698</v>
      </c>
      <c r="I39" s="86">
        <f>IFERROR((I34/I10-I35/I11)*10000,"n/a")</f>
        <v>138.23877131171392</v>
      </c>
      <c r="J39" s="13"/>
    </row>
    <row r="40">
      <c r="A40" s="2"/>
      <c r="B40" s="1" t="s">
        <v>128</v>
      </c>
      <c r="C40" s="83" t="s">
        <v>37</v>
      </c>
      <c r="D40" s="83">
        <f>IFERROR((D38-C38)*10000,"n/a")</f>
        <v>-527.3765788905854</v>
      </c>
      <c r="E40" s="83">
        <f>IFERROR((E38-D38)*10000,"n/a")</f>
        <v>-490.44545462734015</v>
      </c>
      <c r="F40" s="83">
        <f>IFERROR((F38-E38)*10000,"n/a")</f>
        <v>1513.421786563458</v>
      </c>
      <c r="G40" s="83" t="s">
        <v>37</v>
      </c>
      <c r="H40" s="83">
        <f>IFERROR((H38-F38)*10000,"n/a")</f>
        <v>-240.59838958783553</v>
      </c>
      <c r="I40" s="86">
        <f>IFERROR((I38-H38)*10000,"n/a")</f>
        <v>-644.1391710365684</v>
      </c>
      <c r="J40" s="13"/>
    </row>
    <row r="41">
      <c r="A41" s="2"/>
      <c r="B41" s="27" t="s">
        <v>217</v>
      </c>
      <c r="C41" s="3">
        <f>C19-C34</f>
        <v>165.28699999999992</v>
      </c>
      <c r="D41" s="3">
        <f>D19-D34</f>
        <v>326.52099999999984</v>
      </c>
      <c r="E41" s="3">
        <f>E19-E34</f>
        <v>614.3660000000001</v>
      </c>
      <c r="F41" s="3">
        <f>F19-F34</f>
        <v>156.7289999999997</v>
      </c>
      <c r="G41" s="3">
        <f>G19-G34</f>
        <v>1262.9029999999989</v>
      </c>
      <c r="H41" s="3">
        <f>H19-H34</f>
        <v>155.30099999999987</v>
      </c>
      <c r="I41" s="59">
        <f>I19-I34</f>
        <v>305.1369075700002</v>
      </c>
      <c r="J41" s="13"/>
    </row>
    <row r="42">
      <c r="A42" s="2"/>
      <c r="B42" s="8" t="s">
        <v>107</v>
      </c>
      <c r="C42" s="17">
        <f>C20-C35</f>
        <v>132.80700000000002</v>
      </c>
      <c r="D42" s="17">
        <f>D20-D35</f>
        <v>305.08599999999996</v>
      </c>
      <c r="E42" s="17">
        <f>E20-E35</f>
        <v>567.2740000000001</v>
      </c>
      <c r="F42" s="17">
        <f>F20-F35</f>
        <v>173.92500000000018</v>
      </c>
      <c r="G42" s="17">
        <f>G20-G35</f>
        <v>1179.092</v>
      </c>
      <c r="H42" s="17">
        <f>H20-H35</f>
        <v>165.28699999999992</v>
      </c>
      <c r="I42" s="6">
        <f>I20-I35</f>
        <v>326.52099999999984</v>
      </c>
      <c r="J42" s="13"/>
    </row>
    <row r="43">
      <c r="A43" s="2"/>
      <c r="B43" s="28" t="s">
        <v>113</v>
      </c>
      <c r="C43" s="4">
        <f>IFERROR(IF(C42&gt;0,C41/C42-1,"n/a"),"n/a")</f>
        <v>0.2445654220033575</v>
      </c>
      <c r="D43" s="4">
        <f>IFERROR(IF(D42&gt;0,D41/D42-1,"n/a"),"n/a")</f>
        <v>0.07025887782461293</v>
      </c>
      <c r="E43" s="4">
        <f>IFERROR(IF(E42&gt;0,E41/E42-1,"n/a"),"n/a")</f>
        <v>0.0830145573391341</v>
      </c>
      <c r="F43" s="4">
        <f>IFERROR(IF(F42&gt;0,F41/F42-1,"n/a"),"n/a")</f>
        <v>-0.09887020267356883</v>
      </c>
      <c r="G43" s="4">
        <f>IFERROR(IF(G42&gt;0,G41/G42-1,"n/a"),"n/a")</f>
        <v>0.07108096738846403</v>
      </c>
      <c r="H43" s="4">
        <f>IFERROR(IF(H42&gt;0,H41/H42-1,"n/a"),"n/a")</f>
        <v>-0.06041612468010216</v>
      </c>
      <c r="I43" s="23">
        <f>IFERROR(IF(I42&gt;0,I41/I42-1,"n/a"),"n/a")</f>
        <v>-0.06549071094967762</v>
      </c>
      <c r="J43" s="13"/>
    </row>
    <row r="44">
      <c r="A44" s="2"/>
      <c r="B44" s="8" t="s">
        <v>115</v>
      </c>
      <c r="C44" s="17" t="s">
        <v>37</v>
      </c>
      <c r="D44" s="17">
        <f>IFERROR(D41-C41,"n/a")</f>
        <v>161.23399999999992</v>
      </c>
      <c r="E44" s="17">
        <f>IFERROR(E41-D41,"n/a")</f>
        <v>287.84500000000025</v>
      </c>
      <c r="F44" s="17">
        <f>IFERROR(F41-E41,"n/a")</f>
        <v>-457.6370000000004</v>
      </c>
      <c r="G44" s="17" t="s">
        <v>37</v>
      </c>
      <c r="H44" s="17">
        <f>IFERROR(H41-F41,"n/a")</f>
        <v>-1.4279999999998267</v>
      </c>
      <c r="I44" s="6">
        <f>IFERROR(I41-H41,"n/a")</f>
        <v>149.8359075700003</v>
      </c>
      <c r="J44" s="13"/>
    </row>
    <row r="45">
      <c r="A45" s="2"/>
      <c r="B45" s="28" t="s">
        <v>90</v>
      </c>
      <c r="C45" s="4">
        <f>IFERROR(C41/C10,"n/a")</f>
        <v>0.17136390686525563</v>
      </c>
      <c r="D45" s="4">
        <f>IFERROR(D41/D10,"n/a")</f>
        <v>0.22820231472421784</v>
      </c>
      <c r="E45" s="4">
        <f>IFERROR(E41/E10,"n/a")</f>
        <v>0.3138445065742927</v>
      </c>
      <c r="F45" s="4">
        <f>IFERROR(F41/F10,"n/a")</f>
        <v>0.1400154908703026</v>
      </c>
      <c r="G45" s="4">
        <f>IFERROR(G41/G10,"n/a")</f>
        <v>0.23078119312259407</v>
      </c>
      <c r="H45" s="4">
        <f>IFERROR(H41/H10,"n/a")</f>
        <v>0.15232592240942147</v>
      </c>
      <c r="I45" s="23">
        <f>IFERROR(I41/I10,"n/a")</f>
        <v>0.2032317056409406</v>
      </c>
      <c r="J45" s="13"/>
    </row>
    <row r="46">
      <c r="A46" s="2"/>
      <c r="B46" s="1" t="s">
        <v>127</v>
      </c>
      <c r="C46" s="83">
        <f>IFERROR((C41/C10-C42/C11)*10000,"n/a")</f>
        <v>104.53404979382158</v>
      </c>
      <c r="D46" s="83">
        <f>IFERROR((D41/D10-D42/D11)*10000,"n/a")</f>
        <v>-44.533299696783715</v>
      </c>
      <c r="E46" s="83">
        <f>IFERROR((E41/E10-E42/E11)*10000,"n/a")</f>
        <v>33.777452254270536</v>
      </c>
      <c r="F46" s="83">
        <f>IFERROR((F41/F10-F42/F11)*10000,"n/a")</f>
        <v>-302.02168508428775</v>
      </c>
      <c r="G46" s="83">
        <f>IFERROR((G41/G10-G42/G11)*10000,"n/a")</f>
        <v>-57.17756254132428</v>
      </c>
      <c r="H46" s="83">
        <f>IFERROR((H41/H10-H42/H11)*10000,"n/a")</f>
        <v>-190.37984455834157</v>
      </c>
      <c r="I46" s="86">
        <f>IFERROR((I41/I10-I42/I11)*10000,"n/a")</f>
        <v>-249.7060908327725</v>
      </c>
      <c r="J46" s="13"/>
    </row>
    <row r="47">
      <c r="A47" s="2"/>
      <c r="B47" s="1" t="s">
        <v>128</v>
      </c>
      <c r="C47" s="83" t="s">
        <v>37</v>
      </c>
      <c r="D47" s="83">
        <f>IFERROR((D45-C45)*10000,"n/a")</f>
        <v>568.3840785896222</v>
      </c>
      <c r="E47" s="83">
        <f>IFERROR((E45-D45)*10000,"n/a")</f>
        <v>856.4219185007485</v>
      </c>
      <c r="F47" s="83">
        <f>IFERROR((F45-E45)*10000,"n/a")</f>
        <v>-1738.2901570399008</v>
      </c>
      <c r="G47" s="83" t="s">
        <v>37</v>
      </c>
      <c r="H47" s="83">
        <f>IFERROR((H45-F45)*10000,"n/a")</f>
        <v>123.1043153911887</v>
      </c>
      <c r="I47" s="86">
        <f>IFERROR((I45-H45)*10000,"n/a")</f>
        <v>509.0578323151912</v>
      </c>
      <c r="J47" s="13"/>
    </row>
    <row r="48">
      <c r="A48" s="2"/>
      <c r="B48" s="18" t="s">
        <v>218</v>
      </c>
      <c r="C48" s="12">
        <v>18.696</v>
      </c>
      <c r="D48" s="12">
        <v>15.056</v>
      </c>
      <c r="E48" s="12">
        <v>13.523</v>
      </c>
      <c r="F48" s="17">
        <f>G48-C48-D48-E48</f>
        <v>16.338000000000005</v>
      </c>
      <c r="G48" s="12">
        <v>63.613</v>
      </c>
      <c r="H48" s="12">
        <v>15.868</v>
      </c>
      <c r="I48" s="77">
        <v>13.4</v>
      </c>
      <c r="J48" s="13" t="s">
        <v>219</v>
      </c>
    </row>
    <row r="49">
      <c r="A49" s="2"/>
      <c r="B49" s="8" t="s">
        <v>107</v>
      </c>
      <c r="C49" s="12">
        <v>17.252</v>
      </c>
      <c r="D49" s="12">
        <v>14.797</v>
      </c>
      <c r="E49" s="12">
        <v>15.978</v>
      </c>
      <c r="F49" s="17">
        <f>G49-C49-D49-E49</f>
        <v>20.362000000000002</v>
      </c>
      <c r="G49" s="12">
        <v>68.389</v>
      </c>
      <c r="H49" s="17">
        <f>C48</f>
        <v>18.696</v>
      </c>
      <c r="I49" s="6">
        <f>D48</f>
        <v>15.056</v>
      </c>
      <c r="J49" s="13" t="s">
        <v>220</v>
      </c>
    </row>
    <row r="50">
      <c r="A50" s="2"/>
      <c r="B50" s="28" t="s">
        <v>113</v>
      </c>
      <c r="C50" s="4">
        <f>IFERROR(IF(C49&gt;0,C48/C49-1,"n/a"),"n/a")</f>
        <v>0.08370044052863457</v>
      </c>
      <c r="D50" s="4">
        <f>IFERROR(IF(D49&gt;0,D48/D49-1,"n/a"),"n/a")</f>
        <v>0.01750354801648979</v>
      </c>
      <c r="E50" s="4">
        <f>IFERROR(IF(E49&gt;0,E48/E49-1,"n/a"),"n/a")</f>
        <v>-0.1536487670547002</v>
      </c>
      <c r="F50" s="4">
        <f>IFERROR(IF(F49&gt;0,F48/F49-1,"n/a"),"n/a")</f>
        <v>-0.19762302327865622</v>
      </c>
      <c r="G50" s="4">
        <f>IFERROR(IF(G49&gt;0,G48/G49-1,"n/a"),"n/a")</f>
        <v>-0.06983579230578008</v>
      </c>
      <c r="H50" s="4">
        <f>IFERROR(IF(H49&gt;0,H48/H49-1,"n/a"),"n/a")</f>
        <v>-0.15126230209670521</v>
      </c>
      <c r="I50" s="23">
        <f>IFERROR(IF(I49&gt;0,I48/I49-1,"n/a"),"n/a")</f>
        <v>-0.10998937300743883</v>
      </c>
      <c r="J50" s="13"/>
    </row>
    <row r="51">
      <c r="A51" s="2"/>
      <c r="B51" s="8" t="s">
        <v>115</v>
      </c>
      <c r="C51" s="17" t="s">
        <v>37</v>
      </c>
      <c r="D51" s="17">
        <f>IFERROR(D48-C48,"n/a")</f>
        <v>-3.6400000000000023</v>
      </c>
      <c r="E51" s="17">
        <f>IFERROR(E48-D48,"n/a")</f>
        <v>-1.5329999999999995</v>
      </c>
      <c r="F51" s="17">
        <f>IFERROR(F48-E48,"n/a")</f>
        <v>2.815000000000005</v>
      </c>
      <c r="G51" s="17" t="s">
        <v>37</v>
      </c>
      <c r="H51" s="17">
        <f>IFERROR(H48-F48,"n/a")</f>
        <v>-0.4700000000000042</v>
      </c>
      <c r="I51" s="6">
        <f>IFERROR(I48-H48,"n/a")</f>
        <v>-2.468</v>
      </c>
      <c r="J51" s="13"/>
    </row>
    <row r="52">
      <c r="A52" s="2"/>
      <c r="B52" s="18" t="s">
        <v>221</v>
      </c>
      <c r="C52" s="12">
        <v>0.935</v>
      </c>
      <c r="D52" s="12">
        <v>0.521</v>
      </c>
      <c r="E52" s="12">
        <v>1.069</v>
      </c>
      <c r="F52" s="17">
        <f>G52-C52-D52-E52</f>
        <v>0.004999999999999893</v>
      </c>
      <c r="G52" s="12">
        <v>2.53</v>
      </c>
      <c r="H52" s="12">
        <v>2.227</v>
      </c>
      <c r="I52" s="77">
        <v>2.2</v>
      </c>
      <c r="J52" s="13" t="s">
        <v>222</v>
      </c>
    </row>
    <row r="53">
      <c r="A53" s="2"/>
      <c r="B53" s="8" t="s">
        <v>107</v>
      </c>
      <c r="C53" s="12">
        <v>1.031</v>
      </c>
      <c r="D53" s="12">
        <v>1.151</v>
      </c>
      <c r="E53" s="12">
        <v>0.61</v>
      </c>
      <c r="F53" s="17">
        <f>G53-C53-D53-E53</f>
        <v>0.7249999999999998</v>
      </c>
      <c r="G53" s="12">
        <v>3.517</v>
      </c>
      <c r="H53" s="17">
        <f>C52</f>
        <v>0.935</v>
      </c>
      <c r="I53" s="6">
        <f>D52</f>
        <v>0.521</v>
      </c>
      <c r="J53" s="13" t="s">
        <v>220</v>
      </c>
    </row>
    <row r="54">
      <c r="A54" s="2"/>
      <c r="B54" s="28" t="s">
        <v>113</v>
      </c>
      <c r="C54" s="4">
        <f>IFERROR(IF(C53&gt;0,C52/C53-1,"n/a"),"n/a")</f>
        <v>-0.09311348205625591</v>
      </c>
      <c r="D54" s="4">
        <f>IFERROR(IF(D53&gt;0,D52/D53-1,"n/a"),"n/a")</f>
        <v>-0.5473501303214596</v>
      </c>
      <c r="E54" s="4">
        <f>IFERROR(IF(E53&gt;0,E52/E53-1,"n/a"),"n/a")</f>
        <v>0.7524590163934426</v>
      </c>
      <c r="F54" s="4">
        <f>IFERROR(IF(F53&gt;0,F52/F53-1,"n/a"),"n/a")</f>
        <v>-0.9931034482758622</v>
      </c>
      <c r="G54" s="4">
        <f>IFERROR(IF(G53&gt;0,G52/G53-1,"n/a"),"n/a")</f>
        <v>-0.28063690645436457</v>
      </c>
      <c r="H54" s="4">
        <f>IFERROR(IF(H53&gt;0,H52/H53-1,"n/a"),"n/a")</f>
        <v>1.3818181818181814</v>
      </c>
      <c r="I54" s="23">
        <f>IFERROR(IF(I53&gt;0,I52/I53-1,"n/a"),"n/a")</f>
        <v>3.222648752399232</v>
      </c>
      <c r="J54" s="13"/>
    </row>
    <row r="55">
      <c r="A55" s="2"/>
      <c r="B55" s="8" t="s">
        <v>115</v>
      </c>
      <c r="C55" s="17" t="s">
        <v>37</v>
      </c>
      <c r="D55" s="17">
        <f>IFERROR(D52-C52,"n/a")</f>
        <v>-0.41400000000000003</v>
      </c>
      <c r="E55" s="17">
        <f>IFERROR(E52-D52,"n/a")</f>
        <v>0.5479999999999999</v>
      </c>
      <c r="F55" s="17">
        <f>IFERROR(F52-E52,"n/a")</f>
        <v>-1.064</v>
      </c>
      <c r="G55" s="17" t="s">
        <v>37</v>
      </c>
      <c r="H55" s="17">
        <f>IFERROR(H52-F52,"n/a")</f>
        <v>2.222</v>
      </c>
      <c r="I55" s="6">
        <f>IFERROR(I52-H52,"n/a")</f>
        <v>-0.02699999999999969</v>
      </c>
      <c r="J55" s="13"/>
    </row>
    <row r="56">
      <c r="A56" s="2"/>
      <c r="B56" s="18" t="s">
        <v>223</v>
      </c>
      <c r="C56" s="12">
        <v>0.018</v>
      </c>
      <c r="D56" s="12">
        <v>1.3</v>
      </c>
      <c r="E56" s="12">
        <v>0.093</v>
      </c>
      <c r="F56" s="17">
        <f>G56-C56-D56-E56</f>
        <v>0.9590000000000003</v>
      </c>
      <c r="G56" s="12">
        <v>2.37</v>
      </c>
      <c r="H56" s="12">
        <v>0.108</v>
      </c>
      <c r="I56" s="77">
        <v>0.1</v>
      </c>
      <c r="J56" s="13" t="s">
        <v>224</v>
      </c>
    </row>
    <row r="57">
      <c r="A57" s="2"/>
      <c r="B57" s="8" t="s">
        <v>107</v>
      </c>
      <c r="C57" s="12">
        <v>0.125</v>
      </c>
      <c r="D57" s="12">
        <v>0.18</v>
      </c>
      <c r="E57" s="12">
        <v>1.3</v>
      </c>
      <c r="F57" s="17">
        <f>G57-C57-D57-E57</f>
        <v>-2.27</v>
      </c>
      <c r="G57" s="12">
        <v>-0.665</v>
      </c>
      <c r="H57" s="17">
        <f>C56</f>
        <v>0.018</v>
      </c>
      <c r="I57" s="6">
        <f>D56</f>
        <v>1.3</v>
      </c>
      <c r="J57" s="13" t="s">
        <v>225</v>
      </c>
    </row>
    <row r="58">
      <c r="A58" s="2"/>
      <c r="B58" s="28" t="s">
        <v>113</v>
      </c>
      <c r="C58" s="4">
        <f>IFERROR(IF(C57&gt;0,C56/C57-1,"n/a"),"n/a")</f>
        <v>-0.856</v>
      </c>
      <c r="D58" s="4">
        <f>IFERROR(IF(D57&gt;0,D56/D57-1,"n/a"),"n/a")</f>
        <v>6.222222222222222</v>
      </c>
      <c r="E58" s="4">
        <f>IFERROR(IF(E57&gt;0,E56/E57-1,"n/a"),"n/a")</f>
        <v>-0.9284615384615384</v>
      </c>
      <c r="F58" s="4" t="str">
        <f>IFERROR(IF(F57&gt;0,F56/F57-1,"n/a"),"n/a")</f>
        <v>n/a</v>
      </c>
      <c r="G58" s="4" t="str">
        <f>IFERROR(IF(G57&gt;0,G56/G57-1,"n/a"),"n/a")</f>
        <v>n/a</v>
      </c>
      <c r="H58" s="4">
        <f>IFERROR(IF(H57&gt;0,H56/H57-1,"n/a"),"n/a")</f>
        <v>5</v>
      </c>
      <c r="I58" s="23">
        <f>IFERROR(IF(I57&gt;0,I56/I57-1,"n/a"),"n/a")</f>
        <v>-0.9230769230769231</v>
      </c>
      <c r="J58" s="13" t="s">
        <v>226</v>
      </c>
    </row>
    <row r="59">
      <c r="A59" s="2"/>
      <c r="B59" s="8" t="s">
        <v>115</v>
      </c>
      <c r="C59" s="17" t="s">
        <v>37</v>
      </c>
      <c r="D59" s="17">
        <f>IFERROR(D56-C56,"n/a")</f>
        <v>1.282</v>
      </c>
      <c r="E59" s="17">
        <f>IFERROR(E56-D56,"n/a")</f>
        <v>-1.207</v>
      </c>
      <c r="F59" s="17">
        <f>IFERROR(F56-E56,"n/a")</f>
        <v>0.8660000000000003</v>
      </c>
      <c r="G59" s="17" t="s">
        <v>37</v>
      </c>
      <c r="H59" s="17">
        <f>IFERROR(H56-F56,"n/a")</f>
        <v>-0.8510000000000003</v>
      </c>
      <c r="I59" s="6">
        <f>IFERROR(I56-H56,"n/a")</f>
        <v>-0.007999999999999993</v>
      </c>
      <c r="J59" s="13"/>
    </row>
    <row r="60">
      <c r="A60" s="2"/>
      <c r="B60" s="27" t="s">
        <v>227</v>
      </c>
      <c r="C60" s="3">
        <f>C48-C52+C56</f>
        <v>17.779000000000003</v>
      </c>
      <c r="D60" s="3">
        <f>D48-D52+D56</f>
        <v>15.834999999999999</v>
      </c>
      <c r="E60" s="3">
        <f>E48-E52+E56</f>
        <v>12.547</v>
      </c>
      <c r="F60" s="3">
        <f>F48-F52+F56</f>
        <v>17.292000000000005</v>
      </c>
      <c r="G60" s="3">
        <f>G48-G52+G56</f>
        <v>63.452999999999996</v>
      </c>
      <c r="H60" s="3">
        <f>H48-H52+H56</f>
        <v>13.749</v>
      </c>
      <c r="I60" s="59">
        <f>I48-I52+I56</f>
        <v>11.299999999999999</v>
      </c>
      <c r="J60" s="13"/>
    </row>
    <row r="61">
      <c r="A61" s="2"/>
      <c r="B61" s="27" t="s">
        <v>228</v>
      </c>
      <c r="C61" s="3">
        <f>C41+C60</f>
        <v>183.06599999999992</v>
      </c>
      <c r="D61" s="3">
        <f>D41+D60</f>
        <v>342.3559999999998</v>
      </c>
      <c r="E61" s="3">
        <f>E41+E60</f>
        <v>626.9130000000001</v>
      </c>
      <c r="F61" s="3">
        <f>F41+F60</f>
        <v>174.0209999999997</v>
      </c>
      <c r="G61" s="3">
        <f>G41+G60</f>
        <v>1326.3559999999989</v>
      </c>
      <c r="H61" s="3">
        <f>H41+H60</f>
        <v>169.04999999999987</v>
      </c>
      <c r="I61" s="59">
        <f>I41+I60</f>
        <v>316.4369075700002</v>
      </c>
      <c r="J61" s="13"/>
    </row>
    <row r="62">
      <c r="A62" s="2"/>
      <c r="B62" s="8" t="s">
        <v>107</v>
      </c>
      <c r="C62" s="12">
        <v>149.153</v>
      </c>
      <c r="D62" s="12">
        <v>318.912</v>
      </c>
      <c r="E62" s="12">
        <v>583.942</v>
      </c>
      <c r="F62" s="17">
        <f>G62-C62-D62-E62</f>
        <v>191.29199999999992</v>
      </c>
      <c r="G62" s="12">
        <v>1243.299</v>
      </c>
      <c r="H62" s="17">
        <f>C61</f>
        <v>183.06599999999992</v>
      </c>
      <c r="I62" s="6">
        <f>D61</f>
        <v>342.3559999999998</v>
      </c>
      <c r="J62" s="13"/>
    </row>
    <row r="63">
      <c r="A63" s="2"/>
      <c r="B63" s="28" t="s">
        <v>113</v>
      </c>
      <c r="C63" s="4">
        <f>IFERROR(IF(C62&gt;0,C61/C62-1,"n/a"),"n/a")</f>
        <v>0.22737055238580473</v>
      </c>
      <c r="D63" s="4">
        <f>IFERROR(IF(D62&gt;0,D61/D62-1,"n/a"),"n/a")</f>
        <v>0.07351244230383247</v>
      </c>
      <c r="E63" s="4">
        <f>IFERROR(IF(E62&gt;0,E61/E62-1,"n/a"),"n/a")</f>
        <v>0.07358778782824338</v>
      </c>
      <c r="F63" s="4">
        <f>IFERROR(IF(F62&gt;0,F61/F62-1,"n/a"),"n/a")</f>
        <v>-0.09028605482717633</v>
      </c>
      <c r="G63" s="4">
        <f>IFERROR(IF(G62&gt;0,G61/G62-1,"n/a"),"n/a")</f>
        <v>0.06680372138962465</v>
      </c>
      <c r="H63" s="4">
        <f>IFERROR(IF(H62&gt;0,H61/H62-1,"n/a"),"n/a")</f>
        <v>-0.07656255121103894</v>
      </c>
      <c r="I63" s="23">
        <f>IFERROR(IF(I62&gt;0,I61/I62-1,"n/a"),"n/a")</f>
        <v>-0.07570801279954098</v>
      </c>
      <c r="J63" s="13"/>
    </row>
    <row r="64">
      <c r="A64" s="2"/>
      <c r="B64" s="8" t="s">
        <v>115</v>
      </c>
      <c r="C64" s="17" t="s">
        <v>37</v>
      </c>
      <c r="D64" s="17">
        <f>IFERROR(D61-C61,"n/a")</f>
        <v>159.2899999999999</v>
      </c>
      <c r="E64" s="17">
        <f>IFERROR(E61-D61,"n/a")</f>
        <v>284.5570000000003</v>
      </c>
      <c r="F64" s="17">
        <f>IFERROR(F61-E61,"n/a")</f>
        <v>-452.8920000000004</v>
      </c>
      <c r="G64" s="17" t="s">
        <v>37</v>
      </c>
      <c r="H64" s="17">
        <f>IFERROR(H61-F61,"n/a")</f>
        <v>-4.970999999999833</v>
      </c>
      <c r="I64" s="6">
        <f>IFERROR(I61-H61,"n/a")</f>
        <v>147.38690757000032</v>
      </c>
      <c r="J64" s="13"/>
    </row>
    <row r="65">
      <c r="A65" s="2"/>
      <c r="B65" s="28" t="s">
        <v>229</v>
      </c>
      <c r="C65" s="4">
        <f>IFERROR(C61/C10,"n/a")</f>
        <v>0.18979656581700247</v>
      </c>
      <c r="D65" s="4">
        <f>IFERROR(D61/D10,"n/a")</f>
        <v>0.23926924044617137</v>
      </c>
      <c r="E65" s="4">
        <f>IFERROR(E61/E10,"n/a")</f>
        <v>0.3202540523889824</v>
      </c>
      <c r="F65" s="4">
        <f>IFERROR(F61/F10,"n/a")</f>
        <v>0.15546347987124867</v>
      </c>
      <c r="G65" s="4">
        <f>IFERROR(G61/G10,"n/a")</f>
        <v>0.24237650887305787</v>
      </c>
      <c r="H65" s="4">
        <f>IFERROR(H61/H10,"n/a")</f>
        <v>0.16581153491164063</v>
      </c>
      <c r="I65" s="23">
        <f>IFERROR(I61/I10,"n/a")</f>
        <v>0.21075789541598705</v>
      </c>
      <c r="J65" s="13"/>
    </row>
    <row r="66">
      <c r="A66" s="2"/>
      <c r="B66" s="1" t="s">
        <v>127</v>
      </c>
      <c r="C66" s="83">
        <f>IFERROR((C61/C10-C62/C11)*10000,"n/a")</f>
        <v>90.81060702184091</v>
      </c>
      <c r="D66" s="83">
        <f>IFERROR((D61/D10-D62/D11)*10000,"n/a")</f>
        <v>-39.29978661292854</v>
      </c>
      <c r="E66" s="83">
        <f>IFERROR((E61/E10-E62/E11)*10000,"n/a")</f>
        <v>6.649621864008304</v>
      </c>
      <c r="F66" s="83">
        <f>IFERROR((F61/F10-F62/F11)*10000,"n/a")</f>
        <v>-317.50988996805006</v>
      </c>
      <c r="G66" s="83">
        <f>IFERROR((G61/G10-G62/G11)*10000,"n/a")</f>
        <v>-70.00899557441737</v>
      </c>
      <c r="H66" s="83">
        <f>IFERROR((H61/H10-H62/H11)*10000,"n/a")</f>
        <v>-239.8503090536183</v>
      </c>
      <c r="I66" s="86">
        <f>IFERROR((I61/I10-I62/I11)*10000,"n/a")</f>
        <v>-285.1134503018432</v>
      </c>
      <c r="J66" s="13"/>
    </row>
    <row r="67">
      <c r="A67" s="2"/>
      <c r="B67" s="1" t="s">
        <v>128</v>
      </c>
      <c r="C67" s="83" t="s">
        <v>37</v>
      </c>
      <c r="D67" s="83">
        <f>IFERROR((D65-C65)*10000,"n/a")</f>
        <v>494.72674629168904</v>
      </c>
      <c r="E67" s="83">
        <f>IFERROR((E65-D65)*10000,"n/a")</f>
        <v>809.8481194281104</v>
      </c>
      <c r="F67" s="83">
        <f>IFERROR((F65-E65)*10000,"n/a")</f>
        <v>-1647.9057251773374</v>
      </c>
      <c r="G67" s="83" t="s">
        <v>37</v>
      </c>
      <c r="H67" s="83">
        <f>IFERROR((H65-F65)*10000,"n/a")</f>
        <v>103.48055040391962</v>
      </c>
      <c r="I67" s="86">
        <f>IFERROR((I65-H65)*10000,"n/a")</f>
        <v>449.46360504346416</v>
      </c>
      <c r="J67" s="13"/>
    </row>
    <row r="68">
      <c r="A68" s="2"/>
      <c r="B68" s="18" t="s">
        <v>230</v>
      </c>
      <c r="C68" s="12">
        <v>43.863</v>
      </c>
      <c r="D68" s="12">
        <v>74.204</v>
      </c>
      <c r="E68" s="12">
        <v>145.768</v>
      </c>
      <c r="F68" s="17">
        <f>G68-C68-D68-E68</f>
        <v>38.45000000000002</v>
      </c>
      <c r="G68" s="12">
        <v>302.285</v>
      </c>
      <c r="H68" s="12">
        <v>39.078</v>
      </c>
      <c r="I68" s="6">
        <f>I61*I72</f>
        <v>71.19830420325005</v>
      </c>
      <c r="J68" s="13" t="s">
        <v>231</v>
      </c>
    </row>
    <row r="69">
      <c r="A69" s="2"/>
      <c r="B69" s="8" t="s">
        <v>107</v>
      </c>
      <c r="C69" s="12">
        <v>33.528</v>
      </c>
      <c r="D69" s="12">
        <v>76.591</v>
      </c>
      <c r="E69" s="12">
        <v>127.208</v>
      </c>
      <c r="F69" s="17">
        <f>G69-C69-D69-E69</f>
        <v>39.88100000000006</v>
      </c>
      <c r="G69" s="12">
        <v>277.208</v>
      </c>
      <c r="H69" s="17">
        <f>C68</f>
        <v>43.863</v>
      </c>
      <c r="I69" s="6">
        <f>D68</f>
        <v>74.204</v>
      </c>
      <c r="J69" s="13"/>
    </row>
    <row r="70">
      <c r="A70" s="2"/>
      <c r="B70" s="28" t="s">
        <v>113</v>
      </c>
      <c r="C70" s="4">
        <f>IFERROR(IF(C69&gt;0,C68/C69-1,"n/a"),"n/a")</f>
        <v>0.3082498210450966</v>
      </c>
      <c r="D70" s="4">
        <f>IFERROR(IF(D69&gt;0,D68/D69-1,"n/a"),"n/a")</f>
        <v>-0.03116554164327401</v>
      </c>
      <c r="E70" s="4">
        <f>IFERROR(IF(E69&gt;0,E68/E69-1,"n/a"),"n/a")</f>
        <v>0.14590277341047742</v>
      </c>
      <c r="F70" s="4">
        <f>IFERROR(IF(F69&gt;0,F68/F69-1,"n/a"),"n/a")</f>
        <v>-0.03588174820089862</v>
      </c>
      <c r="G70" s="4">
        <f>IFERROR(IF(G69&gt;0,G68/G69-1,"n/a"),"n/a")</f>
        <v>0.09046275720758423</v>
      </c>
      <c r="H70" s="4">
        <f>IFERROR(IF(H69&gt;0,H68/H69-1,"n/a"),"n/a")</f>
        <v>-0.1090896655495519</v>
      </c>
      <c r="I70" s="23">
        <f>IFERROR(IF(I69&gt;0,I68/I69-1,"n/a"),"n/a")</f>
        <v>-0.04050584600223639</v>
      </c>
      <c r="J70" s="13"/>
    </row>
    <row r="71">
      <c r="A71" s="2"/>
      <c r="B71" s="8" t="s">
        <v>115</v>
      </c>
      <c r="C71" s="17" t="s">
        <v>37</v>
      </c>
      <c r="D71" s="17">
        <f>IFERROR(D68-C68,"n/a")</f>
        <v>30.340999999999994</v>
      </c>
      <c r="E71" s="17">
        <f>IFERROR(E68-D68,"n/a")</f>
        <v>71.56400000000001</v>
      </c>
      <c r="F71" s="17">
        <f>IFERROR(F68-E68,"n/a")</f>
        <v>-107.31799999999998</v>
      </c>
      <c r="G71" s="17" t="s">
        <v>37</v>
      </c>
      <c r="H71" s="17">
        <f>IFERROR(H68-F68,"n/a")</f>
        <v>0.6279999999999859</v>
      </c>
      <c r="I71" s="6">
        <f>IFERROR(I68-H68,"n/a")</f>
        <v>32.12030420325004</v>
      </c>
      <c r="J71" s="13"/>
    </row>
    <row r="72">
      <c r="A72" s="2"/>
      <c r="B72" s="28" t="s">
        <v>91</v>
      </c>
      <c r="C72" s="4">
        <f>IFERROR(C68/C61,"n/a")</f>
        <v>0.23960211071416876</v>
      </c>
      <c r="D72" s="4">
        <f>IFERROR(D68/D61,"n/a")</f>
        <v>0.21674514248326313</v>
      </c>
      <c r="E72" s="4">
        <f>IFERROR(E68/E61,"n/a")</f>
        <v>0.23251711162473895</v>
      </c>
      <c r="F72" s="4">
        <f>IFERROR(F68/F61,"n/a")</f>
        <v>0.22095034507329622</v>
      </c>
      <c r="G72" s="4">
        <f>IFERROR(G68/G61,"n/a")</f>
        <v>0.22790638410803757</v>
      </c>
      <c r="H72" s="4">
        <f>IFERROR(H68/H61,"n/a")</f>
        <v>0.23116237799467632</v>
      </c>
      <c r="I72" s="52">
        <v>0.225</v>
      </c>
      <c r="J72" s="13" t="s">
        <v>232</v>
      </c>
    </row>
    <row r="73">
      <c r="A73" s="2"/>
      <c r="B73" s="1" t="s">
        <v>127</v>
      </c>
      <c r="C73" s="83">
        <f>IFERROR((C68/C61-C69/C62)*10000,"n/a")</f>
        <v>148.1280040864355</v>
      </c>
      <c r="D73" s="83">
        <f>IFERROR((D68/D61-D69/D62)*10000,"n/a")</f>
        <v>-234.1828818099534</v>
      </c>
      <c r="E73" s="83">
        <f>IFERROR((E68/E61-E69/E62)*10000,"n/a")</f>
        <v>146.73558669137194</v>
      </c>
      <c r="F73" s="83">
        <f>IFERROR((F68/F61-F69/F62)*10000,"n/a")</f>
        <v>124.68024850808752</v>
      </c>
      <c r="G73" s="83">
        <f>IFERROR((G68/G61-G69/G62)*10000,"n/a")</f>
        <v>49.4473127955461</v>
      </c>
      <c r="H73" s="83">
        <f>IFERROR((H68/H61-H69/H62)*10000,"n/a")</f>
        <v>-84.39732719492443</v>
      </c>
      <c r="I73" s="86">
        <f>IFERROR((I68/I61-I69/I62)*10000,"n/a")</f>
        <v>82.5485751673688</v>
      </c>
      <c r="J73" s="13"/>
    </row>
    <row r="74">
      <c r="A74" s="2"/>
      <c r="B74" s="1" t="s">
        <v>128</v>
      </c>
      <c r="C74" s="83" t="s">
        <v>37</v>
      </c>
      <c r="D74" s="83">
        <f>IFERROR((D72-C72)*10000,"n/a")</f>
        <v>-228.56968230905633</v>
      </c>
      <c r="E74" s="83">
        <f>IFERROR((E72-D72)*10000,"n/a")</f>
        <v>157.71969141475827</v>
      </c>
      <c r="F74" s="83">
        <f>IFERROR((F72-E72)*10000,"n/a")</f>
        <v>-115.66766551442731</v>
      </c>
      <c r="G74" s="83" t="s">
        <v>37</v>
      </c>
      <c r="H74" s="83">
        <f>IFERROR((H72-F72)*10000,"n/a")</f>
        <v>102.12032921380093</v>
      </c>
      <c r="I74" s="86">
        <f>IFERROR((I72-H72)*10000,"n/a")</f>
        <v>-61.6237799467631</v>
      </c>
      <c r="J74" s="13"/>
    </row>
    <row r="75">
      <c r="A75" s="2"/>
      <c r="B75" s="27" t="s">
        <v>233</v>
      </c>
      <c r="C75" s="3">
        <f>C61-C68</f>
        <v>139.20299999999992</v>
      </c>
      <c r="D75" s="3">
        <f>D61-D68</f>
        <v>268.1519999999998</v>
      </c>
      <c r="E75" s="3">
        <f>E61-E68</f>
        <v>481.1450000000001</v>
      </c>
      <c r="F75" s="3">
        <f>F61-F68</f>
        <v>135.57099999999969</v>
      </c>
      <c r="G75" s="3">
        <f>G61-G68</f>
        <v>1024.0709999999988</v>
      </c>
      <c r="H75" s="3">
        <f>H61-H68</f>
        <v>129.97199999999987</v>
      </c>
      <c r="I75" s="59">
        <f>I61-I68</f>
        <v>245.23860336675014</v>
      </c>
      <c r="J75" s="13"/>
    </row>
    <row r="76">
      <c r="A76" s="2"/>
      <c r="B76" s="8" t="s">
        <v>107</v>
      </c>
      <c r="C76" s="17">
        <f>C62-C69</f>
        <v>115.625</v>
      </c>
      <c r="D76" s="17">
        <f>D62-D69</f>
        <v>242.32099999999997</v>
      </c>
      <c r="E76" s="17">
        <f>E62-E69</f>
        <v>456.73400000000004</v>
      </c>
      <c r="F76" s="17">
        <f>F62-F69</f>
        <v>151.41099999999986</v>
      </c>
      <c r="G76" s="17">
        <f>G62-G69</f>
        <v>966.0909999999999</v>
      </c>
      <c r="H76" s="17">
        <f>H62-H69</f>
        <v>139.20299999999992</v>
      </c>
      <c r="I76" s="6">
        <f>I62-I69</f>
        <v>268.1519999999998</v>
      </c>
      <c r="J76" s="13"/>
    </row>
    <row r="77">
      <c r="A77" s="2"/>
      <c r="B77" s="28" t="s">
        <v>113</v>
      </c>
      <c r="C77" s="4">
        <f>IFERROR(IF(C76&gt;0,C75/C76-1,"n/a"),"n/a")</f>
        <v>0.20391783783783723</v>
      </c>
      <c r="D77" s="4">
        <f>IFERROR(IF(D76&gt;0,D75/D76-1,"n/a"),"n/a")</f>
        <v>0.10659827253931708</v>
      </c>
      <c r="E77" s="4">
        <f>IFERROR(IF(E76&gt;0,E75/E76-1,"n/a"),"n/a")</f>
        <v>0.0534468640390251</v>
      </c>
      <c r="F77" s="4">
        <f>IFERROR(IF(F76&gt;0,F75/F76-1,"n/a"),"n/a")</f>
        <v>-0.10461591297858275</v>
      </c>
      <c r="G77" s="4">
        <f>IFERROR(IF(G76&gt;0,G75/G76-1,"n/a"),"n/a")</f>
        <v>0.06001505034204735</v>
      </c>
      <c r="H77" s="4">
        <f>IFERROR(IF(H76&gt;0,H75/H76-1,"n/a"),"n/a")</f>
        <v>-0.06631322600806056</v>
      </c>
      <c r="I77" s="23">
        <f>IFERROR(IF(I76&gt;0,I75/I76-1,"n/a"),"n/a")</f>
        <v>-0.08544928485802716</v>
      </c>
      <c r="J77" s="13"/>
    </row>
    <row r="78">
      <c r="A78" s="2"/>
      <c r="B78" s="8" t="s">
        <v>115</v>
      </c>
      <c r="C78" s="17" t="s">
        <v>37</v>
      </c>
      <c r="D78" s="17">
        <f>IFERROR(D75-C75,"n/a")</f>
        <v>128.9489999999999</v>
      </c>
      <c r="E78" s="17">
        <f>IFERROR(E75-D75,"n/a")</f>
        <v>212.99300000000028</v>
      </c>
      <c r="F78" s="17">
        <f>IFERROR(F75-E75,"n/a")</f>
        <v>-345.5740000000004</v>
      </c>
      <c r="G78" s="17" t="s">
        <v>37</v>
      </c>
      <c r="H78" s="17">
        <f>IFERROR(H75-F75,"n/a")</f>
        <v>-5.598999999999819</v>
      </c>
      <c r="I78" s="6">
        <f>IFERROR(I75-H75,"n/a")</f>
        <v>115.26660336675027</v>
      </c>
      <c r="J78" s="13"/>
    </row>
    <row r="79">
      <c r="A79" s="2"/>
      <c r="B79" s="28" t="s">
        <v>234</v>
      </c>
      <c r="C79" s="4">
        <f>IFERROR(C75/C10,"n/a")</f>
        <v>0.14432090804094802</v>
      </c>
      <c r="D79" s="4">
        <f>IFERROR(D75/D10,"n/a")</f>
        <v>0.1874087948338038</v>
      </c>
      <c r="E79" s="4">
        <f>IFERROR(E75/E10,"n/a")</f>
        <v>0.24578950514137837</v>
      </c>
      <c r="F79" s="4">
        <f>IFERROR(F75/F10,"n/a")</f>
        <v>0.12111377034740084</v>
      </c>
      <c r="G79" s="4">
        <f>IFERROR(G75/G10,"n/a")</f>
        <v>0.18713735514306953</v>
      </c>
      <c r="H79" s="4">
        <f>IFERROR(H75/H10,"n/a")</f>
        <v>0.1274821462025185</v>
      </c>
      <c r="I79" s="23">
        <f>IFERROR(I75/I10,"n/a")</f>
        <v>0.16333736894738998</v>
      </c>
      <c r="J79" s="13"/>
    </row>
    <row r="80">
      <c r="A80" s="2"/>
      <c r="B80" s="1" t="s">
        <v>127</v>
      </c>
      <c r="C80" s="83">
        <f>IFERROR((C75/C10-C76/C11)*10000,"n/a")</f>
        <v>42.283166824042816</v>
      </c>
      <c r="D80" s="83">
        <f>IFERROR((D75/D10-D76/D11)*10000,"n/a")</f>
        <v>26.171345220568632</v>
      </c>
      <c r="E80" s="83">
        <f>IFERROR((E75/E10-E76/E11)*10000,"n/a")</f>
        <v>-41.79162165624556</v>
      </c>
      <c r="F80" s="83">
        <f>IFERROR((F75/F10-F76/F11)*10000,"n/a")</f>
        <v>-270.6979167182036</v>
      </c>
      <c r="G80" s="83">
        <f>IFERROR((G75/G10-G76/G11)*10000,"n/a")</f>
        <v>-66.38454125682203</v>
      </c>
      <c r="H80" s="83">
        <f>IFERROR((H75/H10-H76/H11)*10000,"n/a")</f>
        <v>-168.38761838429528</v>
      </c>
      <c r="I80" s="86">
        <f>IFERROR((I75/I10-I76/I11)*10000,"n/a")</f>
        <v>-240.71425886413812</v>
      </c>
      <c r="J80" s="13"/>
    </row>
    <row r="81">
      <c r="A81" s="2"/>
      <c r="B81" s="1" t="s">
        <v>128</v>
      </c>
      <c r="C81" s="83" t="s">
        <v>37</v>
      </c>
      <c r="D81" s="83">
        <f>IFERROR((D79-C79)*10000,"n/a")</f>
        <v>430.8788679285577</v>
      </c>
      <c r="E81" s="83">
        <f>IFERROR((E79-D79)*10000,"n/a")</f>
        <v>583.8071030757458</v>
      </c>
      <c r="F81" s="83">
        <f>IFERROR((F79-E79)*10000,"n/a")</f>
        <v>-1246.7573479397754</v>
      </c>
      <c r="G81" s="83" t="s">
        <v>37</v>
      </c>
      <c r="H81" s="83">
        <f>IFERROR((H79-F79)*10000,"n/a")</f>
        <v>63.68375855117653</v>
      </c>
      <c r="I81" s="86">
        <f>IFERROR((I79-H79)*10000,"n/a")</f>
        <v>358.5522274487149</v>
      </c>
      <c r="J81" s="13"/>
    </row>
    <row r="82">
      <c r="A82" s="2"/>
      <c r="B82" s="18"/>
      <c r="C82" s="5"/>
      <c r="D82" s="5"/>
      <c r="E82" s="5"/>
      <c r="F82" s="5"/>
      <c r="G82" s="5"/>
      <c r="H82" s="5"/>
      <c r="I82" s="9"/>
      <c r="J82" s="13"/>
    </row>
    <row r="83">
      <c r="A83" s="2"/>
      <c r="B83" s="27" t="s">
        <v>235</v>
      </c>
      <c r="C83" s="15"/>
      <c r="D83" s="15"/>
      <c r="E83" s="15"/>
      <c r="F83" s="15"/>
      <c r="G83" s="15"/>
      <c r="H83" s="15"/>
      <c r="I83" s="41"/>
      <c r="J83" s="13"/>
    </row>
    <row r="84">
      <c r="A84" s="2"/>
      <c r="B84" s="18" t="s">
        <v>236</v>
      </c>
      <c r="C84" s="80">
        <f>'Share Count'!C28</f>
        <v>149.344</v>
      </c>
      <c r="D84" s="80">
        <f>'Share Count'!D28</f>
        <v>147.395</v>
      </c>
      <c r="E84" s="80">
        <f>'Share Count'!E28</f>
        <v>144.076</v>
      </c>
      <c r="F84" s="80">
        <f>'Share Count'!F28</f>
        <v>141.124</v>
      </c>
      <c r="G84" s="80">
        <f>'Share Count'!G28</f>
        <v>145.498</v>
      </c>
      <c r="H84" s="80">
        <f>'Share Count'!H28</f>
        <v>138.263</v>
      </c>
      <c r="I84" s="101">
        <f>'Share Count'!I28</f>
        <v>135.25</v>
      </c>
      <c r="J84" s="13"/>
    </row>
    <row r="85">
      <c r="A85" s="2"/>
      <c r="B85" s="18" t="s">
        <v>92</v>
      </c>
      <c r="C85" s="80">
        <f>'Share Count'!C32</f>
        <v>149.635</v>
      </c>
      <c r="D85" s="80">
        <f>'Share Count'!D32</f>
        <v>147.652</v>
      </c>
      <c r="E85" s="80">
        <f>'Share Count'!E32</f>
        <v>144.289</v>
      </c>
      <c r="F85" s="80">
        <f>'Share Count'!F32</f>
        <v>141.502</v>
      </c>
      <c r="G85" s="80">
        <f>'Share Count'!G32</f>
        <v>145.805</v>
      </c>
      <c r="H85" s="80">
        <f>'Share Count'!H32</f>
        <v>138.559</v>
      </c>
      <c r="I85" s="101">
        <f>'Share Count'!I32</f>
        <v>135.546</v>
      </c>
      <c r="J85" s="13"/>
    </row>
    <row r="86">
      <c r="A86" s="2"/>
      <c r="B86" s="18" t="s">
        <v>237</v>
      </c>
      <c r="C86" s="21">
        <f>C75/C84</f>
        <v>0.9320963681165626</v>
      </c>
      <c r="D86" s="21">
        <f>D75/D84</f>
        <v>1.819274737949047</v>
      </c>
      <c r="E86" s="21">
        <f>E75/E84</f>
        <v>3.3395221966184523</v>
      </c>
      <c r="F86" s="21">
        <f>F75/F84</f>
        <v>0.9606516255208164</v>
      </c>
      <c r="G86" s="21">
        <f>G75/G84</f>
        <v>7.038385407359543</v>
      </c>
      <c r="H86" s="21">
        <f>H75/H84</f>
        <v>0.940034571794333</v>
      </c>
      <c r="I86" s="22">
        <f>I75/I84</f>
        <v>1.8132244241534206</v>
      </c>
      <c r="J86" s="13"/>
    </row>
    <row r="87">
      <c r="A87" s="2"/>
      <c r="B87" s="27" t="s">
        <v>238</v>
      </c>
      <c r="C87" s="42">
        <f>C75/C85</f>
        <v>0.9302836903130947</v>
      </c>
      <c r="D87" s="42">
        <f>D75/D85</f>
        <v>1.816108146181561</v>
      </c>
      <c r="E87" s="42">
        <f>E75/E85</f>
        <v>3.3345923805695525</v>
      </c>
      <c r="F87" s="42">
        <f>F75/F85</f>
        <v>0.9580853980862438</v>
      </c>
      <c r="G87" s="42">
        <f>G75/G85</f>
        <v>7.0235657213401375</v>
      </c>
      <c r="H87" s="42">
        <f>H75/H85</f>
        <v>0.9380264003060059</v>
      </c>
      <c r="I87" s="68">
        <f>I75/I85</f>
        <v>1.8092647762881247</v>
      </c>
      <c r="J87" s="13"/>
    </row>
    <row r="88">
      <c r="A88" s="2"/>
      <c r="B88" s="8" t="s">
        <v>239</v>
      </c>
      <c r="C88" s="44">
        <v>0.75</v>
      </c>
      <c r="D88" s="44">
        <v>1.59</v>
      </c>
      <c r="E88" s="44">
        <v>3</v>
      </c>
      <c r="F88" s="44">
        <v>1</v>
      </c>
      <c r="G88" s="44">
        <v>6.33</v>
      </c>
      <c r="H88" s="21">
        <f>C91</f>
        <v>0.93</v>
      </c>
      <c r="I88" s="22">
        <f>D91</f>
        <v>1.82</v>
      </c>
      <c r="J88" s="13" t="s">
        <v>240</v>
      </c>
    </row>
    <row r="89">
      <c r="A89" s="2"/>
      <c r="B89" s="28" t="s">
        <v>113</v>
      </c>
      <c r="C89" s="4">
        <f>IFERROR(IF(C88&gt;0,C87/C88-1,"n/a"),"n/a")</f>
        <v>0.2403782537507928</v>
      </c>
      <c r="D89" s="4">
        <f>IFERROR(IF(D88&gt;0,D87/D88-1,"n/a"),"n/a")</f>
        <v>0.1422063812462646</v>
      </c>
      <c r="E89" s="4">
        <f>IFERROR(IF(E88&gt;0,E87/E88-1,"n/a"),"n/a")</f>
        <v>0.11153079352318418</v>
      </c>
      <c r="F89" s="4">
        <f>IFERROR(IF(F88&gt;0,F87/F88-1,"n/a"),"n/a")</f>
        <v>-0.04191460191375618</v>
      </c>
      <c r="G89" s="4">
        <f>IFERROR(IF(G88&gt;0,G87/G88-1,"n/a"),"n/a")</f>
        <v>0.10956804444551937</v>
      </c>
      <c r="H89" s="4">
        <f>IFERROR(IF(H88&gt;0,H87/H88-1,"n/a"),"n/a")</f>
        <v>0.00863053796344726</v>
      </c>
      <c r="I89" s="23">
        <f>IFERROR(IF(I88&gt;0,I87/I88-1,"n/a"),"n/a")</f>
        <v>-0.005898474566964462</v>
      </c>
      <c r="J89" s="13"/>
    </row>
    <row r="90">
      <c r="A90" s="2"/>
      <c r="B90" s="8" t="s">
        <v>241</v>
      </c>
      <c r="C90" s="21" t="s">
        <v>37</v>
      </c>
      <c r="D90" s="21">
        <f>IFERROR(D87-C87,"n/a")</f>
        <v>0.8858244558684663</v>
      </c>
      <c r="E90" s="21">
        <f>IFERROR(E87-D87,"n/a")</f>
        <v>1.5184842343879916</v>
      </c>
      <c r="F90" s="21">
        <f>IFERROR(F87-E87,"n/a")</f>
        <v>-2.376506982483309</v>
      </c>
      <c r="G90" s="21" t="s">
        <v>37</v>
      </c>
      <c r="H90" s="21">
        <f>IFERROR(H87-F87,"n/a")</f>
        <v>-0.020058997780237897</v>
      </c>
      <c r="I90" s="22">
        <f>IFERROR(I87-H87,"n/a")</f>
        <v>0.8712383759821187</v>
      </c>
      <c r="J90" s="13"/>
    </row>
    <row r="91">
      <c r="A91" s="2"/>
      <c r="B91" s="8" t="s">
        <v>242</v>
      </c>
      <c r="C91" s="44">
        <v>0.93</v>
      </c>
      <c r="D91" s="44">
        <v>1.82</v>
      </c>
      <c r="E91" s="44">
        <v>3.33</v>
      </c>
      <c r="F91" s="44">
        <v>0.96</v>
      </c>
      <c r="G91" s="44">
        <v>7.02</v>
      </c>
      <c r="H91" s="44">
        <v>0.94</v>
      </c>
      <c r="I91" s="22" t="s">
        <v>37</v>
      </c>
      <c r="J91" s="13" t="s">
        <v>243</v>
      </c>
    </row>
    <row r="92">
      <c r="A92" s="2"/>
      <c r="B92" s="8" t="s">
        <v>244</v>
      </c>
      <c r="C92" s="44">
        <v>0.93</v>
      </c>
      <c r="D92" s="44">
        <v>1.82</v>
      </c>
      <c r="E92" s="44">
        <v>3.34</v>
      </c>
      <c r="F92" s="44">
        <v>0.96</v>
      </c>
      <c r="G92" s="44">
        <v>7.04</v>
      </c>
      <c r="H92" s="44">
        <v>0.94</v>
      </c>
      <c r="I92" s="22" t="s">
        <v>37</v>
      </c>
      <c r="J92" s="13"/>
    </row>
    <row r="93">
      <c r="A93" s="2"/>
      <c r="B93" s="18" t="s">
        <v>245</v>
      </c>
      <c r="C93" s="5" t="b">
        <f>ABS(C87-C91)&lt;0.006</f>
        <v>1</v>
      </c>
      <c r="D93" s="5" t="b">
        <f>ABS(D87-D91)&lt;0.006</f>
        <v>1</v>
      </c>
      <c r="E93" s="5" t="b">
        <f>ABS(E87-E91)&lt;0.006</f>
        <v>1</v>
      </c>
      <c r="F93" s="5" t="b">
        <f>ABS(F87-F91)&lt;0.006</f>
        <v>1</v>
      </c>
      <c r="G93" s="5" t="b">
        <f>ABS(G87-G91)&lt;0.006</f>
        <v>1</v>
      </c>
      <c r="H93" s="5" t="b">
        <f>ABS(H87-H91)&lt;0.006</f>
        <v>1</v>
      </c>
      <c r="I93" s="9" t="s">
        <v>37</v>
      </c>
      <c r="J93" s="13"/>
    </row>
    <row r="94">
      <c r="A94" s="2"/>
      <c r="B94" s="18"/>
      <c r="C94" s="5"/>
      <c r="D94" s="5"/>
      <c r="E94" s="5"/>
      <c r="F94" s="5"/>
      <c r="G94" s="5"/>
      <c r="H94" s="5"/>
      <c r="I94" s="9"/>
      <c r="J94" s="13"/>
    </row>
    <row r="95">
      <c r="A95" s="2"/>
      <c r="B95" s="27" t="s">
        <v>246</v>
      </c>
      <c r="C95" s="15"/>
      <c r="D95" s="15"/>
      <c r="E95" s="15"/>
      <c r="F95" s="15"/>
      <c r="G95" s="15"/>
      <c r="H95" s="15"/>
      <c r="I95" s="41"/>
      <c r="J95" s="13"/>
    </row>
    <row r="96">
      <c r="A96" s="2"/>
      <c r="B96" s="18" t="s">
        <v>247</v>
      </c>
      <c r="C96" s="17">
        <f>C75</f>
        <v>139.20299999999992</v>
      </c>
      <c r="D96" s="17">
        <f>D75</f>
        <v>268.1519999999998</v>
      </c>
      <c r="E96" s="17">
        <f>E75</f>
        <v>481.1450000000001</v>
      </c>
      <c r="F96" s="17">
        <f>F75</f>
        <v>135.57099999999969</v>
      </c>
      <c r="G96" s="17">
        <f>G75</f>
        <v>1024.0709999999988</v>
      </c>
      <c r="H96" s="17">
        <f>H75</f>
        <v>129.97199999999987</v>
      </c>
      <c r="I96" s="6">
        <f>I75</f>
        <v>245.23860336675014</v>
      </c>
      <c r="J96" s="13"/>
    </row>
    <row r="97">
      <c r="A97" s="2"/>
      <c r="B97" s="8" t="s">
        <v>248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77">
        <v>0</v>
      </c>
      <c r="J97" s="13" t="s">
        <v>249</v>
      </c>
    </row>
    <row r="98">
      <c r="A98" s="2"/>
      <c r="B98" s="8" t="s">
        <v>250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77">
        <v>0</v>
      </c>
      <c r="J98" s="13" t="s">
        <v>251</v>
      </c>
    </row>
    <row r="99">
      <c r="A99" s="2"/>
      <c r="B99" s="8" t="s">
        <v>252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77">
        <v>0</v>
      </c>
      <c r="J99" s="13" t="s">
        <v>253</v>
      </c>
    </row>
    <row r="100">
      <c r="A100" s="2"/>
      <c r="B100" s="8" t="s">
        <v>254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77">
        <v>0</v>
      </c>
      <c r="J100" s="13" t="s">
        <v>255</v>
      </c>
    </row>
    <row r="101">
      <c r="A101" s="2"/>
      <c r="B101" s="27" t="s">
        <v>256</v>
      </c>
      <c r="C101" s="3">
        <f>C96+C97+C98+C99+C100</f>
        <v>139.20299999999992</v>
      </c>
      <c r="D101" s="3">
        <f>D96+D97+D98+D99+D100</f>
        <v>268.1519999999998</v>
      </c>
      <c r="E101" s="3">
        <f>E96+E97+E98+E99+E100</f>
        <v>481.1450000000001</v>
      </c>
      <c r="F101" s="3">
        <f>F96+F97+F98+F99+F100</f>
        <v>135.57099999999969</v>
      </c>
      <c r="G101" s="3">
        <f>G96+G97+G98+G99+G100</f>
        <v>1024.0709999999988</v>
      </c>
      <c r="H101" s="3">
        <f>H96+H97+H98+H99+H100</f>
        <v>129.97199999999987</v>
      </c>
      <c r="I101" s="59">
        <f>I96+I97+I98+I99+I100</f>
        <v>245.23860336675014</v>
      </c>
      <c r="J101" s="13"/>
    </row>
    <row r="102">
      <c r="A102" s="2"/>
      <c r="B102" s="27" t="s">
        <v>257</v>
      </c>
      <c r="C102" s="42">
        <f>C101/C85</f>
        <v>0.9302836903130947</v>
      </c>
      <c r="D102" s="42">
        <f>D101/D85</f>
        <v>1.816108146181561</v>
      </c>
      <c r="E102" s="42">
        <f>E101/E85</f>
        <v>3.3345923805695525</v>
      </c>
      <c r="F102" s="42">
        <f>F101/F85</f>
        <v>0.9580853980862438</v>
      </c>
      <c r="G102" s="42">
        <f>G101/G85</f>
        <v>7.0235657213401375</v>
      </c>
      <c r="H102" s="42">
        <f>H101/H85</f>
        <v>0.9380264003060059</v>
      </c>
      <c r="I102" s="68">
        <f>I101/I85</f>
        <v>1.8092647762881247</v>
      </c>
      <c r="J102" s="13"/>
    </row>
    <row r="103">
      <c r="A103" s="2"/>
      <c r="B103" s="8" t="s">
        <v>258</v>
      </c>
      <c r="C103" s="51">
        <f>Inputs!E106</f>
        <v>0.93</v>
      </c>
      <c r="D103" s="51">
        <f>Inputs!E107</f>
        <v>1.82</v>
      </c>
      <c r="E103" s="51">
        <f>Inputs!E108</f>
        <v>3.33</v>
      </c>
      <c r="F103" s="51">
        <f>Inputs!E109</f>
        <v>0.96</v>
      </c>
      <c r="G103" s="21" t="s">
        <v>37</v>
      </c>
      <c r="H103" s="51">
        <f>Inputs!E110</f>
        <v>0.94</v>
      </c>
      <c r="I103" s="22" t="s">
        <v>37</v>
      </c>
      <c r="J103" s="13"/>
    </row>
    <row r="104">
      <c r="A104" s="2"/>
      <c r="B104" s="8" t="s">
        <v>259</v>
      </c>
      <c r="C104" s="51">
        <f>Inputs!G106</f>
        <v>0.93</v>
      </c>
      <c r="D104" s="51">
        <f>Inputs!G107</f>
        <v>1.82</v>
      </c>
      <c r="E104" s="51">
        <f>Inputs!G108</f>
        <v>3.33</v>
      </c>
      <c r="F104" s="51">
        <f>Inputs!G109</f>
        <v>0.96</v>
      </c>
      <c r="G104" s="21" t="s">
        <v>37</v>
      </c>
      <c r="H104" s="51">
        <f>Inputs!G110</f>
        <v>0.94</v>
      </c>
      <c r="I104" s="22" t="s">
        <v>37</v>
      </c>
      <c r="J104" s="13"/>
    </row>
    <row r="105">
      <c r="A105" s="2"/>
      <c r="B105" s="8" t="s">
        <v>260</v>
      </c>
      <c r="C105" s="51">
        <f>Inputs!D106</f>
        <v>0.68</v>
      </c>
      <c r="D105" s="51">
        <f>Inputs!D107</f>
        <v>1.58</v>
      </c>
      <c r="E105" s="51">
        <f>Inputs!D108</f>
        <v>2.77</v>
      </c>
      <c r="F105" s="51">
        <f>Inputs!D109</f>
        <v>0.83</v>
      </c>
      <c r="G105" s="21" t="s">
        <v>37</v>
      </c>
      <c r="H105" s="51">
        <f>Inputs!D110</f>
        <v>0.87</v>
      </c>
      <c r="I105" s="47">
        <f>Inputs!C39</f>
        <v>1.79</v>
      </c>
      <c r="J105" s="13" t="s">
        <v>261</v>
      </c>
    </row>
    <row r="106">
      <c r="A106" s="2"/>
      <c r="B106" s="8" t="s">
        <v>262</v>
      </c>
      <c r="C106" s="21">
        <f>C102-C105</f>
        <v>0.2502836903130946</v>
      </c>
      <c r="D106" s="21">
        <f>D102-D105</f>
        <v>0.23610814618156084</v>
      </c>
      <c r="E106" s="21">
        <f>E102-E105</f>
        <v>0.5645923805695525</v>
      </c>
      <c r="F106" s="21">
        <f>F102-F105</f>
        <v>0.12808539808624386</v>
      </c>
      <c r="G106" s="21" t="s">
        <v>37</v>
      </c>
      <c r="H106" s="21">
        <f>H102-H105</f>
        <v>0.06802640030600593</v>
      </c>
      <c r="I106" s="22">
        <f>I102-I105</f>
        <v>0.01926477628812462</v>
      </c>
      <c r="J106" s="13"/>
    </row>
    <row r="107">
      <c r="A107" s="2"/>
      <c r="B107" s="18" t="s">
        <v>263</v>
      </c>
      <c r="C107" s="5" t="b">
        <f>ABS(C102-C103)&lt;0.006</f>
        <v>1</v>
      </c>
      <c r="D107" s="5" t="b">
        <f>ABS(D102-D103)&lt;0.006</f>
        <v>1</v>
      </c>
      <c r="E107" s="5" t="b">
        <f>ABS(E102-E103)&lt;0.006</f>
        <v>1</v>
      </c>
      <c r="F107" s="5" t="b">
        <f>ABS(F102-F103)&lt;0.006</f>
        <v>1</v>
      </c>
      <c r="G107" s="5" t="s">
        <v>37</v>
      </c>
      <c r="H107" s="5" t="b">
        <f>ABS(H102-H103)&lt;0.006</f>
        <v>1</v>
      </c>
      <c r="I107" s="9" t="s">
        <v>37</v>
      </c>
      <c r="J107" s="13"/>
    </row>
    <row r="108">
      <c r="A108" s="2"/>
      <c r="B108" s="18" t="s">
        <v>264</v>
      </c>
      <c r="C108" s="5" t="b">
        <f>ABS(C87-C75/C85)&lt;0.000001</f>
        <v>1</v>
      </c>
      <c r="D108" s="5" t="b">
        <f>ABS(D87-D75/D85)&lt;0.000001</f>
        <v>1</v>
      </c>
      <c r="E108" s="5" t="b">
        <f>ABS(E87-E75/E85)&lt;0.000001</f>
        <v>1</v>
      </c>
      <c r="F108" s="5" t="b">
        <f>ABS(F87-F75/F85)&lt;0.000001</f>
        <v>1</v>
      </c>
      <c r="G108" s="5" t="b">
        <f>ABS(G87-G75/G85)&lt;0.000001</f>
        <v>1</v>
      </c>
      <c r="H108" s="5" t="b">
        <f>ABS(H87-H75/H85)&lt;0.000001</f>
        <v>1</v>
      </c>
      <c r="I108" s="9" t="b">
        <f>ABS(I87-I75/I85)&lt;0.000001</f>
        <v>1</v>
      </c>
      <c r="J108" s="13" t="s">
        <v>265</v>
      </c>
    </row>
    <row r="109">
      <c r="A109" s="2"/>
      <c r="B109" s="18"/>
      <c r="C109" s="5"/>
      <c r="D109" s="5"/>
      <c r="E109" s="5"/>
      <c r="F109" s="5"/>
      <c r="G109" s="5"/>
      <c r="H109" s="5"/>
      <c r="I109" s="9"/>
      <c r="J109" s="13"/>
    </row>
    <row r="110">
      <c r="A110" s="2"/>
      <c r="B110" s="18" t="s">
        <v>266</v>
      </c>
      <c r="C110" s="5" t="s">
        <v>37</v>
      </c>
      <c r="D110" s="5" t="s">
        <v>37</v>
      </c>
      <c r="E110" s="5" t="s">
        <v>37</v>
      </c>
      <c r="F110" s="5" t="s">
        <v>37</v>
      </c>
      <c r="G110" s="5" t="s">
        <v>37</v>
      </c>
      <c r="H110" s="5" t="s">
        <v>37</v>
      </c>
      <c r="I110" s="9" t="s">
        <v>37</v>
      </c>
      <c r="J110" s="13" t="s">
        <v>267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6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268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269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270</v>
      </c>
      <c r="C10" s="12">
        <v>1720.416</v>
      </c>
      <c r="D10" s="12">
        <v>1414.479</v>
      </c>
      <c r="E10" s="12">
        <v>2086.746</v>
      </c>
      <c r="F10" s="12">
        <v>1907.249</v>
      </c>
      <c r="G10" s="17">
        <f>F10</f>
        <v>1907.249</v>
      </c>
      <c r="H10" s="12">
        <v>1602.589</v>
      </c>
      <c r="I10" s="35">
        <f>'Cash Flow Statement'!I50</f>
        <v>1303.6728694392377</v>
      </c>
      <c r="J10" s="13" t="s">
        <v>271</v>
      </c>
    </row>
    <row r="11">
      <c r="A11" s="2"/>
      <c r="B11" s="18" t="s">
        <v>272</v>
      </c>
      <c r="C11" s="12">
        <v>376.474</v>
      </c>
      <c r="D11" s="12">
        <v>538.764</v>
      </c>
      <c r="E11" s="12">
        <v>344.325</v>
      </c>
      <c r="F11" s="12">
        <v>318.978</v>
      </c>
      <c r="G11" s="17">
        <f>F11</f>
        <v>318.978</v>
      </c>
      <c r="H11" s="12">
        <v>378.348</v>
      </c>
      <c r="I11" s="35">
        <f>I51/I7*'Income Statement'!I10</f>
        <v>565.3413797890471</v>
      </c>
      <c r="J11" s="13" t="s">
        <v>273</v>
      </c>
    </row>
    <row r="12">
      <c r="A12" s="2"/>
      <c r="B12" s="18" t="s">
        <v>274</v>
      </c>
      <c r="C12" s="12">
        <v>849.351</v>
      </c>
      <c r="D12" s="12">
        <v>835.595</v>
      </c>
      <c r="E12" s="12">
        <v>633.485</v>
      </c>
      <c r="F12" s="12">
        <v>487.018</v>
      </c>
      <c r="G12" s="17">
        <f>F12</f>
        <v>487.018</v>
      </c>
      <c r="H12" s="12">
        <v>807.58</v>
      </c>
      <c r="I12" s="6">
        <f>D12*(1+I54)</f>
        <v>810.52715</v>
      </c>
      <c r="J12" s="13" t="s">
        <v>273</v>
      </c>
    </row>
    <row r="13">
      <c r="A13" s="2"/>
      <c r="B13" s="18" t="s">
        <v>275</v>
      </c>
      <c r="C13" s="12">
        <v>52.604</v>
      </c>
      <c r="D13" s="12">
        <v>48.652</v>
      </c>
      <c r="E13" s="12">
        <v>49.699</v>
      </c>
      <c r="F13" s="12">
        <v>53.236</v>
      </c>
      <c r="G13" s="17">
        <f>F13</f>
        <v>53.236</v>
      </c>
      <c r="H13" s="12">
        <v>61.372</v>
      </c>
      <c r="I13" s="6">
        <f>H13</f>
        <v>61.372</v>
      </c>
      <c r="J13" s="13" t="s">
        <v>273</v>
      </c>
    </row>
    <row r="14">
      <c r="A14" s="2"/>
      <c r="B14" s="18" t="s">
        <v>276</v>
      </c>
      <c r="C14" s="12">
        <v>60.624</v>
      </c>
      <c r="D14" s="12">
        <v>125.919</v>
      </c>
      <c r="E14" s="12">
        <v>160.451</v>
      </c>
      <c r="F14" s="12">
        <v>82.114</v>
      </c>
      <c r="G14" s="17">
        <f>F14</f>
        <v>82.114</v>
      </c>
      <c r="H14" s="12">
        <v>67.94</v>
      </c>
      <c r="I14" s="6">
        <f>H14</f>
        <v>67.94</v>
      </c>
      <c r="J14" s="13" t="s">
        <v>273</v>
      </c>
    </row>
    <row r="15">
      <c r="A15" s="2"/>
      <c r="B15" s="18" t="s">
        <v>277</v>
      </c>
      <c r="C15" s="12">
        <v>15.359</v>
      </c>
      <c r="D15" s="12">
        <v>8.066</v>
      </c>
      <c r="E15" s="12">
        <v>7.684</v>
      </c>
      <c r="F15" s="12">
        <v>1.825</v>
      </c>
      <c r="G15" s="17">
        <f>F15</f>
        <v>1.825</v>
      </c>
      <c r="H15" s="12">
        <v>4.2</v>
      </c>
      <c r="I15" s="6">
        <f>H15</f>
        <v>4.2</v>
      </c>
      <c r="J15" s="13" t="s">
        <v>273</v>
      </c>
    </row>
    <row r="16">
      <c r="A16" s="2"/>
      <c r="B16" s="27" t="s">
        <v>278</v>
      </c>
      <c r="C16" s="3">
        <f>SUM(C10:C15)</f>
        <v>3074.828</v>
      </c>
      <c r="D16" s="3">
        <f>SUM(D10:D15)</f>
        <v>2971.475</v>
      </c>
      <c r="E16" s="3">
        <f>SUM(E10:E15)</f>
        <v>3282.39</v>
      </c>
      <c r="F16" s="3">
        <f>SUM(F10:F15)</f>
        <v>2850.42</v>
      </c>
      <c r="G16" s="3">
        <f>SUM(G10:G15)</f>
        <v>2850.42</v>
      </c>
      <c r="H16" s="3">
        <f>SUM(H10:H15)</f>
        <v>2922.029</v>
      </c>
      <c r="I16" s="59">
        <f>SUM(I10:I15)</f>
        <v>2813.053399228285</v>
      </c>
      <c r="J16" s="13"/>
    </row>
    <row r="17">
      <c r="A17" s="2"/>
      <c r="B17" s="18" t="s">
        <v>279</v>
      </c>
      <c r="C17" s="12">
        <v>332.311</v>
      </c>
      <c r="D17" s="12">
        <v>333.495</v>
      </c>
      <c r="E17" s="12">
        <v>333.572</v>
      </c>
      <c r="F17" s="12">
        <v>337.782</v>
      </c>
      <c r="G17" s="17">
        <f>F17</f>
        <v>337.782</v>
      </c>
      <c r="H17" s="12">
        <v>337.75</v>
      </c>
      <c r="I17" s="35">
        <f>H17-'Cash Flow Statement'!I35-'Cash Flow Statement'!I12</f>
        <v>341.75</v>
      </c>
      <c r="J17" s="13" t="s">
        <v>280</v>
      </c>
    </row>
    <row r="18">
      <c r="A18" s="2"/>
      <c r="B18" s="18" t="s">
        <v>281</v>
      </c>
      <c r="C18" s="12">
        <v>269.248</v>
      </c>
      <c r="D18" s="12">
        <v>305.362</v>
      </c>
      <c r="E18" s="12">
        <v>300.902</v>
      </c>
      <c r="F18" s="12">
        <v>335.098</v>
      </c>
      <c r="G18" s="17">
        <f>F18</f>
        <v>335.098</v>
      </c>
      <c r="H18" s="12">
        <v>432.484</v>
      </c>
      <c r="I18" s="6">
        <f>H18</f>
        <v>432.484</v>
      </c>
      <c r="J18" s="13" t="s">
        <v>273</v>
      </c>
    </row>
    <row r="19">
      <c r="A19" s="2"/>
      <c r="B19" s="18" t="s">
        <v>282</v>
      </c>
      <c r="C19" s="12">
        <v>13.99</v>
      </c>
      <c r="D19" s="12">
        <v>13.99</v>
      </c>
      <c r="E19" s="12">
        <v>13.99</v>
      </c>
      <c r="F19" s="12">
        <v>13.99</v>
      </c>
      <c r="G19" s="17">
        <f>F19</f>
        <v>13.99</v>
      </c>
      <c r="H19" s="12">
        <v>13.99</v>
      </c>
      <c r="I19" s="6">
        <f>H19</f>
        <v>13.99</v>
      </c>
      <c r="J19" s="13" t="s">
        <v>273</v>
      </c>
    </row>
    <row r="20">
      <c r="A20" s="2"/>
      <c r="B20" s="18" t="s">
        <v>283</v>
      </c>
      <c r="C20" s="12">
        <v>15.667</v>
      </c>
      <c r="D20" s="12">
        <v>15.659</v>
      </c>
      <c r="E20" s="12">
        <v>15.652</v>
      </c>
      <c r="F20" s="12">
        <v>15.643</v>
      </c>
      <c r="G20" s="17">
        <f>F20</f>
        <v>15.643</v>
      </c>
      <c r="H20" s="12">
        <v>15.635</v>
      </c>
      <c r="I20" s="6">
        <f>H20</f>
        <v>15.635</v>
      </c>
      <c r="J20" s="13" t="s">
        <v>273</v>
      </c>
    </row>
    <row r="21">
      <c r="A21" s="2"/>
      <c r="B21" s="18" t="s">
        <v>284</v>
      </c>
      <c r="C21" s="12">
        <v>85.798</v>
      </c>
      <c r="D21" s="12">
        <v>90.814</v>
      </c>
      <c r="E21" s="12">
        <v>93.681</v>
      </c>
      <c r="F21" s="12">
        <v>68.501</v>
      </c>
      <c r="G21" s="17">
        <f>F21</f>
        <v>68.501</v>
      </c>
      <c r="H21" s="12">
        <v>67.295</v>
      </c>
      <c r="I21" s="6">
        <f>H21</f>
        <v>67.295</v>
      </c>
      <c r="J21" s="13" t="s">
        <v>273</v>
      </c>
    </row>
    <row r="22">
      <c r="A22" s="2"/>
      <c r="B22" s="18" t="s">
        <v>285</v>
      </c>
      <c r="C22" s="12">
        <v>47.429</v>
      </c>
      <c r="D22" s="12">
        <v>53.484</v>
      </c>
      <c r="E22" s="12">
        <v>61.963</v>
      </c>
      <c r="F22" s="12">
        <v>66.331</v>
      </c>
      <c r="G22" s="17">
        <f>F22</f>
        <v>66.331</v>
      </c>
      <c r="H22" s="12">
        <v>79.438</v>
      </c>
      <c r="I22" s="6">
        <f>H22</f>
        <v>79.438</v>
      </c>
      <c r="J22" s="13" t="s">
        <v>273</v>
      </c>
    </row>
    <row r="23">
      <c r="A23" s="2"/>
      <c r="B23" s="27" t="s">
        <v>286</v>
      </c>
      <c r="C23" s="3">
        <f>C16+SUM(C17:C22)</f>
        <v>3839.2709999999997</v>
      </c>
      <c r="D23" s="3">
        <f>D16+SUM(D17:D22)</f>
        <v>3784.279</v>
      </c>
      <c r="E23" s="3">
        <f>E16+SUM(E17:E22)</f>
        <v>4102.15</v>
      </c>
      <c r="F23" s="3">
        <f>F16+SUM(F17:F22)</f>
        <v>3687.7650000000003</v>
      </c>
      <c r="G23" s="3">
        <f>G16+SUM(G17:G22)</f>
        <v>3687.7650000000003</v>
      </c>
      <c r="H23" s="3">
        <f>H16+SUM(H17:H22)</f>
        <v>3868.621</v>
      </c>
      <c r="I23" s="59">
        <f>I16+SUM(I17:I22)</f>
        <v>3763.645399228285</v>
      </c>
      <c r="J23" s="13"/>
    </row>
    <row r="24">
      <c r="A24" s="2"/>
      <c r="B24" s="18"/>
      <c r="C24" s="5"/>
      <c r="D24" s="5"/>
      <c r="E24" s="5"/>
      <c r="F24" s="5"/>
      <c r="G24" s="5"/>
      <c r="H24" s="5"/>
      <c r="I24" s="9"/>
      <c r="J24" s="13"/>
    </row>
    <row r="25">
      <c r="A25" s="2"/>
      <c r="B25" s="27" t="s">
        <v>287</v>
      </c>
      <c r="C25" s="15"/>
      <c r="D25" s="15"/>
      <c r="E25" s="15"/>
      <c r="F25" s="15"/>
      <c r="G25" s="15"/>
      <c r="H25" s="15"/>
      <c r="I25" s="41"/>
      <c r="J25" s="13"/>
    </row>
    <row r="26">
      <c r="A26" s="2"/>
      <c r="B26" s="18" t="s">
        <v>288</v>
      </c>
      <c r="C26" s="12">
        <v>732.881</v>
      </c>
      <c r="D26" s="12">
        <v>590.316</v>
      </c>
      <c r="E26" s="12">
        <v>598.497</v>
      </c>
      <c r="F26" s="12">
        <v>384.529</v>
      </c>
      <c r="G26" s="17">
        <f>F26</f>
        <v>384.529</v>
      </c>
      <c r="H26" s="12">
        <v>726.407</v>
      </c>
      <c r="I26" s="35">
        <f>I59/I7*'Income Statement'!I15</f>
        <v>635.1927958615348</v>
      </c>
      <c r="J26" s="13" t="s">
        <v>273</v>
      </c>
    </row>
    <row r="27">
      <c r="A27" s="2"/>
      <c r="B27" s="18" t="s">
        <v>289</v>
      </c>
      <c r="C27" s="12">
        <v>68.975</v>
      </c>
      <c r="D27" s="12">
        <v>65.59</v>
      </c>
      <c r="E27" s="12">
        <v>86.935</v>
      </c>
      <c r="F27" s="12">
        <v>119.597</v>
      </c>
      <c r="G27" s="17">
        <f>F27</f>
        <v>119.597</v>
      </c>
      <c r="H27" s="12">
        <v>57.325</v>
      </c>
      <c r="I27" s="6">
        <f>H27</f>
        <v>57.325</v>
      </c>
      <c r="J27" s="13" t="s">
        <v>273</v>
      </c>
    </row>
    <row r="28">
      <c r="A28" s="2"/>
      <c r="B28" s="18" t="s">
        <v>290</v>
      </c>
      <c r="C28" s="12">
        <v>65.254</v>
      </c>
      <c r="D28" s="12">
        <v>75.916</v>
      </c>
      <c r="E28" s="12">
        <v>76.771</v>
      </c>
      <c r="F28" s="12">
        <v>83.931</v>
      </c>
      <c r="G28" s="17">
        <f>F28</f>
        <v>83.931</v>
      </c>
      <c r="H28" s="12">
        <v>73.358</v>
      </c>
      <c r="I28" s="6">
        <f>H28</f>
        <v>73.358</v>
      </c>
      <c r="J28" s="13" t="s">
        <v>273</v>
      </c>
    </row>
    <row r="29">
      <c r="A29" s="2"/>
      <c r="B29" s="18" t="s">
        <v>291</v>
      </c>
      <c r="C29" s="12">
        <v>151.448</v>
      </c>
      <c r="D29" s="12">
        <v>151.969</v>
      </c>
      <c r="E29" s="12">
        <v>236.668</v>
      </c>
      <c r="F29" s="12">
        <v>171.173</v>
      </c>
      <c r="G29" s="17">
        <f>F29</f>
        <v>171.173</v>
      </c>
      <c r="H29" s="12">
        <v>146.713</v>
      </c>
      <c r="I29" s="6">
        <f>H29</f>
        <v>146.713</v>
      </c>
      <c r="J29" s="13" t="s">
        <v>273</v>
      </c>
    </row>
    <row r="30">
      <c r="A30" s="2"/>
      <c r="B30" s="18" t="s">
        <v>292</v>
      </c>
      <c r="C30" s="12">
        <v>22.735</v>
      </c>
      <c r="D30" s="12">
        <v>65.985</v>
      </c>
      <c r="E30" s="12">
        <v>142.116</v>
      </c>
      <c r="F30" s="12">
        <v>36.475</v>
      </c>
      <c r="G30" s="17">
        <f>F30</f>
        <v>36.475</v>
      </c>
      <c r="H30" s="12">
        <v>57.294</v>
      </c>
      <c r="I30" s="6">
        <f>H30</f>
        <v>57.294</v>
      </c>
      <c r="J30" s="13" t="s">
        <v>273</v>
      </c>
    </row>
    <row r="31">
      <c r="A31" s="2"/>
      <c r="B31" s="18" t="s">
        <v>293</v>
      </c>
      <c r="C31" s="12">
        <v>5.703</v>
      </c>
      <c r="D31" s="12">
        <v>19.022</v>
      </c>
      <c r="E31" s="12">
        <v>8.456</v>
      </c>
      <c r="F31" s="12">
        <v>8.369</v>
      </c>
      <c r="G31" s="17">
        <f>F31</f>
        <v>8.369</v>
      </c>
      <c r="H31" s="12">
        <v>2.534</v>
      </c>
      <c r="I31" s="6">
        <f>H31</f>
        <v>2.534</v>
      </c>
      <c r="J31" s="13" t="s">
        <v>273</v>
      </c>
    </row>
    <row r="32">
      <c r="A32" s="2"/>
      <c r="B32" s="27" t="s">
        <v>294</v>
      </c>
      <c r="C32" s="3">
        <f>SUM(C26:C31)</f>
        <v>1046.996</v>
      </c>
      <c r="D32" s="3">
        <f>SUM(D26:D31)</f>
        <v>968.798</v>
      </c>
      <c r="E32" s="3">
        <f>SUM(E26:E31)</f>
        <v>1149.443</v>
      </c>
      <c r="F32" s="3">
        <f>SUM(F26:F31)</f>
        <v>804.074</v>
      </c>
      <c r="G32" s="3">
        <f>SUM(G26:G31)</f>
        <v>804.074</v>
      </c>
      <c r="H32" s="3">
        <f>SUM(H26:H31)</f>
        <v>1063.631</v>
      </c>
      <c r="I32" s="59">
        <f>SUM(I26:I31)</f>
        <v>972.4167958615349</v>
      </c>
      <c r="J32" s="13"/>
    </row>
    <row r="33">
      <c r="A33" s="2"/>
      <c r="B33" s="18" t="s">
        <v>295</v>
      </c>
      <c r="C33" s="12">
        <v>246.817</v>
      </c>
      <c r="D33" s="12">
        <v>274.756</v>
      </c>
      <c r="E33" s="12">
        <v>266.111</v>
      </c>
      <c r="F33" s="12">
        <v>291.263</v>
      </c>
      <c r="G33" s="17">
        <f>F33</f>
        <v>291.263</v>
      </c>
      <c r="H33" s="12">
        <v>398.976</v>
      </c>
      <c r="I33" s="6">
        <f>H33</f>
        <v>398.976</v>
      </c>
      <c r="J33" s="13" t="s">
        <v>273</v>
      </c>
    </row>
    <row r="34">
      <c r="A34" s="2"/>
      <c r="B34" s="18" t="s">
        <v>296</v>
      </c>
      <c r="C34" s="12">
        <v>19.761</v>
      </c>
      <c r="D34" s="12">
        <v>15.623</v>
      </c>
      <c r="E34" s="12">
        <v>15.524</v>
      </c>
      <c r="F34" s="12">
        <v>26.313</v>
      </c>
      <c r="G34" s="17">
        <f>F34</f>
        <v>26.313</v>
      </c>
      <c r="H34" s="12">
        <v>28.234</v>
      </c>
      <c r="I34" s="6">
        <f>H34</f>
        <v>28.234</v>
      </c>
      <c r="J34" s="13" t="s">
        <v>273</v>
      </c>
    </row>
    <row r="35">
      <c r="A35" s="2"/>
      <c r="B35" s="18" t="s">
        <v>297</v>
      </c>
      <c r="C35" s="12">
        <v>58.218</v>
      </c>
      <c r="D35" s="12">
        <v>59.072</v>
      </c>
      <c r="E35" s="12">
        <v>61.618</v>
      </c>
      <c r="F35" s="12">
        <v>66.477</v>
      </c>
      <c r="G35" s="17">
        <f>F35</f>
        <v>66.477</v>
      </c>
      <c r="H35" s="12">
        <v>76.098</v>
      </c>
      <c r="I35" s="6">
        <f>H35</f>
        <v>76.098</v>
      </c>
      <c r="J35" s="13" t="s">
        <v>273</v>
      </c>
    </row>
    <row r="36">
      <c r="A36" s="2"/>
      <c r="B36" s="27" t="s">
        <v>298</v>
      </c>
      <c r="C36" s="3">
        <f>SUM(C33:C35)</f>
        <v>324.796</v>
      </c>
      <c r="D36" s="3">
        <f>SUM(D33:D35)</f>
        <v>349.45099999999996</v>
      </c>
      <c r="E36" s="3">
        <f>SUM(E33:E35)</f>
        <v>343.253</v>
      </c>
      <c r="F36" s="3">
        <f>SUM(F33:F35)</f>
        <v>384.053</v>
      </c>
      <c r="G36" s="3">
        <f>SUM(G33:G35)</f>
        <v>384.053</v>
      </c>
      <c r="H36" s="3">
        <f>SUM(H33:H35)</f>
        <v>503.308</v>
      </c>
      <c r="I36" s="59">
        <f>SUM(I33:I35)</f>
        <v>503.308</v>
      </c>
      <c r="J36" s="13"/>
    </row>
    <row r="37">
      <c r="A37" s="2"/>
      <c r="B37" s="27" t="s">
        <v>299</v>
      </c>
      <c r="C37" s="3">
        <f>C32+C36</f>
        <v>1371.7920000000001</v>
      </c>
      <c r="D37" s="3">
        <f>D32+D36</f>
        <v>1318.249</v>
      </c>
      <c r="E37" s="3">
        <f>E32+E36</f>
        <v>1492.696</v>
      </c>
      <c r="F37" s="3">
        <f>F32+F36</f>
        <v>1188.127</v>
      </c>
      <c r="G37" s="3">
        <f>G32+G36</f>
        <v>1188.127</v>
      </c>
      <c r="H37" s="3">
        <f>H32+H36</f>
        <v>1566.939</v>
      </c>
      <c r="I37" s="59">
        <f>I32+I36</f>
        <v>1475.7247958615349</v>
      </c>
      <c r="J37" s="13"/>
    </row>
    <row r="38">
      <c r="A38" s="2"/>
      <c r="B38" s="18"/>
      <c r="C38" s="5"/>
      <c r="D38" s="5"/>
      <c r="E38" s="5"/>
      <c r="F38" s="5"/>
      <c r="G38" s="5"/>
      <c r="H38" s="5"/>
      <c r="I38" s="9"/>
      <c r="J38" s="13"/>
    </row>
    <row r="39">
      <c r="A39" s="2"/>
      <c r="B39" s="27" t="s">
        <v>300</v>
      </c>
      <c r="C39" s="15"/>
      <c r="D39" s="15"/>
      <c r="E39" s="15"/>
      <c r="F39" s="15"/>
      <c r="G39" s="15"/>
      <c r="H39" s="15"/>
      <c r="I39" s="41"/>
      <c r="J39" s="13"/>
    </row>
    <row r="40">
      <c r="A40" s="2"/>
      <c r="B40" s="18" t="s">
        <v>301</v>
      </c>
      <c r="C40" s="12">
        <v>1.485</v>
      </c>
      <c r="D40" s="12">
        <v>1.461</v>
      </c>
      <c r="E40" s="12">
        <v>1.423</v>
      </c>
      <c r="F40" s="12">
        <v>1.4</v>
      </c>
      <c r="G40" s="17">
        <f>F40</f>
        <v>1.4</v>
      </c>
      <c r="H40" s="12">
        <v>1.367</v>
      </c>
      <c r="I40" s="6">
        <f>H40</f>
        <v>1.367</v>
      </c>
      <c r="J40" s="13" t="s">
        <v>273</v>
      </c>
    </row>
    <row r="41">
      <c r="A41" s="2"/>
      <c r="B41" s="18" t="s">
        <v>302</v>
      </c>
      <c r="C41" s="12">
        <v>261.782</v>
      </c>
      <c r="D41" s="12">
        <v>267.907</v>
      </c>
      <c r="E41" s="12">
        <v>279.114</v>
      </c>
      <c r="F41" s="12">
        <v>287.795</v>
      </c>
      <c r="G41" s="17">
        <f>F41</f>
        <v>287.795</v>
      </c>
      <c r="H41" s="12">
        <v>298.049</v>
      </c>
      <c r="I41" s="35">
        <f>H41+'Cash Flow Statement'!I18</f>
        <v>309.049</v>
      </c>
      <c r="J41" s="13" t="s">
        <v>303</v>
      </c>
    </row>
    <row r="42">
      <c r="A42" s="2"/>
      <c r="B42" s="18" t="s">
        <v>304</v>
      </c>
      <c r="C42" s="12">
        <v>2262.301</v>
      </c>
      <c r="D42" s="12">
        <v>2245.773</v>
      </c>
      <c r="E42" s="12">
        <v>2374.985</v>
      </c>
      <c r="F42" s="12">
        <v>2246.362</v>
      </c>
      <c r="G42" s="17">
        <f>F42</f>
        <v>2246.362</v>
      </c>
      <c r="H42" s="12">
        <v>2034.898</v>
      </c>
      <c r="I42" s="35">
        <f>H42+'Income Statement'!I75+'Cash Flow Statement'!I43</f>
        <v>2010.13660336675</v>
      </c>
      <c r="J42" s="13" t="s">
        <v>305</v>
      </c>
    </row>
    <row r="43">
      <c r="A43" s="2"/>
      <c r="B43" s="18" t="s">
        <v>306</v>
      </c>
      <c r="C43" s="12">
        <v>-58.089</v>
      </c>
      <c r="D43" s="12">
        <v>-49.111</v>
      </c>
      <c r="E43" s="12">
        <v>-46.068</v>
      </c>
      <c r="F43" s="12">
        <v>-35.919</v>
      </c>
      <c r="G43" s="17">
        <f>F43</f>
        <v>-35.919</v>
      </c>
      <c r="H43" s="12">
        <v>-32.632</v>
      </c>
      <c r="I43" s="6">
        <f>H43</f>
        <v>-32.632</v>
      </c>
      <c r="J43" s="13" t="s">
        <v>273</v>
      </c>
    </row>
    <row r="44">
      <c r="A44" s="2"/>
      <c r="B44" s="27" t="s">
        <v>307</v>
      </c>
      <c r="C44" s="3">
        <f>SUM(C40:C43)</f>
        <v>2467.479</v>
      </c>
      <c r="D44" s="3">
        <f>SUM(D40:D43)</f>
        <v>2466.03</v>
      </c>
      <c r="E44" s="3">
        <f>SUM(E40:E43)</f>
        <v>2609.4539999999997</v>
      </c>
      <c r="F44" s="3">
        <f>SUM(F40:F43)</f>
        <v>2499.6380000000004</v>
      </c>
      <c r="G44" s="3">
        <f>SUM(G40:G43)</f>
        <v>2499.6380000000004</v>
      </c>
      <c r="H44" s="3">
        <f>SUM(H40:H43)</f>
        <v>2301.682</v>
      </c>
      <c r="I44" s="59">
        <f>SUM(I40:I43)</f>
        <v>2287.92060336675</v>
      </c>
      <c r="J44" s="13"/>
    </row>
    <row r="45">
      <c r="A45" s="2"/>
      <c r="B45" s="27" t="s">
        <v>308</v>
      </c>
      <c r="C45" s="3">
        <f>C37+C44</f>
        <v>3839.2709999999997</v>
      </c>
      <c r="D45" s="3">
        <f>D37+D44</f>
        <v>3784.2790000000005</v>
      </c>
      <c r="E45" s="3">
        <f>E37+E44</f>
        <v>4102.15</v>
      </c>
      <c r="F45" s="3">
        <f>F37+F44</f>
        <v>3687.7650000000003</v>
      </c>
      <c r="G45" s="3">
        <f>G37+G44</f>
        <v>3687.7650000000003</v>
      </c>
      <c r="H45" s="3">
        <f>H37+H44</f>
        <v>3868.621</v>
      </c>
      <c r="I45" s="59">
        <f>I37+I44</f>
        <v>3763.645399228285</v>
      </c>
      <c r="J45" s="13"/>
    </row>
    <row r="46">
      <c r="A46" s="2"/>
      <c r="B46" s="18" t="s">
        <v>309</v>
      </c>
      <c r="C46" s="17">
        <f>C23-C37-C44</f>
        <v>0</v>
      </c>
      <c r="D46" s="17">
        <f>D23-D37-D44</f>
        <v>0</v>
      </c>
      <c r="E46" s="17">
        <f>E23-E37-E44</f>
        <v>0</v>
      </c>
      <c r="F46" s="17">
        <f>F23-F37-F44</f>
        <v>0</v>
      </c>
      <c r="G46" s="17">
        <f>G23-G37-G44</f>
        <v>0</v>
      </c>
      <c r="H46" s="17">
        <f>H23-H37-H44</f>
        <v>0</v>
      </c>
      <c r="I46" s="6">
        <f>I23-I37-I44</f>
        <v>0</v>
      </c>
      <c r="J46" s="13"/>
    </row>
    <row r="47">
      <c r="A47" s="2"/>
      <c r="B47" s="18" t="s">
        <v>310</v>
      </c>
      <c r="C47" s="5" t="b">
        <f>ABS(C46)&lt;0.001</f>
        <v>1</v>
      </c>
      <c r="D47" s="5" t="b">
        <f>ABS(D46)&lt;0.001</f>
        <v>1</v>
      </c>
      <c r="E47" s="5" t="b">
        <f>ABS(E46)&lt;0.001</f>
        <v>1</v>
      </c>
      <c r="F47" s="5" t="b">
        <f>ABS(F46)&lt;0.001</f>
        <v>1</v>
      </c>
      <c r="G47" s="5" t="b">
        <f>ABS(G46)&lt;0.001</f>
        <v>1</v>
      </c>
      <c r="H47" s="5" t="b">
        <f>ABS(H46)&lt;0.001</f>
        <v>1</v>
      </c>
      <c r="I47" s="9" t="b">
        <f>ABS(I46)&lt;0.001</f>
        <v>1</v>
      </c>
      <c r="J47" s="13"/>
    </row>
    <row r="48">
      <c r="A48" s="2"/>
      <c r="B48" s="8" t="s">
        <v>311</v>
      </c>
      <c r="C48" s="17">
        <f>C10</f>
        <v>1720.416</v>
      </c>
      <c r="D48" s="17">
        <f>D10</f>
        <v>1414.479</v>
      </c>
      <c r="E48" s="17">
        <f>E10</f>
        <v>2086.746</v>
      </c>
      <c r="F48" s="17">
        <f>F10</f>
        <v>1907.249</v>
      </c>
      <c r="G48" s="17">
        <f>G10</f>
        <v>1907.249</v>
      </c>
      <c r="H48" s="17">
        <f>H10</f>
        <v>1602.589</v>
      </c>
      <c r="I48" s="6">
        <f>I10</f>
        <v>1303.6728694392377</v>
      </c>
      <c r="J48" s="13" t="s">
        <v>312</v>
      </c>
    </row>
    <row r="49">
      <c r="A49" s="2"/>
      <c r="B49" s="18"/>
      <c r="C49" s="5"/>
      <c r="D49" s="5"/>
      <c r="E49" s="5"/>
      <c r="F49" s="5"/>
      <c r="G49" s="5"/>
      <c r="H49" s="5"/>
      <c r="I49" s="9"/>
      <c r="J49" s="13"/>
    </row>
    <row r="50">
      <c r="A50" s="2"/>
      <c r="B50" s="27" t="s">
        <v>313</v>
      </c>
      <c r="C50" s="15"/>
      <c r="D50" s="15"/>
      <c r="E50" s="15"/>
      <c r="F50" s="15"/>
      <c r="G50" s="15"/>
      <c r="H50" s="15"/>
      <c r="I50" s="41"/>
      <c r="J50" s="13"/>
    </row>
    <row r="51">
      <c r="A51" s="2"/>
      <c r="B51" s="18" t="s">
        <v>314</v>
      </c>
      <c r="C51" s="11">
        <f>C11/'Income Statement'!C10*C7</f>
        <v>35.51869807099357</v>
      </c>
      <c r="D51" s="11">
        <f>D11/'Income Statement'!D10*D7</f>
        <v>34.64139107097929</v>
      </c>
      <c r="E51" s="11">
        <f>E11/'Income Statement'!E10*E7</f>
        <v>16.182430171607454</v>
      </c>
      <c r="F51" s="11">
        <f>F11/'Income Statement'!F10*F7</f>
        <v>25.64660983107448</v>
      </c>
      <c r="G51" s="11">
        <f>G11/'Income Statement'!G10*G7</f>
        <v>21.27570767370771</v>
      </c>
      <c r="H51" s="11">
        <f>H11/'Income Statement'!H10*H7</f>
        <v>33.77010409688376</v>
      </c>
      <c r="I51" s="6">
        <f>D51</f>
        <v>34.64139107097929</v>
      </c>
      <c r="J51" s="13" t="s">
        <v>315</v>
      </c>
    </row>
    <row r="52">
      <c r="A52" s="2"/>
      <c r="B52" s="8" t="s">
        <v>316</v>
      </c>
      <c r="C52" s="17" t="s">
        <v>37</v>
      </c>
      <c r="D52" s="17" t="s">
        <v>37</v>
      </c>
      <c r="E52" s="17" t="s">
        <v>37</v>
      </c>
      <c r="F52" s="17" t="s">
        <v>37</v>
      </c>
      <c r="G52" s="17" t="s">
        <v>37</v>
      </c>
      <c r="H52" s="17">
        <f>IFERROR(H51-C51,"n/a")</f>
        <v>-1.7485939741098093</v>
      </c>
      <c r="I52" s="6">
        <f>IFERROR(I51-D51,"n/a")</f>
        <v>0</v>
      </c>
      <c r="J52" s="13"/>
    </row>
    <row r="53">
      <c r="A53" s="2"/>
      <c r="B53" s="8" t="s">
        <v>317</v>
      </c>
      <c r="C53" s="17" t="s">
        <v>37</v>
      </c>
      <c r="D53" s="17">
        <f>IFERROR(D51-C51,"n/a")</f>
        <v>-0.8773070000142837</v>
      </c>
      <c r="E53" s="17">
        <f>IFERROR(E51-D51,"n/a")</f>
        <v>-18.458960899371835</v>
      </c>
      <c r="F53" s="17">
        <f>IFERROR(F51-E51,"n/a")</f>
        <v>9.464179659467025</v>
      </c>
      <c r="G53" s="17" t="s">
        <v>37</v>
      </c>
      <c r="H53" s="17">
        <f>IFERROR(H51-F51,"n/a")</f>
        <v>8.123494265809285</v>
      </c>
      <c r="I53" s="6">
        <f>IFERROR(I51-H51,"n/a")</f>
        <v>0.8712869740955256</v>
      </c>
      <c r="J53" s="13"/>
    </row>
    <row r="54">
      <c r="A54" s="2"/>
      <c r="B54" s="28" t="s">
        <v>318</v>
      </c>
      <c r="C54" s="4" t="s">
        <v>37</v>
      </c>
      <c r="D54" s="4" t="s">
        <v>37</v>
      </c>
      <c r="E54" s="4" t="s">
        <v>37</v>
      </c>
      <c r="F54" s="4" t="s">
        <v>37</v>
      </c>
      <c r="G54" s="4" t="s">
        <v>37</v>
      </c>
      <c r="H54" s="4">
        <f>IFERROR(IF(C12&gt;0,H12/C12-1,"n/a"),"n/a")</f>
        <v>-0.04917990324377075</v>
      </c>
      <c r="I54" s="52">
        <v>-0.03</v>
      </c>
      <c r="J54" s="13" t="s">
        <v>319</v>
      </c>
    </row>
    <row r="55">
      <c r="A55" s="2"/>
      <c r="B55" s="8" t="s">
        <v>320</v>
      </c>
      <c r="C55" s="17" t="s">
        <v>37</v>
      </c>
      <c r="D55" s="17">
        <f>IFERROR(D12-C12,"n/a")</f>
        <v>-13.755999999999972</v>
      </c>
      <c r="E55" s="17">
        <f>IFERROR(E12-D12,"n/a")</f>
        <v>-202.11</v>
      </c>
      <c r="F55" s="17">
        <f>IFERROR(F12-E12,"n/a")</f>
        <v>-146.46700000000004</v>
      </c>
      <c r="G55" s="17" t="s">
        <v>37</v>
      </c>
      <c r="H55" s="17">
        <f>IFERROR(H12-F12,"n/a")</f>
        <v>320.56200000000007</v>
      </c>
      <c r="I55" s="6">
        <f>IFERROR(I12-H12,"n/a")</f>
        <v>2.947149999999965</v>
      </c>
      <c r="J55" s="13"/>
    </row>
    <row r="56">
      <c r="A56" s="2"/>
      <c r="B56" s="18" t="s">
        <v>321</v>
      </c>
      <c r="C56" s="11">
        <f>C12/'Income Statement'!C15*C7</f>
        <v>181.16536265446564</v>
      </c>
      <c r="D56" s="11">
        <f>D12/'Income Statement'!D15*D7</f>
        <v>122.60372110529522</v>
      </c>
      <c r="E56" s="11">
        <f>E12/'Income Statement'!E15*E7</f>
        <v>74.1305462172582</v>
      </c>
      <c r="F56" s="11">
        <f>F12/'Income Statement'!F15*F7</f>
        <v>92.32938232388449</v>
      </c>
      <c r="G56" s="11">
        <f>G12/'Income Statement'!G15*G7</f>
        <v>76.80112072652803</v>
      </c>
      <c r="H56" s="11">
        <f>H12/'Income Statement'!H15*H7</f>
        <v>165.38045043747525</v>
      </c>
      <c r="I56" s="35">
        <f>I12/'Income Statement'!I15*I7</f>
        <v>110.52343562230404</v>
      </c>
      <c r="J56" s="13"/>
    </row>
    <row r="57">
      <c r="A57" s="2"/>
      <c r="B57" s="8" t="s">
        <v>316</v>
      </c>
      <c r="C57" s="17" t="s">
        <v>37</v>
      </c>
      <c r="D57" s="17" t="s">
        <v>37</v>
      </c>
      <c r="E57" s="17" t="s">
        <v>37</v>
      </c>
      <c r="F57" s="17" t="s">
        <v>37</v>
      </c>
      <c r="G57" s="17" t="s">
        <v>37</v>
      </c>
      <c r="H57" s="17">
        <f>IFERROR(H56-C56,"n/a")</f>
        <v>-15.784912216990392</v>
      </c>
      <c r="I57" s="6">
        <f>IFERROR(I56-D56,"n/a")</f>
        <v>-12.080285482991187</v>
      </c>
      <c r="J57" s="13"/>
    </row>
    <row r="58">
      <c r="A58" s="2"/>
      <c r="B58" s="8" t="s">
        <v>317</v>
      </c>
      <c r="C58" s="17" t="s">
        <v>37</v>
      </c>
      <c r="D58" s="17">
        <f>IFERROR(D56-C56,"n/a")</f>
        <v>-58.56164154917042</v>
      </c>
      <c r="E58" s="17">
        <f>IFERROR(E56-D56,"n/a")</f>
        <v>-48.47317488803702</v>
      </c>
      <c r="F58" s="17">
        <f>IFERROR(F56-E56,"n/a")</f>
        <v>18.19883610662629</v>
      </c>
      <c r="G58" s="17" t="s">
        <v>37</v>
      </c>
      <c r="H58" s="17">
        <f>IFERROR(H56-F56,"n/a")</f>
        <v>73.05106811359076</v>
      </c>
      <c r="I58" s="6">
        <f>IFERROR(I56-H56,"n/a")</f>
        <v>-54.85701481517121</v>
      </c>
      <c r="J58" s="13"/>
    </row>
    <row r="59">
      <c r="A59" s="2"/>
      <c r="B59" s="18" t="s">
        <v>322</v>
      </c>
      <c r="C59" s="11">
        <f>C26/'Income Statement'!C15*C7</f>
        <v>156.3224769825048</v>
      </c>
      <c r="D59" s="11">
        <f>D26/'Income Statement'!D15*D7</f>
        <v>86.61485316211018</v>
      </c>
      <c r="E59" s="11">
        <f>E26/'Income Statement'!E15*E7</f>
        <v>70.0362431934306</v>
      </c>
      <c r="F59" s="11">
        <f>F26/'Income Statement'!F15*F7</f>
        <v>72.89941040294399</v>
      </c>
      <c r="G59" s="11">
        <f>G26/'Income Statement'!G15*G7</f>
        <v>60.63894589491784</v>
      </c>
      <c r="H59" s="11">
        <f>H26/'Income Statement'!H15*H7</f>
        <v>148.7574195261585</v>
      </c>
      <c r="I59" s="6">
        <f>D59</f>
        <v>86.61485316211018</v>
      </c>
      <c r="J59" s="13" t="s">
        <v>323</v>
      </c>
    </row>
    <row r="60">
      <c r="A60" s="2"/>
      <c r="B60" s="8" t="s">
        <v>316</v>
      </c>
      <c r="C60" s="17" t="s">
        <v>37</v>
      </c>
      <c r="D60" s="17" t="s">
        <v>37</v>
      </c>
      <c r="E60" s="17" t="s">
        <v>37</v>
      </c>
      <c r="F60" s="17" t="s">
        <v>37</v>
      </c>
      <c r="G60" s="17" t="s">
        <v>37</v>
      </c>
      <c r="H60" s="17">
        <f>IFERROR(H59-C59,"n/a")</f>
        <v>-7.565057456346324</v>
      </c>
      <c r="I60" s="6">
        <f>IFERROR(I59-D59,"n/a")</f>
        <v>0</v>
      </c>
      <c r="J60" s="13"/>
    </row>
    <row r="61">
      <c r="A61" s="2"/>
      <c r="B61" s="8" t="s">
        <v>317</v>
      </c>
      <c r="C61" s="17" t="s">
        <v>37</v>
      </c>
      <c r="D61" s="17">
        <f>IFERROR(D59-C59,"n/a")</f>
        <v>-69.70762382039463</v>
      </c>
      <c r="E61" s="17">
        <f>IFERROR(E59-D59,"n/a")</f>
        <v>-16.578609968679586</v>
      </c>
      <c r="F61" s="17">
        <f>IFERROR(F59-E59,"n/a")</f>
        <v>2.863167209513392</v>
      </c>
      <c r="G61" s="17" t="s">
        <v>37</v>
      </c>
      <c r="H61" s="17">
        <f>IFERROR(H59-F59,"n/a")</f>
        <v>75.8580091232145</v>
      </c>
      <c r="I61" s="6">
        <f>IFERROR(I59-H59,"n/a")</f>
        <v>-62.14256636404831</v>
      </c>
      <c r="J61" s="13"/>
    </row>
    <row r="62">
      <c r="A62" s="2"/>
      <c r="B62" s="18"/>
      <c r="C62" s="5"/>
      <c r="D62" s="5"/>
      <c r="E62" s="5"/>
      <c r="F62" s="5"/>
      <c r="G62" s="5"/>
      <c r="H62" s="5"/>
      <c r="I62" s="9"/>
      <c r="J62" s="13"/>
    </row>
    <row r="63">
      <c r="A63" s="2"/>
      <c r="B63" s="18"/>
      <c r="C63" s="5"/>
      <c r="D63" s="5"/>
      <c r="E63" s="5"/>
      <c r="F63" s="5"/>
      <c r="G63" s="5"/>
      <c r="H63" s="5"/>
      <c r="I63" s="9"/>
      <c r="J63" s="13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9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324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325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27" t="s">
        <v>326</v>
      </c>
      <c r="C10" s="15"/>
      <c r="D10" s="15"/>
      <c r="E10" s="15"/>
      <c r="F10" s="15"/>
      <c r="G10" s="15"/>
      <c r="H10" s="15"/>
      <c r="I10" s="41"/>
      <c r="J10" s="13"/>
    </row>
    <row r="11">
      <c r="A11" s="2"/>
      <c r="B11" s="8" t="s">
        <v>327</v>
      </c>
      <c r="C11" s="17">
        <f>C71</f>
        <v>139.203</v>
      </c>
      <c r="D11" s="17">
        <f>D71-C71</f>
        <v>268.15200000000004</v>
      </c>
      <c r="E11" s="17">
        <f>E71-D71</f>
        <v>481.145</v>
      </c>
      <c r="F11" s="17">
        <f>F71-E71</f>
        <v>135.5709999999999</v>
      </c>
      <c r="G11" s="17">
        <f>SUM(C11:F11)</f>
        <v>1024.071</v>
      </c>
      <c r="H11" s="17">
        <f>H71</f>
        <v>129.972</v>
      </c>
      <c r="I11" s="35">
        <f>'Income Statement'!I75</f>
        <v>245.23860336675014</v>
      </c>
      <c r="J11" s="13"/>
    </row>
    <row r="12">
      <c r="A12" s="2"/>
      <c r="B12" s="8" t="s">
        <v>328</v>
      </c>
      <c r="C12" s="17">
        <f>C72</f>
        <v>19.424</v>
      </c>
      <c r="D12" s="17">
        <f>D72-C72</f>
        <v>19.747</v>
      </c>
      <c r="E12" s="17">
        <f>E72-D72</f>
        <v>17.97</v>
      </c>
      <c r="F12" s="17">
        <f>F72-E72</f>
        <v>18.631999999999998</v>
      </c>
      <c r="G12" s="17">
        <f>SUM(C12:F12)</f>
        <v>75.773</v>
      </c>
      <c r="H12" s="17">
        <f>H72</f>
        <v>17.713</v>
      </c>
      <c r="I12" s="77">
        <v>18</v>
      </c>
      <c r="J12" s="13" t="s">
        <v>329</v>
      </c>
    </row>
    <row r="13">
      <c r="A13" s="2"/>
      <c r="B13" s="1" t="s">
        <v>113</v>
      </c>
      <c r="C13" s="4" t="s">
        <v>37</v>
      </c>
      <c r="D13" s="4" t="s">
        <v>37</v>
      </c>
      <c r="E13" s="4" t="s">
        <v>37</v>
      </c>
      <c r="F13" s="4" t="s">
        <v>37</v>
      </c>
      <c r="G13" s="4" t="s">
        <v>37</v>
      </c>
      <c r="H13" s="4">
        <f>IFERROR(IF(C12&gt;0,H12/C12-1,"n/a"),"n/a")</f>
        <v>-0.0880869028006589</v>
      </c>
      <c r="I13" s="23">
        <f>IFERROR(IF(D12&gt;0,I12/D12-1,"n/a"),"n/a")</f>
        <v>-0.08846913455208383</v>
      </c>
      <c r="J13" s="13" t="s">
        <v>330</v>
      </c>
    </row>
    <row r="14">
      <c r="A14" s="2"/>
      <c r="B14" s="88" t="s">
        <v>115</v>
      </c>
      <c r="C14" s="17" t="s">
        <v>37</v>
      </c>
      <c r="D14" s="17">
        <f>IFERROR(D12-C12,"n/a")</f>
        <v>0.3230000000000004</v>
      </c>
      <c r="E14" s="17">
        <f>IFERROR(E12-D12,"n/a")</f>
        <v>-1.777000000000001</v>
      </c>
      <c r="F14" s="17">
        <f>IFERROR(F12-E12,"n/a")</f>
        <v>0.661999999999999</v>
      </c>
      <c r="G14" s="17" t="s">
        <v>37</v>
      </c>
      <c r="H14" s="17">
        <f>IFERROR(H12-F12,"n/a")</f>
        <v>-0.9189999999999969</v>
      </c>
      <c r="I14" s="6">
        <f>IFERROR(I12-H12,"n/a")</f>
        <v>0.28699999999999903</v>
      </c>
      <c r="J14" s="13"/>
    </row>
    <row r="15">
      <c r="A15" s="2"/>
      <c r="B15" s="8" t="s">
        <v>331</v>
      </c>
      <c r="C15" s="17">
        <f>C73</f>
        <v>0.556</v>
      </c>
      <c r="D15" s="17">
        <f>D73-C73</f>
        <v>0.5609999999999999</v>
      </c>
      <c r="E15" s="17">
        <f>E73-D73</f>
        <v>0.56</v>
      </c>
      <c r="F15" s="17">
        <f>F73-E73</f>
        <v>0.5590000000000002</v>
      </c>
      <c r="G15" s="17">
        <f>SUM(C15:F15)</f>
        <v>2.236</v>
      </c>
      <c r="H15" s="17">
        <f>H73</f>
        <v>0.559</v>
      </c>
      <c r="I15" s="77">
        <v>0</v>
      </c>
      <c r="J15" s="13" t="s">
        <v>332</v>
      </c>
    </row>
    <row r="16">
      <c r="A16" s="2"/>
      <c r="B16" s="8" t="s">
        <v>333</v>
      </c>
      <c r="C16" s="17">
        <f>C74</f>
        <v>0.597</v>
      </c>
      <c r="D16" s="17">
        <f>D74-C74</f>
        <v>16.721999999999998</v>
      </c>
      <c r="E16" s="17">
        <f>E74-D74</f>
        <v>-13.511</v>
      </c>
      <c r="F16" s="17">
        <f>F74-E74</f>
        <v>2.537</v>
      </c>
      <c r="G16" s="17">
        <f>SUM(C16:F16)</f>
        <v>6.345</v>
      </c>
      <c r="H16" s="17">
        <f>H74</f>
        <v>-4.788</v>
      </c>
      <c r="I16" s="77">
        <v>0</v>
      </c>
      <c r="J16" s="13" t="s">
        <v>334</v>
      </c>
    </row>
    <row r="17">
      <c r="A17" s="2"/>
      <c r="B17" s="8" t="s">
        <v>335</v>
      </c>
      <c r="C17" s="17">
        <f>C75</f>
        <v>-0.713</v>
      </c>
      <c r="D17" s="17">
        <f>D75-C75</f>
        <v>-8.496</v>
      </c>
      <c r="E17" s="17">
        <f>E75-D75</f>
        <v>-4.505000000000001</v>
      </c>
      <c r="F17" s="17">
        <f>F75-E75</f>
        <v>22.498</v>
      </c>
      <c r="G17" s="17">
        <f>SUM(C17:F17)</f>
        <v>8.784</v>
      </c>
      <c r="H17" s="17">
        <f>H75</f>
        <v>0.47</v>
      </c>
      <c r="I17" s="35">
        <f>-('Balance Sheet'!I21-'Balance Sheet'!H21)</f>
        <v>0</v>
      </c>
      <c r="J17" s="13"/>
    </row>
    <row r="18">
      <c r="A18" s="2"/>
      <c r="B18" s="8" t="s">
        <v>336</v>
      </c>
      <c r="C18" s="17">
        <f>C76</f>
        <v>8.739</v>
      </c>
      <c r="D18" s="17">
        <f>D76-C76</f>
        <v>11.151999999999997</v>
      </c>
      <c r="E18" s="17">
        <f>E76-D76</f>
        <v>11.812000000000001</v>
      </c>
      <c r="F18" s="17">
        <f>F76-E76</f>
        <v>13.132000000000001</v>
      </c>
      <c r="G18" s="17">
        <f>SUM(C18:F18)</f>
        <v>44.835</v>
      </c>
      <c r="H18" s="17">
        <f>H76</f>
        <v>10.741</v>
      </c>
      <c r="I18" s="77">
        <v>11</v>
      </c>
      <c r="J18" s="13" t="s">
        <v>337</v>
      </c>
    </row>
    <row r="19">
      <c r="A19" s="2"/>
      <c r="B19" s="1" t="s">
        <v>113</v>
      </c>
      <c r="C19" s="4" t="s">
        <v>37</v>
      </c>
      <c r="D19" s="4" t="s">
        <v>37</v>
      </c>
      <c r="E19" s="4" t="s">
        <v>37</v>
      </c>
      <c r="F19" s="4" t="s">
        <v>37</v>
      </c>
      <c r="G19" s="4" t="s">
        <v>37</v>
      </c>
      <c r="H19" s="4">
        <f>IFERROR(IF(C18&gt;0,H18/C18-1,"n/a"),"n/a")</f>
        <v>0.22908799633825372</v>
      </c>
      <c r="I19" s="23">
        <f>IFERROR(IF(D18&gt;0,I18/D18-1,"n/a"),"n/a")</f>
        <v>-0.013629842180774565</v>
      </c>
      <c r="J19" s="13" t="s">
        <v>330</v>
      </c>
    </row>
    <row r="20">
      <c r="A20" s="2"/>
      <c r="B20" s="88" t="s">
        <v>115</v>
      </c>
      <c r="C20" s="17" t="s">
        <v>37</v>
      </c>
      <c r="D20" s="17">
        <f>IFERROR(D18-C18,"n/a")</f>
        <v>2.4129999999999967</v>
      </c>
      <c r="E20" s="17">
        <f>IFERROR(E18-D18,"n/a")</f>
        <v>0.6600000000000037</v>
      </c>
      <c r="F20" s="17">
        <f>IFERROR(F18-E18,"n/a")</f>
        <v>1.3200000000000003</v>
      </c>
      <c r="G20" s="17" t="s">
        <v>37</v>
      </c>
      <c r="H20" s="17">
        <f>IFERROR(H18-F18,"n/a")</f>
        <v>-2.391000000000002</v>
      </c>
      <c r="I20" s="6">
        <f>IFERROR(I18-H18,"n/a")</f>
        <v>0.25900000000000034</v>
      </c>
      <c r="J20" s="13"/>
    </row>
    <row r="21">
      <c r="A21" s="2"/>
      <c r="B21" s="8" t="s">
        <v>338</v>
      </c>
      <c r="C21" s="17">
        <f>C77</f>
        <v>0.022</v>
      </c>
      <c r="D21" s="17">
        <f>D77-C77</f>
        <v>1.1059999999999999</v>
      </c>
      <c r="E21" s="17">
        <f>E77-D77</f>
        <v>-0.1379999999999999</v>
      </c>
      <c r="F21" s="17">
        <f>F77-E77</f>
        <v>0.20100000000000007</v>
      </c>
      <c r="G21" s="17">
        <f>SUM(C21:F21)</f>
        <v>1.191</v>
      </c>
      <c r="H21" s="17">
        <f>H77</f>
        <v>0.082</v>
      </c>
      <c r="I21" s="77">
        <v>0</v>
      </c>
      <c r="J21" s="13" t="s">
        <v>339</v>
      </c>
    </row>
    <row r="22">
      <c r="A22" s="2"/>
      <c r="B22" s="8" t="s">
        <v>340</v>
      </c>
      <c r="C22" s="17">
        <f>C78</f>
        <v>0</v>
      </c>
      <c r="D22" s="17">
        <f>D78-C78</f>
        <v>0.1</v>
      </c>
      <c r="E22" s="17">
        <f>E78-D78</f>
        <v>0.026999999999999996</v>
      </c>
      <c r="F22" s="17">
        <f>F78-E78</f>
        <v>0</v>
      </c>
      <c r="G22" s="17">
        <f>SUM(C22:F22)</f>
        <v>0.127</v>
      </c>
      <c r="H22" s="17">
        <f>H78</f>
        <v>0</v>
      </c>
      <c r="I22" s="77">
        <v>0</v>
      </c>
      <c r="J22" s="13" t="s">
        <v>339</v>
      </c>
    </row>
    <row r="23">
      <c r="A23" s="2"/>
      <c r="B23" s="8" t="s">
        <v>341</v>
      </c>
      <c r="C23" s="17">
        <f>C79</f>
        <v>-44.199</v>
      </c>
      <c r="D23" s="17">
        <f>D79-C79</f>
        <v>-179.012</v>
      </c>
      <c r="E23" s="17">
        <f>E79-D79</f>
        <v>207.949</v>
      </c>
      <c r="F23" s="17">
        <f>F79-E79</f>
        <v>22.812</v>
      </c>
      <c r="G23" s="17">
        <f>SUM(C23:F23)</f>
        <v>7.550000000000001</v>
      </c>
      <c r="H23" s="17">
        <f>H79</f>
        <v>-54.582</v>
      </c>
      <c r="I23" s="35">
        <f>-('Balance Sheet'!I11-'Balance Sheet'!H11)</f>
        <v>-186.99337978904708</v>
      </c>
      <c r="J23" s="13"/>
    </row>
    <row r="24">
      <c r="A24" s="2"/>
      <c r="B24" s="8" t="s">
        <v>342</v>
      </c>
      <c r="C24" s="17">
        <f>C80</f>
        <v>-354.125</v>
      </c>
      <c r="D24" s="17">
        <f>D80-C80</f>
        <v>13.757999999999981</v>
      </c>
      <c r="E24" s="17">
        <f>E80-D80</f>
        <v>202.10800000000003</v>
      </c>
      <c r="F24" s="17">
        <f>F80-E80</f>
        <v>146.46699999999998</v>
      </c>
      <c r="G24" s="17">
        <f>SUM(C24:F24)</f>
        <v>8.207999999999998</v>
      </c>
      <c r="H24" s="17">
        <f>H80</f>
        <v>-320.562</v>
      </c>
      <c r="I24" s="35">
        <f>-('Balance Sheet'!I12-'Balance Sheet'!H12)</f>
        <v>-2.947149999999965</v>
      </c>
      <c r="J24" s="13"/>
    </row>
    <row r="25">
      <c r="A25" s="2"/>
      <c r="B25" s="8" t="s">
        <v>343</v>
      </c>
      <c r="C25" s="17">
        <f>C81</f>
        <v>-8.817</v>
      </c>
      <c r="D25" s="17">
        <f>D81-C81</f>
        <v>-61.297999999999995</v>
      </c>
      <c r="E25" s="17">
        <f>E81-D81</f>
        <v>-35.30000000000001</v>
      </c>
      <c r="F25" s="17">
        <f>F81-E81</f>
        <v>81.611</v>
      </c>
      <c r="G25" s="17">
        <f>SUM(C25:F25)</f>
        <v>-23.804000000000002</v>
      </c>
      <c r="H25" s="17">
        <f>H81</f>
        <v>9.572</v>
      </c>
      <c r="I25" s="35">
        <f>-('Balance Sheet'!I13-'Balance Sheet'!H13+'Balance Sheet'!I14-'Balance Sheet'!H14)</f>
        <v>0</v>
      </c>
      <c r="J25" s="13"/>
    </row>
    <row r="26">
      <c r="A26" s="2"/>
      <c r="B26" s="8" t="s">
        <v>344</v>
      </c>
      <c r="C26" s="17">
        <f>C82</f>
        <v>21.254</v>
      </c>
      <c r="D26" s="17">
        <f>D82-C82</f>
        <v>7.292999999999999</v>
      </c>
      <c r="E26" s="17">
        <f>E82-D82</f>
        <v>0.3819999999999979</v>
      </c>
      <c r="F26" s="17">
        <f>F82-E82</f>
        <v>5.858999999999998</v>
      </c>
      <c r="G26" s="17">
        <f>SUM(C26:F26)</f>
        <v>34.788</v>
      </c>
      <c r="H26" s="17">
        <f>H82</f>
        <v>-2.375</v>
      </c>
      <c r="I26" s="35">
        <f>-('Balance Sheet'!I15-'Balance Sheet'!H15)</f>
        <v>0</v>
      </c>
      <c r="J26" s="13"/>
    </row>
    <row r="27">
      <c r="A27" s="2"/>
      <c r="B27" s="8" t="s">
        <v>345</v>
      </c>
      <c r="C27" s="17">
        <f>C83</f>
        <v>1.925</v>
      </c>
      <c r="D27" s="17">
        <f>D83-C83</f>
        <v>3.208</v>
      </c>
      <c r="E27" s="17">
        <f>E83-D83</f>
        <v>-3.3049999999999997</v>
      </c>
      <c r="F27" s="17">
        <f>F83-E83</f>
        <v>-1.838</v>
      </c>
      <c r="G27" s="17">
        <f>SUM(C27:F27)</f>
        <v>-0.009999999999999787</v>
      </c>
      <c r="H27" s="17">
        <f>H83</f>
        <v>-0.248</v>
      </c>
      <c r="I27" s="35">
        <f>('Balance Sheet'!I28-'Balance Sheet'!H28)+('Balance Sheet'!I33-'Balance Sheet'!H33)-('Balance Sheet'!I18-'Balance Sheet'!H18)</f>
        <v>0</v>
      </c>
      <c r="J27" s="13"/>
    </row>
    <row r="28">
      <c r="A28" s="2"/>
      <c r="B28" s="8" t="s">
        <v>346</v>
      </c>
      <c r="C28" s="17">
        <f>C84</f>
        <v>-8.438</v>
      </c>
      <c r="D28" s="17">
        <f>D84-C84</f>
        <v>-6.383999999999999</v>
      </c>
      <c r="E28" s="17">
        <f>E84-D84</f>
        <v>-9.051000000000002</v>
      </c>
      <c r="F28" s="17">
        <f>F84-E84</f>
        <v>-4.959</v>
      </c>
      <c r="G28" s="17">
        <f>SUM(C28:F28)</f>
        <v>-28.832</v>
      </c>
      <c r="H28" s="17">
        <f>H84</f>
        <v>-13.542</v>
      </c>
      <c r="I28" s="35">
        <f>-('Balance Sheet'!I22-'Balance Sheet'!H22+'Balance Sheet'!I19-'Balance Sheet'!H19+'Balance Sheet'!I20-'Balance Sheet'!H20)</f>
        <v>0</v>
      </c>
      <c r="J28" s="13"/>
    </row>
    <row r="29">
      <c r="A29" s="2"/>
      <c r="B29" s="8" t="s">
        <v>347</v>
      </c>
      <c r="C29" s="17">
        <f>C85</f>
        <v>314.845</v>
      </c>
      <c r="D29" s="17">
        <f>D85-C85</f>
        <v>-137.54000000000002</v>
      </c>
      <c r="E29" s="17">
        <f>E85-D85</f>
        <v>8.650999999999982</v>
      </c>
      <c r="F29" s="17">
        <f>F85-E85</f>
        <v>-213.821</v>
      </c>
      <c r="G29" s="17">
        <f>SUM(C29:F29)</f>
        <v>-27.86500000000001</v>
      </c>
      <c r="H29" s="17">
        <f>H85</f>
        <v>341.579</v>
      </c>
      <c r="I29" s="35">
        <f>('Balance Sheet'!I26-'Balance Sheet'!H26)</f>
        <v>-91.21420413846522</v>
      </c>
      <c r="J29" s="13"/>
    </row>
    <row r="30">
      <c r="A30" s="2"/>
      <c r="B30" s="8" t="s">
        <v>348</v>
      </c>
      <c r="C30" s="17">
        <f>C86</f>
        <v>-66.301</v>
      </c>
      <c r="D30" s="17">
        <f>D86-C86</f>
        <v>24.68</v>
      </c>
      <c r="E30" s="17">
        <f>E86-D86</f>
        <v>95.822</v>
      </c>
      <c r="F30" s="17">
        <f>F86-E86</f>
        <v>-37.268</v>
      </c>
      <c r="G30" s="17">
        <f>SUM(C30:F30)</f>
        <v>16.933</v>
      </c>
      <c r="H30" s="17">
        <f>H86</f>
        <v>-96.344</v>
      </c>
      <c r="I30" s="35">
        <f>('Balance Sheet'!I27-'Balance Sheet'!H27+'Balance Sheet'!I29-'Balance Sheet'!H29+'Balance Sheet'!I31-'Balance Sheet'!H31)</f>
        <v>0</v>
      </c>
      <c r="J30" s="13"/>
    </row>
    <row r="31">
      <c r="A31" s="2"/>
      <c r="B31" s="8" t="s">
        <v>349</v>
      </c>
      <c r="C31" s="17">
        <f>C87</f>
        <v>-0.565</v>
      </c>
      <c r="D31" s="17">
        <f>D87-C87</f>
        <v>43.25</v>
      </c>
      <c r="E31" s="17">
        <f>E87-D87</f>
        <v>76.13199999999999</v>
      </c>
      <c r="F31" s="17">
        <f>F87-E87</f>
        <v>-105.642</v>
      </c>
      <c r="G31" s="17">
        <f>SUM(C31:F31)</f>
        <v>13.174999999999997</v>
      </c>
      <c r="H31" s="17">
        <f>H87</f>
        <v>20.819</v>
      </c>
      <c r="I31" s="35">
        <f>('Balance Sheet'!I30-'Balance Sheet'!H30)</f>
        <v>0</v>
      </c>
      <c r="J31" s="13"/>
    </row>
    <row r="32">
      <c r="A32" s="2"/>
      <c r="B32" s="8" t="s">
        <v>350</v>
      </c>
      <c r="C32" s="17">
        <f>C88</f>
        <v>12.739</v>
      </c>
      <c r="D32" s="17">
        <f>D88-C88</f>
        <v>-8.912</v>
      </c>
      <c r="E32" s="17">
        <f>E88-D88</f>
        <v>5.132</v>
      </c>
      <c r="F32" s="17">
        <f>F88-E88</f>
        <v>9.491</v>
      </c>
      <c r="G32" s="17">
        <f>SUM(C32:F32)</f>
        <v>18.45</v>
      </c>
      <c r="H32" s="17">
        <f>H88</f>
        <v>8.838</v>
      </c>
      <c r="I32" s="35">
        <f>('Balance Sheet'!I34-'Balance Sheet'!H34+'Balance Sheet'!I35-'Balance Sheet'!H35)</f>
        <v>0</v>
      </c>
      <c r="J32" s="13"/>
    </row>
    <row r="33">
      <c r="A33" s="2"/>
      <c r="B33" s="27" t="s">
        <v>351</v>
      </c>
      <c r="C33" s="3">
        <f>C11+C12+C15+C16+C17+C18+C21+C22+C23+C24+C25+C26+C27+C28+C29+C30+C31+C32</f>
        <v>36.14600000000005</v>
      </c>
      <c r="D33" s="3">
        <f>D11+D12+D15+D16+D17+D18+D21+D22+D23+D24+D25+D26+D27+D28+D29+D30+D31+D32</f>
        <v>8.087000000000002</v>
      </c>
      <c r="E33" s="3">
        <f>E11+E12+E15+E16+E17+E18+E21+E22+E23+E24+E25+E26+E27+E28+E29+E30+E31+E32</f>
        <v>1041.8799999999999</v>
      </c>
      <c r="F33" s="3">
        <f>F11+F12+F15+F16+F17+F18+F21+F22+F23+F24+F25+F26+F27+F28+F29+F30+F31+F32</f>
        <v>95.84199999999983</v>
      </c>
      <c r="G33" s="3">
        <f>G11+G12+G15+G16+G17+G18+G21+G22+G23+G24+G25+G26+G27+G28+G29+G30+G31+G32</f>
        <v>1181.955</v>
      </c>
      <c r="H33" s="3">
        <f>H11+H12+H15+H16+H17+H18+H21+H22+H23+H24+H25+H26+H27+H28+H29+H30+H31+H32</f>
        <v>47.90399999999999</v>
      </c>
      <c r="I33" s="59">
        <f>I11+I12+I15+I16+I17+I18+I21+I22+I23+I24+I25+I26+I27+I28+I29+I30+I31+I32</f>
        <v>-6.916130560762156</v>
      </c>
      <c r="J33" s="13"/>
    </row>
    <row r="34">
      <c r="A34" s="2"/>
      <c r="B34" s="27" t="s">
        <v>352</v>
      </c>
      <c r="C34" s="15"/>
      <c r="D34" s="15"/>
      <c r="E34" s="15"/>
      <c r="F34" s="15"/>
      <c r="G34" s="15"/>
      <c r="H34" s="15"/>
      <c r="I34" s="41"/>
      <c r="J34" s="13"/>
    </row>
    <row r="35">
      <c r="A35" s="2"/>
      <c r="B35" s="8" t="s">
        <v>353</v>
      </c>
      <c r="C35" s="17">
        <f>C89</f>
        <v>-23.94</v>
      </c>
      <c r="D35" s="17">
        <f>D89-C89</f>
        <v>-22.002999999999997</v>
      </c>
      <c r="E35" s="17">
        <f>E89-D89</f>
        <v>-21.598</v>
      </c>
      <c r="F35" s="17">
        <f>F89-E89</f>
        <v>-17.082000000000008</v>
      </c>
      <c r="G35" s="17">
        <f>SUM(C35:F35)</f>
        <v>-84.623</v>
      </c>
      <c r="H35" s="17">
        <f>H89</f>
        <v>-15.222</v>
      </c>
      <c r="I35" s="77">
        <v>-22</v>
      </c>
      <c r="J35" s="13" t="s">
        <v>354</v>
      </c>
    </row>
    <row r="36">
      <c r="A36" s="2"/>
      <c r="B36" s="1" t="s">
        <v>113</v>
      </c>
      <c r="C36" s="4" t="s">
        <v>37</v>
      </c>
      <c r="D36" s="4" t="s">
        <v>37</v>
      </c>
      <c r="E36" s="4" t="s">
        <v>37</v>
      </c>
      <c r="F36" s="4" t="s">
        <v>37</v>
      </c>
      <c r="G36" s="4" t="s">
        <v>37</v>
      </c>
      <c r="H36" s="4">
        <f>IFERROR(IF(C35&lt;0,H35/C35-1,"n/a"),"n/a")</f>
        <v>-0.36416040100250635</v>
      </c>
      <c r="I36" s="23">
        <f>IFERROR(IF(D35&lt;0,I35/D35-1,"n/a"),"n/a")</f>
        <v>-0.0001363450438575109</v>
      </c>
      <c r="J36" s="13" t="s">
        <v>330</v>
      </c>
    </row>
    <row r="37">
      <c r="A37" s="2"/>
      <c r="B37" s="88" t="s">
        <v>115</v>
      </c>
      <c r="C37" s="17" t="s">
        <v>37</v>
      </c>
      <c r="D37" s="17">
        <f>IFERROR(D35-C35,"n/a")</f>
        <v>1.9370000000000047</v>
      </c>
      <c r="E37" s="17">
        <f>IFERROR(E35-D35,"n/a")</f>
        <v>0.4049999999999976</v>
      </c>
      <c r="F37" s="17">
        <f>IFERROR(F35-E35,"n/a")</f>
        <v>4.515999999999991</v>
      </c>
      <c r="G37" s="17" t="s">
        <v>37</v>
      </c>
      <c r="H37" s="17">
        <f>IFERROR(H35-F35,"n/a")</f>
        <v>1.8600000000000083</v>
      </c>
      <c r="I37" s="6">
        <f>IFERROR(I35-H35,"n/a")</f>
        <v>-6.7780000000000005</v>
      </c>
      <c r="J37" s="13"/>
    </row>
    <row r="38">
      <c r="A38" s="2"/>
      <c r="B38" s="8" t="s">
        <v>355</v>
      </c>
      <c r="C38" s="17">
        <f>C90</f>
        <v>0.011</v>
      </c>
      <c r="D38" s="17">
        <f>D90-C90</f>
        <v>0</v>
      </c>
      <c r="E38" s="17">
        <f>E90-D90</f>
        <v>0</v>
      </c>
      <c r="F38" s="17">
        <f>F90-E90</f>
        <v>0</v>
      </c>
      <c r="G38" s="17">
        <f>SUM(C38:F38)</f>
        <v>0.011</v>
      </c>
      <c r="H38" s="17">
        <f>H90</f>
        <v>0.009</v>
      </c>
      <c r="I38" s="77">
        <v>0</v>
      </c>
      <c r="J38" s="13"/>
    </row>
    <row r="39">
      <c r="A39" s="2"/>
      <c r="B39" s="27" t="s">
        <v>356</v>
      </c>
      <c r="C39" s="3">
        <f>C35+C38</f>
        <v>-23.929000000000002</v>
      </c>
      <c r="D39" s="3">
        <f>D35+D38</f>
        <v>-22.002999999999997</v>
      </c>
      <c r="E39" s="3">
        <f>E35+E38</f>
        <v>-21.598</v>
      </c>
      <c r="F39" s="3">
        <f>F35+F38</f>
        <v>-17.082000000000008</v>
      </c>
      <c r="G39" s="3">
        <f>G35+G38</f>
        <v>-84.61200000000001</v>
      </c>
      <c r="H39" s="3">
        <f>H35+H38</f>
        <v>-15.213</v>
      </c>
      <c r="I39" s="59">
        <f>I35+I38</f>
        <v>-22</v>
      </c>
      <c r="J39" s="13"/>
    </row>
    <row r="40">
      <c r="A40" s="2"/>
      <c r="B40" s="27" t="s">
        <v>357</v>
      </c>
      <c r="C40" s="15"/>
      <c r="D40" s="15"/>
      <c r="E40" s="15"/>
      <c r="F40" s="15"/>
      <c r="G40" s="15"/>
      <c r="H40" s="15"/>
      <c r="I40" s="41"/>
      <c r="J40" s="13"/>
    </row>
    <row r="41">
      <c r="A41" s="2"/>
      <c r="B41" s="8" t="s">
        <v>358</v>
      </c>
      <c r="C41" s="17">
        <f>C91</f>
        <v>0</v>
      </c>
      <c r="D41" s="17">
        <f>D91-C91</f>
        <v>2.228</v>
      </c>
      <c r="E41" s="17">
        <f>E91-D91</f>
        <v>0</v>
      </c>
      <c r="F41" s="17">
        <f>F91-E91</f>
        <v>2.281</v>
      </c>
      <c r="G41" s="17">
        <f>SUM(C41:F41)</f>
        <v>4.509</v>
      </c>
      <c r="H41" s="17">
        <f>H91</f>
        <v>0</v>
      </c>
      <c r="I41" s="77">
        <v>0</v>
      </c>
      <c r="J41" s="13"/>
    </row>
    <row r="42">
      <c r="A42" s="2"/>
      <c r="B42" s="8" t="s">
        <v>359</v>
      </c>
      <c r="C42" s="17">
        <f>C92</f>
        <v>0</v>
      </c>
      <c r="D42" s="17">
        <f>D92-C92</f>
        <v>0</v>
      </c>
      <c r="E42" s="17">
        <f>E92-D92</f>
        <v>0</v>
      </c>
      <c r="F42" s="17">
        <f>F92-E92</f>
        <v>0</v>
      </c>
      <c r="G42" s="17">
        <f>SUM(C42:F42)</f>
        <v>0</v>
      </c>
      <c r="H42" s="17">
        <f>H92</f>
        <v>0</v>
      </c>
      <c r="I42" s="77">
        <v>0</v>
      </c>
      <c r="J42" s="13"/>
    </row>
    <row r="43">
      <c r="A43" s="2"/>
      <c r="B43" s="8" t="s">
        <v>360</v>
      </c>
      <c r="C43" s="17">
        <f>C93</f>
        <v>-182.991</v>
      </c>
      <c r="D43" s="17">
        <f>D93-C93</f>
        <v>-281.996</v>
      </c>
      <c r="E43" s="17">
        <f>E93-D93</f>
        <v>-348.50100000000003</v>
      </c>
      <c r="F43" s="17">
        <f>F93-E93</f>
        <v>-261.61199999999985</v>
      </c>
      <c r="G43" s="17">
        <f>SUM(C43:F43)</f>
        <v>-1075.1</v>
      </c>
      <c r="H43" s="17">
        <f>H93</f>
        <v>-338.186</v>
      </c>
      <c r="I43" s="35">
        <f>-'Share Count'!I14</f>
        <v>-270</v>
      </c>
      <c r="J43" s="13" t="s">
        <v>361</v>
      </c>
    </row>
    <row r="44">
      <c r="A44" s="2"/>
      <c r="B44" s="8" t="s">
        <v>362</v>
      </c>
      <c r="C44" s="17">
        <f>C94</f>
        <v>0</v>
      </c>
      <c r="D44" s="17">
        <f>D94-C94</f>
        <v>-5.042</v>
      </c>
      <c r="E44" s="17">
        <f>E94-D94</f>
        <v>0</v>
      </c>
      <c r="F44" s="17">
        <f>F94-E94</f>
        <v>-0.001000000000000334</v>
      </c>
      <c r="G44" s="17">
        <f>SUM(C44:F44)</f>
        <v>-5.043</v>
      </c>
      <c r="H44" s="17">
        <f>H94</f>
        <v>0</v>
      </c>
      <c r="I44" s="77">
        <v>0</v>
      </c>
      <c r="J44" s="13"/>
    </row>
    <row r="45">
      <c r="A45" s="2"/>
      <c r="B45" s="8" t="s">
        <v>363</v>
      </c>
      <c r="C45" s="17">
        <f>C95</f>
        <v>-0.237</v>
      </c>
      <c r="D45" s="17">
        <f>D95-C95</f>
        <v>-7.437</v>
      </c>
      <c r="E45" s="17">
        <f>E95-D95</f>
        <v>-0.39500000000000046</v>
      </c>
      <c r="F45" s="17">
        <f>F95-E95</f>
        <v>-0.3409999999999993</v>
      </c>
      <c r="G45" s="17">
        <f>SUM(C45:F45)</f>
        <v>-8.41</v>
      </c>
      <c r="H45" s="17">
        <f>H95</f>
        <v>-0.291</v>
      </c>
      <c r="I45" s="77">
        <v>0</v>
      </c>
      <c r="J45" s="13"/>
    </row>
    <row r="46">
      <c r="A46" s="2"/>
      <c r="B46" s="27" t="s">
        <v>364</v>
      </c>
      <c r="C46" s="3">
        <f>SUM(C41:C45)</f>
        <v>-183.228</v>
      </c>
      <c r="D46" s="3">
        <f>SUM(D41:D45)</f>
        <v>-292.24699999999996</v>
      </c>
      <c r="E46" s="3">
        <f>SUM(E41:E45)</f>
        <v>-348.896</v>
      </c>
      <c r="F46" s="3">
        <f>SUM(F41:F45)</f>
        <v>-259.67299999999983</v>
      </c>
      <c r="G46" s="3">
        <f>SUM(G41:G45)</f>
        <v>-1084.0439999999999</v>
      </c>
      <c r="H46" s="3">
        <f>SUM(H41:H45)</f>
        <v>-338.477</v>
      </c>
      <c r="I46" s="59">
        <f>SUM(I41:I45)</f>
        <v>-270</v>
      </c>
      <c r="J46" s="13"/>
    </row>
    <row r="47">
      <c r="A47" s="2"/>
      <c r="B47" s="8" t="s">
        <v>365</v>
      </c>
      <c r="C47" s="17">
        <f>C96</f>
        <v>2.239</v>
      </c>
      <c r="D47" s="17">
        <f>D96-C96</f>
        <v>0.22599999999999998</v>
      </c>
      <c r="E47" s="17">
        <f>E96-D96</f>
        <v>0.8810000000000002</v>
      </c>
      <c r="F47" s="17">
        <f>F96-E96</f>
        <v>1.4159999999999995</v>
      </c>
      <c r="G47" s="17">
        <f>SUM(C47:F47)</f>
        <v>4.762</v>
      </c>
      <c r="H47" s="17">
        <f>H96</f>
        <v>1.126</v>
      </c>
      <c r="I47" s="77">
        <v>0</v>
      </c>
      <c r="J47" s="13" t="s">
        <v>366</v>
      </c>
    </row>
    <row r="48">
      <c r="A48" s="2"/>
      <c r="B48" s="27" t="s">
        <v>367</v>
      </c>
      <c r="C48" s="3">
        <f>C33+C39+C46+C47</f>
        <v>-168.77199999999996</v>
      </c>
      <c r="D48" s="3">
        <f>D33+D39+D46+D47</f>
        <v>-305.93699999999995</v>
      </c>
      <c r="E48" s="3">
        <f>E33+E39+E46+E47</f>
        <v>672.2669999999999</v>
      </c>
      <c r="F48" s="3">
        <f>F33+F39+F46+F47</f>
        <v>-179.497</v>
      </c>
      <c r="G48" s="3">
        <f>G33+G39+G46+G47</f>
        <v>18.06099999999998</v>
      </c>
      <c r="H48" s="3">
        <f>H33+H39+H46+H47</f>
        <v>-304.66</v>
      </c>
      <c r="I48" s="59">
        <f>I33+I39+I46+I47</f>
        <v>-298.91613056076216</v>
      </c>
      <c r="J48" s="13"/>
    </row>
    <row r="49">
      <c r="A49" s="2"/>
      <c r="B49" s="18" t="s">
        <v>368</v>
      </c>
      <c r="C49" s="12">
        <v>1889.188</v>
      </c>
      <c r="D49" s="17">
        <f>C50</f>
        <v>1720.4160000000002</v>
      </c>
      <c r="E49" s="17">
        <f>D50</f>
        <v>1414.4790000000003</v>
      </c>
      <c r="F49" s="17">
        <f>E50</f>
        <v>2086.746</v>
      </c>
      <c r="G49" s="17">
        <f>C49</f>
        <v>1889.188</v>
      </c>
      <c r="H49" s="17">
        <f>F50</f>
        <v>1907.249</v>
      </c>
      <c r="I49" s="6">
        <f>H50</f>
        <v>1602.589</v>
      </c>
      <c r="J49" s="13" t="s">
        <v>369</v>
      </c>
    </row>
    <row r="50">
      <c r="A50" s="2"/>
      <c r="B50" s="27" t="s">
        <v>370</v>
      </c>
      <c r="C50" s="3">
        <f>C49+C48</f>
        <v>1720.4160000000002</v>
      </c>
      <c r="D50" s="3">
        <f>D49+D48</f>
        <v>1414.4790000000003</v>
      </c>
      <c r="E50" s="3">
        <f>E49+E48</f>
        <v>2086.746</v>
      </c>
      <c r="F50" s="3">
        <f>F49+F48</f>
        <v>1907.249</v>
      </c>
      <c r="G50" s="3">
        <f>G49+G48</f>
        <v>1907.249</v>
      </c>
      <c r="H50" s="3">
        <f>H49+H48</f>
        <v>1602.589</v>
      </c>
      <c r="I50" s="59">
        <f>I49+I48</f>
        <v>1303.6728694392377</v>
      </c>
      <c r="J50" s="13"/>
    </row>
    <row r="51">
      <c r="A51" s="2"/>
      <c r="B51" s="18"/>
      <c r="C51" s="5"/>
      <c r="D51" s="5"/>
      <c r="E51" s="5"/>
      <c r="F51" s="5"/>
      <c r="G51" s="5"/>
      <c r="H51" s="5"/>
      <c r="I51" s="9"/>
      <c r="J51" s="13"/>
    </row>
    <row r="52">
      <c r="A52" s="2"/>
      <c r="B52" s="27" t="s">
        <v>371</v>
      </c>
      <c r="C52" s="15"/>
      <c r="D52" s="15"/>
      <c r="E52" s="15"/>
      <c r="F52" s="15"/>
      <c r="G52" s="15"/>
      <c r="H52" s="15"/>
      <c r="I52" s="41"/>
      <c r="J52" s="13"/>
    </row>
    <row r="53">
      <c r="A53" s="2"/>
      <c r="B53" s="27" t="s">
        <v>372</v>
      </c>
      <c r="C53" s="3">
        <f>C33+C35</f>
        <v>12.20600000000005</v>
      </c>
      <c r="D53" s="3">
        <f>D33+D35</f>
        <v>-13.915999999999995</v>
      </c>
      <c r="E53" s="3">
        <f>E33+E35</f>
        <v>1020.2819999999999</v>
      </c>
      <c r="F53" s="3">
        <f>F33+F35</f>
        <v>78.75999999999982</v>
      </c>
      <c r="G53" s="3">
        <f>G33+G35</f>
        <v>1097.3319999999999</v>
      </c>
      <c r="H53" s="3">
        <f>H33+H35</f>
        <v>32.68199999999999</v>
      </c>
      <c r="I53" s="59">
        <f>I33+I35</f>
        <v>-28.916130560762156</v>
      </c>
      <c r="J53" s="13" t="s">
        <v>373</v>
      </c>
    </row>
    <row r="54">
      <c r="A54" s="2"/>
      <c r="B54" s="28" t="s">
        <v>113</v>
      </c>
      <c r="C54" s="4" t="s">
        <v>37</v>
      </c>
      <c r="D54" s="4" t="s">
        <v>37</v>
      </c>
      <c r="E54" s="4" t="s">
        <v>37</v>
      </c>
      <c r="F54" s="4" t="s">
        <v>37</v>
      </c>
      <c r="G54" s="4" t="s">
        <v>37</v>
      </c>
      <c r="H54" s="4">
        <f>IFERROR(IF(C53&gt;0,H53/C53-1,"n/a"),"n/a")</f>
        <v>1.677535638210704</v>
      </c>
      <c r="I54" s="23" t="str">
        <f>IFERROR(IF(D53&gt;0,I53/D53-1,"n/a"),"n/a")</f>
        <v>n/a</v>
      </c>
      <c r="J54" s="13"/>
    </row>
    <row r="55">
      <c r="A55" s="2"/>
      <c r="B55" s="8" t="s">
        <v>115</v>
      </c>
      <c r="C55" s="17" t="s">
        <v>37</v>
      </c>
      <c r="D55" s="17">
        <f>IFERROR(D53-C53,"n/a")</f>
        <v>-26.122000000000043</v>
      </c>
      <c r="E55" s="17">
        <f>IFERROR(E53-D53,"n/a")</f>
        <v>1034.1979999999999</v>
      </c>
      <c r="F55" s="17">
        <f>IFERROR(F53-E53,"n/a")</f>
        <v>-941.5220000000002</v>
      </c>
      <c r="G55" s="17" t="s">
        <v>37</v>
      </c>
      <c r="H55" s="17">
        <f>IFERROR(H53-F53,"n/a")</f>
        <v>-46.07799999999983</v>
      </c>
      <c r="I55" s="6">
        <f>IFERROR(I53-H53,"n/a")</f>
        <v>-61.598130560762144</v>
      </c>
      <c r="J55" s="13"/>
    </row>
    <row r="56">
      <c r="A56" s="2"/>
      <c r="B56" s="28" t="s">
        <v>374</v>
      </c>
      <c r="C56" s="58">
        <f>IFERROR(C53/'Income Statement'!C10,"n/a")</f>
        <v>0.01265476321306164</v>
      </c>
      <c r="D56" s="58">
        <f>IFERROR(D53/'Income Statement'!D10,"n/a")</f>
        <v>-0.009725755500265575</v>
      </c>
      <c r="E56" s="58">
        <f>IFERROR(E53/'Income Statement'!E10,"n/a")</f>
        <v>0.5212038115010148</v>
      </c>
      <c r="F56" s="58">
        <f>IFERROR(F53/'Income Statement'!F10,"n/a")</f>
        <v>0.07036106949540308</v>
      </c>
      <c r="G56" s="58">
        <f>IFERROR(G53/'Income Statement'!G10,"n/a")</f>
        <v>0.2005249716024133</v>
      </c>
      <c r="H56" s="58">
        <f>IFERROR(H53/'Income Statement'!H10,"n/a")</f>
        <v>0.032055915906431476</v>
      </c>
      <c r="I56" s="96">
        <f>IFERROR(I53/'Income Statement'!I10,"n/a")</f>
        <v>-0.019259140368169583</v>
      </c>
      <c r="J56" s="13"/>
    </row>
    <row r="57">
      <c r="A57" s="2"/>
      <c r="B57" s="1" t="s">
        <v>127</v>
      </c>
      <c r="C57" s="83" t="s">
        <v>37</v>
      </c>
      <c r="D57" s="83" t="s">
        <v>37</v>
      </c>
      <c r="E57" s="83" t="s">
        <v>37</v>
      </c>
      <c r="F57" s="83" t="s">
        <v>37</v>
      </c>
      <c r="G57" s="83" t="s">
        <v>37</v>
      </c>
      <c r="H57" s="83">
        <f>IFERROR((H56-C56)*10000,"n/a")</f>
        <v>194.01152693369835</v>
      </c>
      <c r="I57" s="86">
        <f>IFERROR((I56-D56)*10000,"n/a")</f>
        <v>-95.33384867904007</v>
      </c>
      <c r="J57" s="13"/>
    </row>
    <row r="58">
      <c r="A58" s="2"/>
      <c r="B58" s="1" t="s">
        <v>128</v>
      </c>
      <c r="C58" s="83" t="s">
        <v>37</v>
      </c>
      <c r="D58" s="83">
        <f>IFERROR((D56-C56)*10000,"n/a")</f>
        <v>-223.80518713327214</v>
      </c>
      <c r="E58" s="83">
        <f>IFERROR((E56-D56)*10000,"n/a")</f>
        <v>5309.295670012803</v>
      </c>
      <c r="F58" s="83">
        <f>IFERROR((F56-E56)*10000,"n/a")</f>
        <v>-4508.427420056117</v>
      </c>
      <c r="G58" s="83" t="s">
        <v>37</v>
      </c>
      <c r="H58" s="83">
        <f>IFERROR((H56-F56)*10000,"n/a")</f>
        <v>-383.05153588971604</v>
      </c>
      <c r="I58" s="86">
        <f>IFERROR((I56-H56)*10000,"n/a")</f>
        <v>-513.1505627460106</v>
      </c>
      <c r="J58" s="13"/>
    </row>
    <row r="59">
      <c r="A59" s="2"/>
      <c r="B59" s="28" t="s">
        <v>375</v>
      </c>
      <c r="C59" s="58">
        <f>IFERROR(-C35/'Income Statement'!C10,"n/a")</f>
        <v>0.024820172974004136</v>
      </c>
      <c r="D59" s="58">
        <f>IFERROR(-D35/'Income Statement'!D10,"n/a")</f>
        <v>0.015377680243772887</v>
      </c>
      <c r="E59" s="58">
        <f>IFERROR(-E35/'Income Statement'!E10,"n/a")</f>
        <v>0.011033184865359692</v>
      </c>
      <c r="F59" s="58">
        <f>IFERROR(-F35/'Income Statement'!F10,"n/a")</f>
        <v>0.015260383305237159</v>
      </c>
      <c r="G59" s="58">
        <f>IFERROR(-G35/'Income Statement'!G10,"n/a")</f>
        <v>0.015463893035025886</v>
      </c>
      <c r="H59" s="58">
        <f>IFERROR(-H35/'Income Statement'!H10,"n/a")</f>
        <v>0.014930394465690597</v>
      </c>
      <c r="I59" s="96">
        <f>IFERROR(-I35/'Income Statement'!I10,"n/a")</f>
        <v>0.014652758854072733</v>
      </c>
      <c r="J59" s="13"/>
    </row>
    <row r="60">
      <c r="A60" s="2"/>
      <c r="B60" s="1" t="s">
        <v>127</v>
      </c>
      <c r="C60" s="83" t="s">
        <v>37</v>
      </c>
      <c r="D60" s="83" t="s">
        <v>37</v>
      </c>
      <c r="E60" s="83" t="s">
        <v>37</v>
      </c>
      <c r="F60" s="83" t="s">
        <v>37</v>
      </c>
      <c r="G60" s="83" t="s">
        <v>37</v>
      </c>
      <c r="H60" s="83">
        <f>IFERROR((H59-C59)*10000,"n/a")</f>
        <v>-98.89778508313539</v>
      </c>
      <c r="I60" s="86">
        <f>IFERROR((I59-D59)*10000,"n/a")</f>
        <v>-7.24921389700154</v>
      </c>
      <c r="J60" s="13"/>
    </row>
    <row r="61">
      <c r="A61" s="2"/>
      <c r="B61" s="1" t="s">
        <v>128</v>
      </c>
      <c r="C61" s="83" t="s">
        <v>37</v>
      </c>
      <c r="D61" s="83">
        <f>IFERROR((D59-C59)*10000,"n/a")</f>
        <v>-94.42492730231248</v>
      </c>
      <c r="E61" s="83">
        <f>IFERROR((E59-D59)*10000,"n/a")</f>
        <v>-43.444953784131954</v>
      </c>
      <c r="F61" s="83">
        <f>IFERROR((F59-E59)*10000,"n/a")</f>
        <v>42.27198439877468</v>
      </c>
      <c r="G61" s="83" t="s">
        <v>37</v>
      </c>
      <c r="H61" s="83">
        <f>IFERROR((H59-F59)*10000,"n/a")</f>
        <v>-3.299888395465623</v>
      </c>
      <c r="I61" s="86">
        <f>IFERROR((I59-H59)*10000,"n/a")</f>
        <v>-2.7763561161786403</v>
      </c>
      <c r="J61" s="13"/>
    </row>
    <row r="62">
      <c r="A62" s="2"/>
      <c r="B62" s="28" t="s">
        <v>376</v>
      </c>
      <c r="C62" s="4" t="s">
        <v>37</v>
      </c>
      <c r="D62" s="4" t="s">
        <v>37</v>
      </c>
      <c r="E62" s="4" t="s">
        <v>37</v>
      </c>
      <c r="F62" s="4" t="s">
        <v>37</v>
      </c>
      <c r="G62" s="4" t="s">
        <v>37</v>
      </c>
      <c r="H62" s="4">
        <f>IFERROR(IF(C33&gt;0,H33/C33-1,"n/a"),"n/a")</f>
        <v>0.3252918718530382</v>
      </c>
      <c r="I62" s="23">
        <f>IFERROR(IF(D33&gt;0,I33/D33-1,"n/a"),"n/a")</f>
        <v>-1.8552158477509775</v>
      </c>
      <c r="J62" s="13"/>
    </row>
    <row r="63">
      <c r="A63" s="2"/>
      <c r="B63" s="8" t="s">
        <v>377</v>
      </c>
      <c r="C63" s="17" t="s">
        <v>37</v>
      </c>
      <c r="D63" s="17">
        <f>IFERROR(D33-C33,"n/a")</f>
        <v>-28.059000000000047</v>
      </c>
      <c r="E63" s="17">
        <f>IFERROR(E33-D33,"n/a")</f>
        <v>1033.793</v>
      </c>
      <c r="F63" s="17">
        <f>IFERROR(F33-E33,"n/a")</f>
        <v>-946.038</v>
      </c>
      <c r="G63" s="17" t="s">
        <v>37</v>
      </c>
      <c r="H63" s="17">
        <f>IFERROR(H33-F33,"n/a")</f>
        <v>-47.93799999999984</v>
      </c>
      <c r="I63" s="6">
        <f>IFERROR(I33-H33,"n/a")</f>
        <v>-54.820130560762145</v>
      </c>
      <c r="J63" s="13"/>
    </row>
    <row r="64">
      <c r="A64" s="2"/>
      <c r="B64" s="18" t="s">
        <v>378</v>
      </c>
      <c r="C64" s="11">
        <f>'Balance Sheet'!C10</f>
        <v>1720.416</v>
      </c>
      <c r="D64" s="11">
        <f>'Balance Sheet'!D10</f>
        <v>1414.479</v>
      </c>
      <c r="E64" s="11">
        <f>'Balance Sheet'!E10</f>
        <v>2086.746</v>
      </c>
      <c r="F64" s="11">
        <f>'Balance Sheet'!F10</f>
        <v>1907.249</v>
      </c>
      <c r="G64" s="11">
        <f>'Balance Sheet'!G10</f>
        <v>1907.249</v>
      </c>
      <c r="H64" s="11">
        <f>'Balance Sheet'!H10</f>
        <v>1602.589</v>
      </c>
      <c r="I64" s="35">
        <f>'Balance Sheet'!I10</f>
        <v>1303.6728694392377</v>
      </c>
      <c r="J64" s="13"/>
    </row>
    <row r="65">
      <c r="A65" s="2"/>
      <c r="B65" s="8" t="s">
        <v>379</v>
      </c>
      <c r="C65" s="17">
        <f>C50-C64</f>
        <v>0</v>
      </c>
      <c r="D65" s="17">
        <f>D50-D64</f>
        <v>0</v>
      </c>
      <c r="E65" s="17">
        <f>E50-E64</f>
        <v>0</v>
      </c>
      <c r="F65" s="17">
        <f>F50-F64</f>
        <v>0</v>
      </c>
      <c r="G65" s="17">
        <f>G50-G64</f>
        <v>0</v>
      </c>
      <c r="H65" s="17">
        <f>H50-H64</f>
        <v>0</v>
      </c>
      <c r="I65" s="6">
        <f>I50-I64</f>
        <v>0</v>
      </c>
      <c r="J65" s="13"/>
    </row>
    <row r="66">
      <c r="A66" s="2"/>
      <c r="B66" s="18" t="s">
        <v>380</v>
      </c>
      <c r="C66" s="17" t="b">
        <f>ABS(C65)&lt;0.001</f>
        <v>1</v>
      </c>
      <c r="D66" s="17" t="b">
        <f>ABS(D65)&lt;0.001</f>
        <v>1</v>
      </c>
      <c r="E66" s="17" t="b">
        <f>ABS(E65)&lt;0.001</f>
        <v>1</v>
      </c>
      <c r="F66" s="17" t="b">
        <f>ABS(F65)&lt;0.001</f>
        <v>1</v>
      </c>
      <c r="G66" s="17" t="b">
        <f>ABS(G65)&lt;0.001</f>
        <v>1</v>
      </c>
      <c r="H66" s="17" t="b">
        <f>ABS(H65)&lt;0.001</f>
        <v>1</v>
      </c>
      <c r="I66" s="6" t="b">
        <f>ABS(I65)&lt;0.001</f>
        <v>1</v>
      </c>
      <c r="J66" s="13" t="s">
        <v>381</v>
      </c>
    </row>
    <row r="67">
      <c r="A67" s="2"/>
      <c r="B67" s="18" t="s">
        <v>382</v>
      </c>
      <c r="C67" s="5" t="s">
        <v>37</v>
      </c>
      <c r="D67" s="5" t="s">
        <v>37</v>
      </c>
      <c r="E67" s="5" t="s">
        <v>37</v>
      </c>
      <c r="F67" s="5" t="s">
        <v>37</v>
      </c>
      <c r="G67" s="5" t="b">
        <f>ABS(G33-SUM(F71:F88))&lt;0.001</f>
        <v>1</v>
      </c>
      <c r="H67" s="5" t="s">
        <v>37</v>
      </c>
      <c r="I67" s="9" t="s">
        <v>37</v>
      </c>
      <c r="J67" s="13" t="s">
        <v>383</v>
      </c>
    </row>
    <row r="68">
      <c r="A68" s="2"/>
      <c r="B68" s="18"/>
      <c r="C68" s="5"/>
      <c r="D68" s="5"/>
      <c r="E68" s="5"/>
      <c r="F68" s="5"/>
      <c r="G68" s="5"/>
      <c r="H68" s="5"/>
      <c r="I68" s="9"/>
      <c r="J68" s="13"/>
    </row>
    <row r="69">
      <c r="A69" s="2"/>
      <c r="B69" s="18"/>
      <c r="C69" s="5"/>
      <c r="D69" s="5"/>
      <c r="E69" s="5"/>
      <c r="F69" s="5"/>
      <c r="G69" s="5"/>
      <c r="H69" s="5"/>
      <c r="I69" s="9"/>
      <c r="J69" s="13"/>
    </row>
    <row r="70">
      <c r="A70" s="2"/>
      <c r="B70" s="27" t="s">
        <v>384</v>
      </c>
      <c r="C70" s="15"/>
      <c r="D70" s="15"/>
      <c r="E70" s="15"/>
      <c r="F70" s="15"/>
      <c r="G70" s="15"/>
      <c r="H70" s="15"/>
      <c r="I70" s="41"/>
      <c r="J70" s="13"/>
    </row>
    <row r="71">
      <c r="A71" s="2"/>
      <c r="B71" s="8" t="s">
        <v>327</v>
      </c>
      <c r="C71" s="12">
        <v>139.203</v>
      </c>
      <c r="D71" s="12">
        <v>407.355</v>
      </c>
      <c r="E71" s="12">
        <v>888.5</v>
      </c>
      <c r="F71" s="12">
        <v>1024.071</v>
      </c>
      <c r="G71" s="17" t="s">
        <v>37</v>
      </c>
      <c r="H71" s="12">
        <v>129.972</v>
      </c>
      <c r="I71" s="6" t="s">
        <v>37</v>
      </c>
      <c r="J71" s="13" t="s">
        <v>385</v>
      </c>
    </row>
    <row r="72">
      <c r="A72" s="2"/>
      <c r="B72" s="8" t="s">
        <v>328</v>
      </c>
      <c r="C72" s="12">
        <v>19.424</v>
      </c>
      <c r="D72" s="12">
        <v>39.171</v>
      </c>
      <c r="E72" s="12">
        <v>57.141</v>
      </c>
      <c r="F72" s="12">
        <v>75.773</v>
      </c>
      <c r="G72" s="17" t="s">
        <v>37</v>
      </c>
      <c r="H72" s="12">
        <v>17.713</v>
      </c>
      <c r="I72" s="6" t="s">
        <v>37</v>
      </c>
      <c r="J72" s="13" t="s">
        <v>385</v>
      </c>
    </row>
    <row r="73">
      <c r="A73" s="2"/>
      <c r="B73" s="8" t="s">
        <v>331</v>
      </c>
      <c r="C73" s="12">
        <v>0.556</v>
      </c>
      <c r="D73" s="12">
        <v>1.117</v>
      </c>
      <c r="E73" s="12">
        <v>1.677</v>
      </c>
      <c r="F73" s="12">
        <v>2.236</v>
      </c>
      <c r="G73" s="17" t="s">
        <v>37</v>
      </c>
      <c r="H73" s="12">
        <v>0.559</v>
      </c>
      <c r="I73" s="6" t="s">
        <v>37</v>
      </c>
      <c r="J73" s="13" t="s">
        <v>385</v>
      </c>
    </row>
    <row r="74">
      <c r="A74" s="2"/>
      <c r="B74" s="8" t="s">
        <v>333</v>
      </c>
      <c r="C74" s="12">
        <v>0.597</v>
      </c>
      <c r="D74" s="12">
        <v>17.319</v>
      </c>
      <c r="E74" s="12">
        <v>3.808</v>
      </c>
      <c r="F74" s="12">
        <v>6.345</v>
      </c>
      <c r="G74" s="17" t="s">
        <v>37</v>
      </c>
      <c r="H74" s="12">
        <v>-4.788</v>
      </c>
      <c r="I74" s="6" t="s">
        <v>37</v>
      </c>
      <c r="J74" s="13" t="s">
        <v>385</v>
      </c>
    </row>
    <row r="75">
      <c r="A75" s="2"/>
      <c r="B75" s="8" t="s">
        <v>335</v>
      </c>
      <c r="C75" s="12">
        <v>-0.713</v>
      </c>
      <c r="D75" s="12">
        <v>-9.209</v>
      </c>
      <c r="E75" s="12">
        <v>-13.714</v>
      </c>
      <c r="F75" s="12">
        <v>8.784</v>
      </c>
      <c r="G75" s="17" t="s">
        <v>37</v>
      </c>
      <c r="H75" s="12">
        <v>0.47</v>
      </c>
      <c r="I75" s="6" t="s">
        <v>37</v>
      </c>
      <c r="J75" s="13" t="s">
        <v>385</v>
      </c>
    </row>
    <row r="76">
      <c r="A76" s="2"/>
      <c r="B76" s="8" t="s">
        <v>336</v>
      </c>
      <c r="C76" s="12">
        <v>8.739</v>
      </c>
      <c r="D76" s="12">
        <v>19.891</v>
      </c>
      <c r="E76" s="12">
        <v>31.703</v>
      </c>
      <c r="F76" s="12">
        <v>44.835</v>
      </c>
      <c r="G76" s="17" t="s">
        <v>37</v>
      </c>
      <c r="H76" s="12">
        <v>10.741</v>
      </c>
      <c r="I76" s="6" t="s">
        <v>37</v>
      </c>
      <c r="J76" s="13" t="s">
        <v>385</v>
      </c>
    </row>
    <row r="77">
      <c r="A77" s="2"/>
      <c r="B77" s="8" t="s">
        <v>338</v>
      </c>
      <c r="C77" s="12">
        <v>0.022</v>
      </c>
      <c r="D77" s="12">
        <v>1.128</v>
      </c>
      <c r="E77" s="12">
        <v>0.99</v>
      </c>
      <c r="F77" s="12">
        <v>1.191</v>
      </c>
      <c r="G77" s="17" t="s">
        <v>37</v>
      </c>
      <c r="H77" s="12">
        <v>0.082</v>
      </c>
      <c r="I77" s="6" t="s">
        <v>37</v>
      </c>
      <c r="J77" s="13" t="s">
        <v>385</v>
      </c>
    </row>
    <row r="78">
      <c r="A78" s="2"/>
      <c r="B78" s="8" t="s">
        <v>340</v>
      </c>
      <c r="C78" s="12">
        <v>0</v>
      </c>
      <c r="D78" s="12">
        <v>0.1</v>
      </c>
      <c r="E78" s="12">
        <v>0.127</v>
      </c>
      <c r="F78" s="12">
        <v>0.127</v>
      </c>
      <c r="G78" s="17" t="s">
        <v>37</v>
      </c>
      <c r="H78" s="12">
        <v>0</v>
      </c>
      <c r="I78" s="6" t="s">
        <v>37</v>
      </c>
      <c r="J78" s="13" t="s">
        <v>385</v>
      </c>
    </row>
    <row r="79">
      <c r="A79" s="2"/>
      <c r="B79" s="8" t="s">
        <v>341</v>
      </c>
      <c r="C79" s="12">
        <v>-44.199</v>
      </c>
      <c r="D79" s="12">
        <v>-223.211</v>
      </c>
      <c r="E79" s="12">
        <v>-15.262</v>
      </c>
      <c r="F79" s="12">
        <v>7.55</v>
      </c>
      <c r="G79" s="17" t="s">
        <v>37</v>
      </c>
      <c r="H79" s="12">
        <v>-54.582</v>
      </c>
      <c r="I79" s="6" t="s">
        <v>37</v>
      </c>
      <c r="J79" s="13" t="s">
        <v>385</v>
      </c>
    </row>
    <row r="80">
      <c r="A80" s="2"/>
      <c r="B80" s="8" t="s">
        <v>342</v>
      </c>
      <c r="C80" s="12">
        <v>-354.125</v>
      </c>
      <c r="D80" s="12">
        <v>-340.367</v>
      </c>
      <c r="E80" s="12">
        <v>-138.259</v>
      </c>
      <c r="F80" s="12">
        <v>8.208</v>
      </c>
      <c r="G80" s="17" t="s">
        <v>37</v>
      </c>
      <c r="H80" s="12">
        <v>-320.562</v>
      </c>
      <c r="I80" s="6" t="s">
        <v>37</v>
      </c>
      <c r="J80" s="13" t="s">
        <v>385</v>
      </c>
    </row>
    <row r="81">
      <c r="A81" s="2"/>
      <c r="B81" s="8" t="s">
        <v>343</v>
      </c>
      <c r="C81" s="12">
        <v>-8.817</v>
      </c>
      <c r="D81" s="12">
        <v>-70.115</v>
      </c>
      <c r="E81" s="12">
        <v>-105.415</v>
      </c>
      <c r="F81" s="12">
        <v>-23.804</v>
      </c>
      <c r="G81" s="17" t="s">
        <v>37</v>
      </c>
      <c r="H81" s="12">
        <v>9.572</v>
      </c>
      <c r="I81" s="6" t="s">
        <v>37</v>
      </c>
      <c r="J81" s="13" t="s">
        <v>385</v>
      </c>
    </row>
    <row r="82">
      <c r="A82" s="2"/>
      <c r="B82" s="8" t="s">
        <v>344</v>
      </c>
      <c r="C82" s="12">
        <v>21.254</v>
      </c>
      <c r="D82" s="12">
        <v>28.547</v>
      </c>
      <c r="E82" s="12">
        <v>28.929</v>
      </c>
      <c r="F82" s="12">
        <v>34.788</v>
      </c>
      <c r="G82" s="17" t="s">
        <v>37</v>
      </c>
      <c r="H82" s="12">
        <v>-2.375</v>
      </c>
      <c r="I82" s="6" t="s">
        <v>37</v>
      </c>
      <c r="J82" s="13" t="s">
        <v>385</v>
      </c>
    </row>
    <row r="83">
      <c r="A83" s="2"/>
      <c r="B83" s="8" t="s">
        <v>345</v>
      </c>
      <c r="C83" s="12">
        <v>1.925</v>
      </c>
      <c r="D83" s="12">
        <v>5.133</v>
      </c>
      <c r="E83" s="12">
        <v>1.828</v>
      </c>
      <c r="F83" s="12">
        <v>-0.01</v>
      </c>
      <c r="G83" s="17" t="s">
        <v>37</v>
      </c>
      <c r="H83" s="12">
        <v>-0.248</v>
      </c>
      <c r="I83" s="6" t="s">
        <v>37</v>
      </c>
      <c r="J83" s="13" t="s">
        <v>385</v>
      </c>
    </row>
    <row r="84">
      <c r="A84" s="2"/>
      <c r="B84" s="8" t="s">
        <v>346</v>
      </c>
      <c r="C84" s="12">
        <v>-8.438</v>
      </c>
      <c r="D84" s="12">
        <v>-14.822</v>
      </c>
      <c r="E84" s="12">
        <v>-23.873</v>
      </c>
      <c r="F84" s="12">
        <v>-28.832</v>
      </c>
      <c r="G84" s="17" t="s">
        <v>37</v>
      </c>
      <c r="H84" s="12">
        <v>-13.542</v>
      </c>
      <c r="I84" s="6" t="s">
        <v>37</v>
      </c>
      <c r="J84" s="13" t="s">
        <v>385</v>
      </c>
    </row>
    <row r="85">
      <c r="A85" s="2"/>
      <c r="B85" s="8" t="s">
        <v>347</v>
      </c>
      <c r="C85" s="12">
        <v>314.845</v>
      </c>
      <c r="D85" s="12">
        <v>177.305</v>
      </c>
      <c r="E85" s="12">
        <v>185.956</v>
      </c>
      <c r="F85" s="12">
        <v>-27.865</v>
      </c>
      <c r="G85" s="17" t="s">
        <v>37</v>
      </c>
      <c r="H85" s="12">
        <v>341.579</v>
      </c>
      <c r="I85" s="6" t="s">
        <v>37</v>
      </c>
      <c r="J85" s="13" t="s">
        <v>385</v>
      </c>
    </row>
    <row r="86">
      <c r="A86" s="2"/>
      <c r="B86" s="8" t="s">
        <v>348</v>
      </c>
      <c r="C86" s="12">
        <v>-66.301</v>
      </c>
      <c r="D86" s="12">
        <v>-41.621</v>
      </c>
      <c r="E86" s="12">
        <v>54.201</v>
      </c>
      <c r="F86" s="12">
        <v>16.933</v>
      </c>
      <c r="G86" s="17" t="s">
        <v>37</v>
      </c>
      <c r="H86" s="12">
        <v>-96.344</v>
      </c>
      <c r="I86" s="6" t="s">
        <v>37</v>
      </c>
      <c r="J86" s="13" t="s">
        <v>385</v>
      </c>
    </row>
    <row r="87">
      <c r="A87" s="2"/>
      <c r="B87" s="8" t="s">
        <v>349</v>
      </c>
      <c r="C87" s="12">
        <v>-0.565</v>
      </c>
      <c r="D87" s="12">
        <v>42.685</v>
      </c>
      <c r="E87" s="12">
        <v>118.817</v>
      </c>
      <c r="F87" s="12">
        <v>13.175</v>
      </c>
      <c r="G87" s="17" t="s">
        <v>37</v>
      </c>
      <c r="H87" s="12">
        <v>20.819</v>
      </c>
      <c r="I87" s="6" t="s">
        <v>37</v>
      </c>
      <c r="J87" s="13" t="s">
        <v>385</v>
      </c>
    </row>
    <row r="88">
      <c r="A88" s="2"/>
      <c r="B88" s="8" t="s">
        <v>350</v>
      </c>
      <c r="C88" s="12">
        <v>12.739</v>
      </c>
      <c r="D88" s="12">
        <v>3.827</v>
      </c>
      <c r="E88" s="12">
        <v>8.959</v>
      </c>
      <c r="F88" s="12">
        <v>18.45</v>
      </c>
      <c r="G88" s="17" t="s">
        <v>37</v>
      </c>
      <c r="H88" s="12">
        <v>8.838</v>
      </c>
      <c r="I88" s="6" t="s">
        <v>37</v>
      </c>
      <c r="J88" s="13" t="s">
        <v>385</v>
      </c>
    </row>
    <row r="89">
      <c r="A89" s="2"/>
      <c r="B89" s="8" t="s">
        <v>353</v>
      </c>
      <c r="C89" s="12">
        <v>-23.94</v>
      </c>
      <c r="D89" s="12">
        <v>-45.943</v>
      </c>
      <c r="E89" s="12">
        <v>-67.541</v>
      </c>
      <c r="F89" s="12">
        <v>-84.623</v>
      </c>
      <c r="G89" s="17" t="s">
        <v>37</v>
      </c>
      <c r="H89" s="12">
        <v>-15.222</v>
      </c>
      <c r="I89" s="6" t="s">
        <v>37</v>
      </c>
      <c r="J89" s="13" t="s">
        <v>385</v>
      </c>
    </row>
    <row r="90">
      <c r="A90" s="2"/>
      <c r="B90" s="8" t="s">
        <v>355</v>
      </c>
      <c r="C90" s="12">
        <v>0.011</v>
      </c>
      <c r="D90" s="12">
        <v>0.011</v>
      </c>
      <c r="E90" s="12">
        <v>0.011</v>
      </c>
      <c r="F90" s="12">
        <v>0.011</v>
      </c>
      <c r="G90" s="17" t="s">
        <v>37</v>
      </c>
      <c r="H90" s="12">
        <v>0.009</v>
      </c>
      <c r="I90" s="6" t="s">
        <v>37</v>
      </c>
      <c r="J90" s="13" t="s">
        <v>385</v>
      </c>
    </row>
    <row r="91">
      <c r="A91" s="2"/>
      <c r="B91" s="8" t="s">
        <v>358</v>
      </c>
      <c r="C91" s="12">
        <v>0</v>
      </c>
      <c r="D91" s="12">
        <v>2.228</v>
      </c>
      <c r="E91" s="12">
        <v>2.228</v>
      </c>
      <c r="F91" s="12">
        <v>4.509</v>
      </c>
      <c r="G91" s="17" t="s">
        <v>37</v>
      </c>
      <c r="H91" s="12">
        <v>0</v>
      </c>
      <c r="I91" s="6" t="s">
        <v>37</v>
      </c>
      <c r="J91" s="13" t="s">
        <v>385</v>
      </c>
    </row>
    <row r="92">
      <c r="A92" s="2"/>
      <c r="B92" s="8" t="s">
        <v>359</v>
      </c>
      <c r="C92" s="12">
        <v>0</v>
      </c>
      <c r="D92" s="12">
        <v>0</v>
      </c>
      <c r="E92" s="12">
        <v>0</v>
      </c>
      <c r="F92" s="12">
        <v>0</v>
      </c>
      <c r="G92" s="17" t="s">
        <v>37</v>
      </c>
      <c r="H92" s="12">
        <v>0</v>
      </c>
      <c r="I92" s="6" t="s">
        <v>37</v>
      </c>
      <c r="J92" s="13" t="s">
        <v>385</v>
      </c>
    </row>
    <row r="93">
      <c r="A93" s="2"/>
      <c r="B93" s="8" t="s">
        <v>360</v>
      </c>
      <c r="C93" s="12">
        <v>-182.991</v>
      </c>
      <c r="D93" s="12">
        <v>-464.987</v>
      </c>
      <c r="E93" s="12">
        <v>-813.488</v>
      </c>
      <c r="F93" s="12">
        <v>-1075.1</v>
      </c>
      <c r="G93" s="17" t="s">
        <v>37</v>
      </c>
      <c r="H93" s="12">
        <v>-338.186</v>
      </c>
      <c r="I93" s="6" t="s">
        <v>37</v>
      </c>
      <c r="J93" s="13" t="s">
        <v>385</v>
      </c>
    </row>
    <row r="94">
      <c r="A94" s="2"/>
      <c r="B94" s="8" t="s">
        <v>362</v>
      </c>
      <c r="C94" s="12">
        <v>0</v>
      </c>
      <c r="D94" s="12">
        <v>-5.042</v>
      </c>
      <c r="E94" s="12">
        <v>-5.042</v>
      </c>
      <c r="F94" s="12">
        <v>-5.043</v>
      </c>
      <c r="G94" s="17" t="s">
        <v>37</v>
      </c>
      <c r="H94" s="12">
        <v>0</v>
      </c>
      <c r="I94" s="6" t="s">
        <v>37</v>
      </c>
      <c r="J94" s="13" t="s">
        <v>385</v>
      </c>
    </row>
    <row r="95">
      <c r="A95" s="2"/>
      <c r="B95" s="8" t="s">
        <v>363</v>
      </c>
      <c r="C95" s="12">
        <v>-0.237</v>
      </c>
      <c r="D95" s="12">
        <v>-7.674</v>
      </c>
      <c r="E95" s="12">
        <v>-8.069</v>
      </c>
      <c r="F95" s="12">
        <v>-8.41</v>
      </c>
      <c r="G95" s="17" t="s">
        <v>37</v>
      </c>
      <c r="H95" s="12">
        <v>-0.291</v>
      </c>
      <c r="I95" s="6" t="s">
        <v>37</v>
      </c>
      <c r="J95" s="13" t="s">
        <v>385</v>
      </c>
    </row>
    <row r="96">
      <c r="A96" s="2"/>
      <c r="B96" s="8" t="s">
        <v>365</v>
      </c>
      <c r="C96" s="12">
        <v>2.239</v>
      </c>
      <c r="D96" s="12">
        <v>2.465</v>
      </c>
      <c r="E96" s="12">
        <v>3.346</v>
      </c>
      <c r="F96" s="12">
        <v>4.762</v>
      </c>
      <c r="G96" s="17" t="s">
        <v>37</v>
      </c>
      <c r="H96" s="12">
        <v>1.126</v>
      </c>
      <c r="I96" s="6" t="s">
        <v>37</v>
      </c>
      <c r="J96" s="13"/>
    </row>
    <row r="97">
      <c r="A97" s="2"/>
      <c r="B97" s="18"/>
      <c r="C97" s="5"/>
      <c r="D97" s="5"/>
      <c r="E97" s="5"/>
      <c r="F97" s="5"/>
      <c r="G97" s="5"/>
      <c r="H97" s="5"/>
      <c r="I97" s="9"/>
      <c r="J97" s="13"/>
    </row>
    <row r="98">
      <c r="A98" s="2"/>
      <c r="B98" s="18"/>
      <c r="C98" s="5"/>
      <c r="D98" s="5"/>
      <c r="E98" s="5"/>
      <c r="F98" s="5"/>
      <c r="G98" s="5"/>
      <c r="H98" s="5"/>
      <c r="I98" s="9"/>
      <c r="J98" s="1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3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386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387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388</v>
      </c>
      <c r="C10" s="12">
        <v>463.28</v>
      </c>
      <c r="D10" s="12">
        <v>591.31</v>
      </c>
      <c r="E10" s="12">
        <v>756.66</v>
      </c>
      <c r="F10" s="17">
        <f>G10-C10-D10-E10</f>
        <v>469.5279999999999</v>
      </c>
      <c r="G10" s="12">
        <v>2280.778</v>
      </c>
      <c r="H10" s="12">
        <v>502.103</v>
      </c>
      <c r="I10" s="6">
        <f>I11*(1+I12)</f>
        <v>614.9624</v>
      </c>
      <c r="J10" s="13" t="s">
        <v>389</v>
      </c>
    </row>
    <row r="11">
      <c r="A11" s="2"/>
      <c r="B11" s="8" t="s">
        <v>107</v>
      </c>
      <c r="C11" s="12">
        <v>309.491</v>
      </c>
      <c r="D11" s="12">
        <v>457.41</v>
      </c>
      <c r="E11" s="12">
        <v>657.874</v>
      </c>
      <c r="F11" s="17">
        <f>G11-C11-D11-E11</f>
        <v>374.12799999999993</v>
      </c>
      <c r="G11" s="12">
        <v>1798.903</v>
      </c>
      <c r="H11" s="17">
        <f>C10</f>
        <v>463.28</v>
      </c>
      <c r="I11" s="6">
        <f>D10</f>
        <v>591.31</v>
      </c>
      <c r="J11" s="13"/>
    </row>
    <row r="12">
      <c r="A12" s="2"/>
      <c r="B12" s="28" t="s">
        <v>113</v>
      </c>
      <c r="C12" s="4">
        <f>IFERROR(IF(C11&gt;0,C10/C11-1,"n/a"),"n/a")</f>
        <v>0.49690944163158224</v>
      </c>
      <c r="D12" s="4">
        <f>IFERROR(IF(D11&gt;0,D10/D11-1,"n/a"),"n/a")</f>
        <v>0.2927351828775058</v>
      </c>
      <c r="E12" s="4">
        <f>IFERROR(IF(E11&gt;0,E10/E11-1,"n/a"),"n/a")</f>
        <v>0.15015945302595934</v>
      </c>
      <c r="F12" s="4">
        <f>IFERROR(IF(F11&gt;0,F10/F11-1,"n/a"),"n/a")</f>
        <v>0.25499294359149816</v>
      </c>
      <c r="G12" s="4">
        <f>IFERROR(IF(G11&gt;0,G10/G11-1,"n/a"),"n/a")</f>
        <v>0.26787158618335716</v>
      </c>
      <c r="H12" s="4">
        <f>IFERROR(IF(H11&gt;0,H10/H11-1,"n/a"),"n/a")</f>
        <v>0.083800293558971</v>
      </c>
      <c r="I12" s="52">
        <v>0.04</v>
      </c>
      <c r="J12" s="13" t="s">
        <v>390</v>
      </c>
    </row>
    <row r="13">
      <c r="A13" s="2"/>
      <c r="B13" s="8" t="s">
        <v>115</v>
      </c>
      <c r="C13" s="17" t="s">
        <v>37</v>
      </c>
      <c r="D13" s="17">
        <f>IFERROR(D10-C10,"n/a")</f>
        <v>128.02999999999997</v>
      </c>
      <c r="E13" s="17">
        <f>IFERROR(E10-D10,"n/a")</f>
        <v>165.35000000000002</v>
      </c>
      <c r="F13" s="17">
        <f>IFERROR(F10-E10,"n/a")</f>
        <v>-287.13200000000006</v>
      </c>
      <c r="G13" s="17" t="s">
        <v>37</v>
      </c>
      <c r="H13" s="17">
        <f>IFERROR(H10-F10,"n/a")</f>
        <v>32.5750000000001</v>
      </c>
      <c r="I13" s="6">
        <f>IFERROR(I10-H10,"n/a")</f>
        <v>112.8594</v>
      </c>
      <c r="J13" s="13"/>
    </row>
    <row r="14">
      <c r="A14" s="2"/>
      <c r="B14" s="28" t="s">
        <v>114</v>
      </c>
      <c r="C14" s="4" t="s">
        <v>37</v>
      </c>
      <c r="D14" s="4">
        <f>IFERROR(IF(C10&gt;0,D10/C10-1,"n/a"),"n/a")</f>
        <v>0.27635555171818327</v>
      </c>
      <c r="E14" s="4">
        <f>IFERROR(IF(D10&gt;0,E10/D10-1,"n/a"),"n/a")</f>
        <v>0.2796333564458575</v>
      </c>
      <c r="F14" s="4">
        <f>IFERROR(IF(E10&gt;0,F10/E10-1,"n/a"),"n/a")</f>
        <v>-0.37947294689821065</v>
      </c>
      <c r="G14" s="4" t="s">
        <v>37</v>
      </c>
      <c r="H14" s="4">
        <f>IFERROR(IF(F10&gt;0,H10/F10-1,"n/a"),"n/a")</f>
        <v>0.0693781840486618</v>
      </c>
      <c r="I14" s="23">
        <f>IFERROR(IF(H10&gt;0,I10/H10-1,"n/a"),"n/a")</f>
        <v>0.22477340306670146</v>
      </c>
      <c r="J14" s="13"/>
    </row>
    <row r="15">
      <c r="A15" s="2"/>
      <c r="B15" s="28" t="s">
        <v>126</v>
      </c>
      <c r="C15" s="4">
        <f>C10/C30</f>
        <v>0.4803128544443039</v>
      </c>
      <c r="D15" s="4">
        <f>D10/D30</f>
        <v>0.4132607419417964</v>
      </c>
      <c r="E15" s="4">
        <f>E10/E30</f>
        <v>0.3865343856015865</v>
      </c>
      <c r="F15" s="4">
        <f>F10/F30</f>
        <v>0.41945774807056463</v>
      </c>
      <c r="G15" s="4">
        <f>G10/G30</f>
        <v>0.41678629957151436</v>
      </c>
      <c r="H15" s="4">
        <f>H10/H30</f>
        <v>0.4924842893448066</v>
      </c>
      <c r="I15" s="23">
        <f>I10/I30</f>
        <v>0.409586170523719</v>
      </c>
      <c r="J15" s="13"/>
    </row>
    <row r="16">
      <c r="A16" s="2"/>
      <c r="B16" s="1" t="s">
        <v>118</v>
      </c>
      <c r="C16" s="4" t="s">
        <v>37</v>
      </c>
      <c r="D16" s="4" t="s">
        <v>37</v>
      </c>
      <c r="E16" s="20">
        <v>0</v>
      </c>
      <c r="F16" s="20">
        <v>0</v>
      </c>
      <c r="G16" s="4" t="s">
        <v>37</v>
      </c>
      <c r="H16" s="20">
        <v>0</v>
      </c>
      <c r="I16" s="52">
        <v>0</v>
      </c>
      <c r="J16" s="13"/>
    </row>
    <row r="17">
      <c r="A17" s="2"/>
      <c r="B17" s="1" t="s">
        <v>120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 t="s">
        <v>37</v>
      </c>
      <c r="I17" s="23" t="s">
        <v>37</v>
      </c>
      <c r="J17" s="13"/>
    </row>
    <row r="18">
      <c r="A18" s="2"/>
      <c r="B18" s="1" t="s">
        <v>122</v>
      </c>
      <c r="C18" s="4" t="str">
        <f>IFERROR((1+C12)/((1+C16)*(1+C17))-1,"n/a")</f>
        <v>n/a</v>
      </c>
      <c r="D18" s="4" t="str">
        <f>IFERROR((1+D12)/((1+D16)*(1+D17))-1,"n/a")</f>
        <v>n/a</v>
      </c>
      <c r="E18" s="4" t="str">
        <f>IFERROR((1+E12)/((1+E16)*(1+E17))-1,"n/a")</f>
        <v>n/a</v>
      </c>
      <c r="F18" s="4" t="str">
        <f>IFERROR((1+F12)/((1+F16)*(1+F17))-1,"n/a")</f>
        <v>n/a</v>
      </c>
      <c r="G18" s="4" t="str">
        <f>IFERROR((1+G12)/((1+G16)*(1+G17))-1,"n/a")</f>
        <v>n/a</v>
      </c>
      <c r="H18" s="4" t="str">
        <f>IFERROR((1+H12)/((1+H16)*(1+H17))-1,"n/a")</f>
        <v>n/a</v>
      </c>
      <c r="I18" s="23" t="str">
        <f>IFERROR((1+I12)/((1+I16)*(1+I17))-1,"n/a")</f>
        <v>n/a</v>
      </c>
      <c r="J18" s="13"/>
    </row>
    <row r="19">
      <c r="A19" s="2"/>
      <c r="B19" s="1" t="s">
        <v>123</v>
      </c>
      <c r="C19" s="4">
        <f>C12</f>
        <v>0.49690944163158224</v>
      </c>
      <c r="D19" s="4">
        <f>D12</f>
        <v>0.2927351828775058</v>
      </c>
      <c r="E19" s="4">
        <f>E12</f>
        <v>0.15015945302595934</v>
      </c>
      <c r="F19" s="4">
        <f>F12</f>
        <v>0.25499294359149816</v>
      </c>
      <c r="G19" s="4">
        <f>G12</f>
        <v>0.26787158618335716</v>
      </c>
      <c r="H19" s="4">
        <f>H12</f>
        <v>0.083800293558971</v>
      </c>
      <c r="I19" s="23">
        <f>I12</f>
        <v>0.04</v>
      </c>
      <c r="J19" s="13"/>
    </row>
    <row r="20">
      <c r="A20" s="2"/>
      <c r="B20" s="18" t="s">
        <v>391</v>
      </c>
      <c r="C20" s="12">
        <v>501.258</v>
      </c>
      <c r="D20" s="12">
        <v>839.53</v>
      </c>
      <c r="E20" s="12">
        <v>1200.889</v>
      </c>
      <c r="F20" s="17">
        <f>G20-C20-D20-E20</f>
        <v>649.8410000000003</v>
      </c>
      <c r="G20" s="12">
        <v>3191.518</v>
      </c>
      <c r="H20" s="12">
        <v>517.428</v>
      </c>
      <c r="I20" s="35">
        <f>'Revenue summary'!I16-I10</f>
        <v>886.4613400000002</v>
      </c>
      <c r="J20" s="13" t="s">
        <v>392</v>
      </c>
    </row>
    <row r="21">
      <c r="A21" s="2"/>
      <c r="B21" s="8" t="s">
        <v>107</v>
      </c>
      <c r="C21" s="12">
        <v>515.856</v>
      </c>
      <c r="D21" s="12">
        <v>853.91</v>
      </c>
      <c r="E21" s="12">
        <v>1169.291</v>
      </c>
      <c r="F21" s="17">
        <f>G21-C21-D21-E21</f>
        <v>647.6520000000003</v>
      </c>
      <c r="G21" s="12">
        <v>3186.709</v>
      </c>
      <c r="H21" s="17">
        <f>C20</f>
        <v>501.258</v>
      </c>
      <c r="I21" s="6">
        <f>D20</f>
        <v>839.53</v>
      </c>
      <c r="J21" s="13"/>
    </row>
    <row r="22">
      <c r="A22" s="2"/>
      <c r="B22" s="28" t="s">
        <v>113</v>
      </c>
      <c r="C22" s="4">
        <f>IFERROR(IF(C21&gt;0,C20/C21-1,"n/a"),"n/a")</f>
        <v>-0.028298594956732148</v>
      </c>
      <c r="D22" s="4">
        <f>IFERROR(IF(D21&gt;0,D20/D21-1,"n/a"),"n/a")</f>
        <v>-0.01684018222060868</v>
      </c>
      <c r="E22" s="4">
        <f>IFERROR(IF(E21&gt;0,E20/E21-1,"n/a"),"n/a")</f>
        <v>0.027023213212108876</v>
      </c>
      <c r="F22" s="4">
        <f>IFERROR(IF(F21&gt;0,F20/F21-1,"n/a"),"n/a")</f>
        <v>0.003379901552068132</v>
      </c>
      <c r="G22" s="4">
        <f>IFERROR(IF(G21&gt;0,G20/G21-1,"n/a"),"n/a")</f>
        <v>0.0015090803710033907</v>
      </c>
      <c r="H22" s="4">
        <f>IFERROR(IF(H21&gt;0,H20/H21-1,"n/a"),"n/a")</f>
        <v>0.03225883676669494</v>
      </c>
      <c r="I22" s="23">
        <f>IFERROR(IF(I21&gt;0,I20/I21-1,"n/a"),"n/a")</f>
        <v>0.055901921313116</v>
      </c>
      <c r="J22" s="13"/>
    </row>
    <row r="23">
      <c r="A23" s="2"/>
      <c r="B23" s="8" t="s">
        <v>115</v>
      </c>
      <c r="C23" s="17" t="s">
        <v>37</v>
      </c>
      <c r="D23" s="17">
        <f>IFERROR(D20-C20,"n/a")</f>
        <v>338.272</v>
      </c>
      <c r="E23" s="17">
        <f>IFERROR(E20-D20,"n/a")</f>
        <v>361.3589999999999</v>
      </c>
      <c r="F23" s="17">
        <f>IFERROR(F20-E20,"n/a")</f>
        <v>-551.0479999999995</v>
      </c>
      <c r="G23" s="17" t="s">
        <v>37</v>
      </c>
      <c r="H23" s="17">
        <f>IFERROR(H20-F20,"n/a")</f>
        <v>-132.41300000000035</v>
      </c>
      <c r="I23" s="6">
        <f>IFERROR(I20-H20,"n/a")</f>
        <v>369.0333400000002</v>
      </c>
      <c r="J23" s="13"/>
    </row>
    <row r="24">
      <c r="A24" s="2"/>
      <c r="B24" s="28" t="s">
        <v>114</v>
      </c>
      <c r="C24" s="4" t="s">
        <v>37</v>
      </c>
      <c r="D24" s="4">
        <f>IFERROR(IF(C20&gt;0,D20/C20-1,"n/a"),"n/a")</f>
        <v>0.6748460872444928</v>
      </c>
      <c r="E24" s="4">
        <f>IFERROR(IF(D20&gt;0,E20/D20-1,"n/a"),"n/a")</f>
        <v>0.43043012161566585</v>
      </c>
      <c r="F24" s="4">
        <f>IFERROR(IF(E20&gt;0,F20/E20-1,"n/a"),"n/a")</f>
        <v>-0.4588667229027825</v>
      </c>
      <c r="G24" s="4" t="s">
        <v>37</v>
      </c>
      <c r="H24" s="4">
        <f>IFERROR(IF(F20&gt;0,H20/F20-1,"n/a"),"n/a")</f>
        <v>-0.2037621510492571</v>
      </c>
      <c r="I24" s="23">
        <f>IFERROR(IF(H20&gt;0,I20/H20-1,"n/a"),"n/a")</f>
        <v>0.713207132200036</v>
      </c>
      <c r="J24" s="13"/>
    </row>
    <row r="25">
      <c r="A25" s="2"/>
      <c r="B25" s="28" t="s">
        <v>126</v>
      </c>
      <c r="C25" s="4">
        <f>C20/C30</f>
        <v>0.5196871455556961</v>
      </c>
      <c r="D25" s="4">
        <f>D20/D30</f>
        <v>0.5867392580582036</v>
      </c>
      <c r="E25" s="4">
        <f>E20/E30</f>
        <v>0.6134656143984135</v>
      </c>
      <c r="F25" s="4">
        <f>F20/F30</f>
        <v>0.5805422519294355</v>
      </c>
      <c r="G25" s="4">
        <f>G20/G30</f>
        <v>0.5832137004284855</v>
      </c>
      <c r="H25" s="4">
        <f>H20/H30</f>
        <v>0.5075157106551934</v>
      </c>
      <c r="I25" s="23">
        <f>I20/I30</f>
        <v>0.590413829476281</v>
      </c>
      <c r="J25" s="13"/>
    </row>
    <row r="26">
      <c r="A26" s="2"/>
      <c r="B26" s="1" t="s">
        <v>118</v>
      </c>
      <c r="C26" s="4" t="s">
        <v>37</v>
      </c>
      <c r="D26" s="4" t="s">
        <v>37</v>
      </c>
      <c r="E26" s="20">
        <v>0</v>
      </c>
      <c r="F26" s="20">
        <v>0</v>
      </c>
      <c r="G26" s="4" t="s">
        <v>37</v>
      </c>
      <c r="H26" s="20">
        <v>0</v>
      </c>
      <c r="I26" s="52">
        <v>0</v>
      </c>
      <c r="J26" s="13"/>
    </row>
    <row r="27">
      <c r="A27" s="2"/>
      <c r="B27" s="1" t="s">
        <v>120</v>
      </c>
      <c r="C27" s="4" t="s">
        <v>37</v>
      </c>
      <c r="D27" s="4" t="s">
        <v>37</v>
      </c>
      <c r="E27" s="4" t="s">
        <v>37</v>
      </c>
      <c r="F27" s="4" t="s">
        <v>37</v>
      </c>
      <c r="G27" s="4" t="s">
        <v>37</v>
      </c>
      <c r="H27" s="4" t="s">
        <v>37</v>
      </c>
      <c r="I27" s="23" t="s">
        <v>37</v>
      </c>
      <c r="J27" s="13"/>
    </row>
    <row r="28">
      <c r="A28" s="2"/>
      <c r="B28" s="1" t="s">
        <v>122</v>
      </c>
      <c r="C28" s="4" t="str">
        <f>IFERROR((1+C22)/((1+C26)*(1+C27))-1,"n/a")</f>
        <v>n/a</v>
      </c>
      <c r="D28" s="4" t="str">
        <f>IFERROR((1+D22)/((1+D26)*(1+D27))-1,"n/a")</f>
        <v>n/a</v>
      </c>
      <c r="E28" s="4" t="str">
        <f>IFERROR((1+E22)/((1+E26)*(1+E27))-1,"n/a")</f>
        <v>n/a</v>
      </c>
      <c r="F28" s="4" t="str">
        <f>IFERROR((1+F22)/((1+F26)*(1+F27))-1,"n/a")</f>
        <v>n/a</v>
      </c>
      <c r="G28" s="4" t="str">
        <f>IFERROR((1+G22)/((1+G26)*(1+G27))-1,"n/a")</f>
        <v>n/a</v>
      </c>
      <c r="H28" s="4" t="str">
        <f>IFERROR((1+H22)/((1+H26)*(1+H27))-1,"n/a")</f>
        <v>n/a</v>
      </c>
      <c r="I28" s="23" t="str">
        <f>IFERROR((1+I22)/((1+I26)*(1+I27))-1,"n/a")</f>
        <v>n/a</v>
      </c>
      <c r="J28" s="13"/>
    </row>
    <row r="29">
      <c r="A29" s="2"/>
      <c r="B29" s="1" t="s">
        <v>123</v>
      </c>
      <c r="C29" s="4">
        <f>C22</f>
        <v>-0.028298594956732148</v>
      </c>
      <c r="D29" s="4">
        <f>D22</f>
        <v>-0.01684018222060868</v>
      </c>
      <c r="E29" s="4">
        <f>E22</f>
        <v>0.027023213212108876</v>
      </c>
      <c r="F29" s="4">
        <f>F22</f>
        <v>0.003379901552068132</v>
      </c>
      <c r="G29" s="4">
        <f>G22</f>
        <v>0.0015090803710033907</v>
      </c>
      <c r="H29" s="4">
        <f>H22</f>
        <v>0.03225883676669494</v>
      </c>
      <c r="I29" s="23">
        <f>I22</f>
        <v>0.055901921313116</v>
      </c>
      <c r="J29" s="13"/>
    </row>
    <row r="30">
      <c r="A30" s="2"/>
      <c r="B30" s="27" t="s">
        <v>393</v>
      </c>
      <c r="C30" s="3">
        <f>C10+C20</f>
        <v>964.538</v>
      </c>
      <c r="D30" s="3">
        <f>D10+D20</f>
        <v>1430.84</v>
      </c>
      <c r="E30" s="3">
        <f>E10+E20</f>
        <v>1957.549</v>
      </c>
      <c r="F30" s="3">
        <f>F10+F20</f>
        <v>1119.3690000000001</v>
      </c>
      <c r="G30" s="3">
        <f>G10+G20</f>
        <v>5472.296</v>
      </c>
      <c r="H30" s="3">
        <f>H10+H20</f>
        <v>1019.531</v>
      </c>
      <c r="I30" s="59">
        <f>I10+I20</f>
        <v>1501.4237400000002</v>
      </c>
      <c r="J30" s="13"/>
    </row>
    <row r="31">
      <c r="A31" s="2"/>
      <c r="B31" s="8" t="s">
        <v>107</v>
      </c>
      <c r="C31" s="17">
        <f>C11+C21</f>
        <v>825.347</v>
      </c>
      <c r="D31" s="17">
        <f>D11+D21</f>
        <v>1311.32</v>
      </c>
      <c r="E31" s="17">
        <f>E11+E21</f>
        <v>1827.165</v>
      </c>
      <c r="F31" s="17">
        <f>F11+F21</f>
        <v>1021.7800000000002</v>
      </c>
      <c r="G31" s="17">
        <f>G11+G21</f>
        <v>4985.612</v>
      </c>
      <c r="H31" s="17">
        <f>H11+H21</f>
        <v>964.538</v>
      </c>
      <c r="I31" s="6">
        <f>I11+I21</f>
        <v>1430.84</v>
      </c>
      <c r="J31" s="13"/>
    </row>
    <row r="32">
      <c r="A32" s="2"/>
      <c r="B32" s="28" t="s">
        <v>113</v>
      </c>
      <c r="C32" s="4">
        <f>IFERROR(IF(C31&gt;0,C30/C31-1,"n/a"),"n/a")</f>
        <v>0.16864543034626656</v>
      </c>
      <c r="D32" s="4">
        <f>IFERROR(IF(D31&gt;0,D30/D31-1,"n/a"),"n/a")</f>
        <v>0.09114480065887798</v>
      </c>
      <c r="E32" s="4">
        <f>IFERROR(IF(E31&gt;0,E30/E31-1,"n/a"),"n/a")</f>
        <v>0.07135863482498839</v>
      </c>
      <c r="F32" s="4">
        <f>IFERROR(IF(F31&gt;0,F30/F31-1,"n/a"),"n/a")</f>
        <v>0.09550881794515442</v>
      </c>
      <c r="G32" s="4">
        <f>IFERROR(IF(G31&gt;0,G30/G31-1,"n/a"),"n/a")</f>
        <v>0.09761770470706499</v>
      </c>
      <c r="H32" s="4">
        <f>IFERROR(IF(H31&gt;0,H30/H31-1,"n/a"),"n/a")</f>
        <v>0.05701486100081077</v>
      </c>
      <c r="I32" s="23">
        <f>IFERROR(IF(I31&gt;0,I30/I31-1,"n/a"),"n/a")</f>
        <v>0.04933028151295771</v>
      </c>
      <c r="J32" s="13"/>
    </row>
    <row r="33">
      <c r="A33" s="2"/>
      <c r="B33" s="8" t="s">
        <v>394</v>
      </c>
      <c r="C33" s="11">
        <f>C30-'Revenue summary'!C16</f>
        <v>0</v>
      </c>
      <c r="D33" s="11">
        <f>D30-'Revenue summary'!D16</f>
        <v>0</v>
      </c>
      <c r="E33" s="11">
        <f>E30-'Revenue summary'!E16</f>
        <v>0</v>
      </c>
      <c r="F33" s="11">
        <f>F30-'Revenue summary'!F16</f>
        <v>0</v>
      </c>
      <c r="G33" s="11">
        <f>G30-'Revenue summary'!G16</f>
        <v>0</v>
      </c>
      <c r="H33" s="11">
        <f>H30-'Revenue summary'!H16</f>
        <v>0</v>
      </c>
      <c r="I33" s="35">
        <f>I30-'Revenue summary'!I16</f>
        <v>0</v>
      </c>
      <c r="J33" s="13"/>
    </row>
    <row r="34">
      <c r="A34" s="2"/>
      <c r="B34" s="18" t="s">
        <v>395</v>
      </c>
      <c r="C34" s="17" t="b">
        <f>ABS(C33)&lt;0.001</f>
        <v>1</v>
      </c>
      <c r="D34" s="17" t="b">
        <f>ABS(D33)&lt;0.001</f>
        <v>1</v>
      </c>
      <c r="E34" s="17" t="b">
        <f>ABS(E33)&lt;0.001</f>
        <v>1</v>
      </c>
      <c r="F34" s="17" t="b">
        <f>ABS(F33)&lt;0.001</f>
        <v>1</v>
      </c>
      <c r="G34" s="17" t="b">
        <f>ABS(G33)&lt;0.001</f>
        <v>1</v>
      </c>
      <c r="H34" s="17" t="b">
        <f>ABS(H33)&lt;0.001</f>
        <v>1</v>
      </c>
      <c r="I34" s="6" t="b">
        <f>ABS(I33)&lt;0.001</f>
        <v>1</v>
      </c>
      <c r="J34" s="13" t="s">
        <v>396</v>
      </c>
    </row>
    <row r="35">
      <c r="A35" s="2"/>
      <c r="B35" s="18"/>
      <c r="C35" s="5"/>
      <c r="D35" s="5"/>
      <c r="E35" s="5"/>
      <c r="F35" s="5"/>
      <c r="G35" s="5"/>
      <c r="H35" s="5"/>
      <c r="I35" s="9"/>
      <c r="J35" s="13"/>
    </row>
    <row r="36">
      <c r="A36" s="2"/>
      <c r="B36" s="18"/>
      <c r="C36" s="5"/>
      <c r="D36" s="5"/>
      <c r="E36" s="5"/>
      <c r="F36" s="5"/>
      <c r="G36" s="5"/>
      <c r="H36" s="5"/>
      <c r="I36" s="9"/>
      <c r="J36" s="13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4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397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398</v>
      </c>
      <c r="C4" s="2"/>
      <c r="D4" s="2"/>
      <c r="E4" s="2"/>
      <c r="F4" s="2"/>
      <c r="G4" s="2"/>
      <c r="H4" s="2"/>
      <c r="I4" s="2"/>
      <c r="J4" s="2"/>
    </row>
    <row r="5">
      <c r="A5" s="2"/>
      <c r="B5" s="7" t="s">
        <v>94</v>
      </c>
      <c r="C5" s="29" t="s">
        <v>95</v>
      </c>
      <c r="D5" s="29" t="s">
        <v>96</v>
      </c>
      <c r="E5" s="29" t="s">
        <v>97</v>
      </c>
      <c r="F5" s="29" t="s">
        <v>98</v>
      </c>
      <c r="G5" s="29" t="s">
        <v>99</v>
      </c>
      <c r="H5" s="29" t="s">
        <v>100</v>
      </c>
      <c r="I5" s="54" t="s">
        <v>101</v>
      </c>
      <c r="J5" s="37" t="s">
        <v>102</v>
      </c>
    </row>
    <row r="6">
      <c r="A6" s="2"/>
      <c r="B6" s="61" t="s">
        <v>77</v>
      </c>
      <c r="C6" s="10">
        <v>45838</v>
      </c>
      <c r="D6" s="10">
        <v>45930</v>
      </c>
      <c r="E6" s="10">
        <v>46022</v>
      </c>
      <c r="F6" s="10">
        <v>46112</v>
      </c>
      <c r="G6" s="10">
        <v>46112</v>
      </c>
      <c r="H6" s="10">
        <v>46203</v>
      </c>
      <c r="I6" s="49">
        <v>46295</v>
      </c>
      <c r="J6" s="63"/>
    </row>
    <row r="7">
      <c r="A7" s="2"/>
      <c r="B7" s="64" t="s">
        <v>103</v>
      </c>
      <c r="C7" s="36">
        <f>C6-EOMONTH(C6,-3)</f>
        <v>91</v>
      </c>
      <c r="D7" s="36">
        <f>D6-EOMONTH(D6,-3)</f>
        <v>92</v>
      </c>
      <c r="E7" s="36">
        <f>E6-EOMONTH(E6,-3)</f>
        <v>92</v>
      </c>
      <c r="F7" s="36">
        <f>F6-EOMONTH(F6,-3)</f>
        <v>90</v>
      </c>
      <c r="G7" s="36">
        <f>G6-EOMONTH(G6,-12)</f>
        <v>365</v>
      </c>
      <c r="H7" s="36">
        <f>H6-EOMONTH(H6,-3)</f>
        <v>91</v>
      </c>
      <c r="I7" s="40">
        <f>I6-EOMONTH(I6,-3)</f>
        <v>92</v>
      </c>
      <c r="J7" s="57"/>
    </row>
    <row r="8">
      <c r="A8" s="2"/>
      <c r="B8" s="2"/>
      <c r="C8" s="2"/>
      <c r="D8" s="2"/>
      <c r="E8" s="2"/>
      <c r="F8" s="2"/>
      <c r="G8" s="2"/>
      <c r="H8" s="2"/>
      <c r="I8" s="48"/>
      <c r="J8" s="2"/>
    </row>
    <row r="9">
      <c r="A9" s="2"/>
      <c r="B9" s="27" t="s">
        <v>399</v>
      </c>
      <c r="C9" s="15"/>
      <c r="D9" s="15"/>
      <c r="E9" s="15"/>
      <c r="F9" s="15"/>
      <c r="G9" s="15"/>
      <c r="H9" s="15"/>
      <c r="I9" s="41"/>
      <c r="J9" s="13"/>
    </row>
    <row r="10">
      <c r="A10" s="2"/>
      <c r="B10" s="18" t="s">
        <v>400</v>
      </c>
      <c r="C10" s="16">
        <v>1.665902</v>
      </c>
      <c r="D10" s="16">
        <v>4.245596</v>
      </c>
      <c r="E10" s="16">
        <v>8.019067</v>
      </c>
      <c r="F10" s="16">
        <v>10.496292</v>
      </c>
      <c r="G10" s="14" t="s">
        <v>37</v>
      </c>
      <c r="H10" s="16">
        <v>3.258352</v>
      </c>
      <c r="I10" s="31" t="s">
        <v>37</v>
      </c>
      <c r="J10" s="13" t="s">
        <v>401</v>
      </c>
    </row>
    <row r="11">
      <c r="A11" s="2"/>
      <c r="B11" s="18" t="s">
        <v>402</v>
      </c>
      <c r="C11" s="12">
        <v>182.991</v>
      </c>
      <c r="D11" s="12">
        <v>464.987</v>
      </c>
      <c r="E11" s="12">
        <v>813.488</v>
      </c>
      <c r="F11" s="12">
        <v>1075.1</v>
      </c>
      <c r="G11" s="17" t="s">
        <v>37</v>
      </c>
      <c r="H11" s="12">
        <v>338.186</v>
      </c>
      <c r="I11" s="6" t="s">
        <v>37</v>
      </c>
      <c r="J11" s="13" t="s">
        <v>403</v>
      </c>
    </row>
    <row r="12">
      <c r="A12" s="2"/>
      <c r="B12" s="18"/>
      <c r="C12" s="5"/>
      <c r="D12" s="5"/>
      <c r="E12" s="5"/>
      <c r="F12" s="5"/>
      <c r="G12" s="5"/>
      <c r="H12" s="5"/>
      <c r="I12" s="9"/>
      <c r="J12" s="13"/>
    </row>
    <row r="13">
      <c r="A13" s="2"/>
      <c r="B13" s="27" t="s">
        <v>404</v>
      </c>
      <c r="C13" s="15"/>
      <c r="D13" s="15"/>
      <c r="E13" s="15"/>
      <c r="F13" s="15"/>
      <c r="G13" s="15"/>
      <c r="H13" s="15"/>
      <c r="I13" s="41"/>
      <c r="J13" s="13"/>
    </row>
    <row r="14">
      <c r="A14" s="2"/>
      <c r="B14" s="18" t="s">
        <v>405</v>
      </c>
      <c r="C14" s="17"/>
      <c r="D14" s="17"/>
      <c r="E14" s="17"/>
      <c r="F14" s="17"/>
      <c r="G14" s="17"/>
      <c r="H14" s="17"/>
      <c r="I14" s="77">
        <v>270</v>
      </c>
      <c r="J14" s="13" t="s">
        <v>406</v>
      </c>
    </row>
    <row r="15">
      <c r="A15" s="2"/>
      <c r="B15" s="18" t="s">
        <v>407</v>
      </c>
      <c r="C15" s="46"/>
      <c r="D15" s="46"/>
      <c r="E15" s="46"/>
      <c r="F15" s="46"/>
      <c r="G15" s="46"/>
      <c r="H15" s="46"/>
      <c r="I15" s="60">
        <v>90</v>
      </c>
      <c r="J15" s="13" t="s">
        <v>408</v>
      </c>
    </row>
    <row r="16">
      <c r="A16" s="2"/>
      <c r="B16" s="19" t="s">
        <v>409</v>
      </c>
      <c r="C16" s="4"/>
      <c r="D16" s="4"/>
      <c r="E16" s="4"/>
      <c r="F16" s="4"/>
      <c r="G16" s="4"/>
      <c r="H16" s="4"/>
      <c r="I16" s="52">
        <v>0.5</v>
      </c>
      <c r="J16" s="13" t="s">
        <v>410</v>
      </c>
    </row>
    <row r="17">
      <c r="A17" s="2"/>
      <c r="B17" s="18" t="s">
        <v>411</v>
      </c>
      <c r="C17" s="14"/>
      <c r="D17" s="14"/>
      <c r="E17" s="14"/>
      <c r="F17" s="14"/>
      <c r="G17" s="14"/>
      <c r="H17" s="14"/>
      <c r="I17" s="45">
        <v>0.05</v>
      </c>
      <c r="J17" s="13" t="s">
        <v>412</v>
      </c>
    </row>
    <row r="18">
      <c r="A18" s="2"/>
      <c r="B18" s="18"/>
      <c r="C18" s="5"/>
      <c r="D18" s="5"/>
      <c r="E18" s="5"/>
      <c r="F18" s="5"/>
      <c r="G18" s="5"/>
      <c r="H18" s="5"/>
      <c r="I18" s="9"/>
      <c r="J18" s="13"/>
    </row>
    <row r="19">
      <c r="A19" s="2"/>
      <c r="B19" s="27" t="s">
        <v>413</v>
      </c>
      <c r="C19" s="15"/>
      <c r="D19" s="15"/>
      <c r="E19" s="15"/>
      <c r="F19" s="15"/>
      <c r="G19" s="15"/>
      <c r="H19" s="15"/>
      <c r="I19" s="41"/>
      <c r="J19" s="13"/>
    </row>
    <row r="20">
      <c r="A20" s="2"/>
      <c r="B20" s="18" t="s">
        <v>414</v>
      </c>
      <c r="C20" s="16">
        <v>150.201</v>
      </c>
      <c r="D20" s="14">
        <f>C23</f>
        <v>148.542</v>
      </c>
      <c r="E20" s="14">
        <f>D23</f>
        <v>146.09</v>
      </c>
      <c r="F20" s="14">
        <f>E23</f>
        <v>142.331</v>
      </c>
      <c r="G20" s="14">
        <f>C20</f>
        <v>150.201</v>
      </c>
      <c r="H20" s="14">
        <f>F23</f>
        <v>139.978</v>
      </c>
      <c r="I20" s="31">
        <f>H23</f>
        <v>136.725</v>
      </c>
      <c r="J20" s="13" t="s">
        <v>415</v>
      </c>
    </row>
    <row r="21">
      <c r="A21" s="2"/>
      <c r="B21" s="8" t="s">
        <v>416</v>
      </c>
      <c r="C21" s="14">
        <f>C10</f>
        <v>1.665902</v>
      </c>
      <c r="D21" s="14">
        <f>D10-C10</f>
        <v>2.579694</v>
      </c>
      <c r="E21" s="14">
        <f>E10-D10</f>
        <v>3.773471</v>
      </c>
      <c r="F21" s="14">
        <f>F10-E10</f>
        <v>2.4772250000000007</v>
      </c>
      <c r="G21" s="14">
        <f>SUM(C21:F21)</f>
        <v>10.496292</v>
      </c>
      <c r="H21" s="14">
        <f>H10</f>
        <v>3.258352</v>
      </c>
      <c r="I21" s="31">
        <f>I14/I15</f>
        <v>3</v>
      </c>
      <c r="J21" s="13"/>
    </row>
    <row r="22">
      <c r="A22" s="2"/>
      <c r="B22" s="8" t="s">
        <v>417</v>
      </c>
      <c r="C22" s="14">
        <f>C23-C20+C21</f>
        <v>0.006902000000008179</v>
      </c>
      <c r="D22" s="14">
        <f>D23-D20+D21</f>
        <v>0.12769400000000175</v>
      </c>
      <c r="E22" s="14">
        <f>E23-E20+E21</f>
        <v>0.014470999999985246</v>
      </c>
      <c r="F22" s="14">
        <f>F23-F20+F21</f>
        <v>0.12422500000002046</v>
      </c>
      <c r="G22" s="14">
        <f>SUM(C22:F22)</f>
        <v>0.27329200000001563</v>
      </c>
      <c r="H22" s="14">
        <f>H23-H20+H21</f>
        <v>0.0053519999999855905</v>
      </c>
      <c r="I22" s="31">
        <f>I17</f>
        <v>0.05</v>
      </c>
      <c r="J22" s="13"/>
    </row>
    <row r="23">
      <c r="A23" s="2"/>
      <c r="B23" s="27" t="s">
        <v>418</v>
      </c>
      <c r="C23" s="25">
        <v>148.542</v>
      </c>
      <c r="D23" s="25">
        <v>146.09</v>
      </c>
      <c r="E23" s="25">
        <v>142.331</v>
      </c>
      <c r="F23" s="25">
        <v>139.978</v>
      </c>
      <c r="G23" s="78">
        <f>F23</f>
        <v>139.978</v>
      </c>
      <c r="H23" s="25">
        <v>136.725</v>
      </c>
      <c r="I23" s="56">
        <f>I20-I21+I22</f>
        <v>133.775</v>
      </c>
      <c r="J23" s="13" t="s">
        <v>419</v>
      </c>
    </row>
    <row r="24">
      <c r="A24" s="2"/>
      <c r="B24" s="8" t="s">
        <v>420</v>
      </c>
      <c r="C24" s="14" t="s">
        <v>37</v>
      </c>
      <c r="D24" s="14">
        <f>IFERROR(D23-C23,"n/a")</f>
        <v>-2.451999999999998</v>
      </c>
      <c r="E24" s="14">
        <f>IFERROR(E23-D23,"n/a")</f>
        <v>-3.7590000000000146</v>
      </c>
      <c r="F24" s="14">
        <f>IFERROR(F23-E23,"n/a")</f>
        <v>-2.35299999999998</v>
      </c>
      <c r="G24" s="14" t="s">
        <v>37</v>
      </c>
      <c r="H24" s="14">
        <f>IFERROR(H23-F23,"n/a")</f>
        <v>-3.2530000000000143</v>
      </c>
      <c r="I24" s="31">
        <f>IFERROR(I23-H23,"n/a")</f>
        <v>-2.9499999999999886</v>
      </c>
      <c r="J24" s="13"/>
    </row>
    <row r="25">
      <c r="A25" s="2"/>
      <c r="B25" s="28" t="s">
        <v>113</v>
      </c>
      <c r="C25" s="4" t="s">
        <v>37</v>
      </c>
      <c r="D25" s="4" t="s">
        <v>37</v>
      </c>
      <c r="E25" s="4" t="s">
        <v>37</v>
      </c>
      <c r="F25" s="4" t="s">
        <v>37</v>
      </c>
      <c r="G25" s="4" t="s">
        <v>37</v>
      </c>
      <c r="H25" s="4">
        <f>IFERROR(IF(C23&gt;0,H23/C23-1,"n/a"),"n/a")</f>
        <v>-0.07955325766449894</v>
      </c>
      <c r="I25" s="23">
        <f>IFERROR(IF(D23&gt;0,I23/D23-1,"n/a"),"n/a")</f>
        <v>-0.08429735094804569</v>
      </c>
      <c r="J25" s="13"/>
    </row>
    <row r="26">
      <c r="A26" s="2"/>
      <c r="B26" s="18"/>
      <c r="C26" s="5"/>
      <c r="D26" s="5"/>
      <c r="E26" s="5"/>
      <c r="F26" s="5"/>
      <c r="G26" s="5"/>
      <c r="H26" s="5"/>
      <c r="I26" s="9"/>
      <c r="J26" s="13"/>
    </row>
    <row r="27">
      <c r="A27" s="2"/>
      <c r="B27" s="27" t="s">
        <v>421</v>
      </c>
      <c r="C27" s="15"/>
      <c r="D27" s="15"/>
      <c r="E27" s="15"/>
      <c r="F27" s="15"/>
      <c r="G27" s="15"/>
      <c r="H27" s="15"/>
      <c r="I27" s="41"/>
      <c r="J27" s="13"/>
    </row>
    <row r="28">
      <c r="A28" s="2"/>
      <c r="B28" s="18" t="s">
        <v>422</v>
      </c>
      <c r="C28" s="16">
        <v>149.344</v>
      </c>
      <c r="D28" s="16">
        <v>147.395</v>
      </c>
      <c r="E28" s="16">
        <v>144.076</v>
      </c>
      <c r="F28" s="16">
        <v>141.124</v>
      </c>
      <c r="G28" s="16">
        <v>145.498</v>
      </c>
      <c r="H28" s="16">
        <v>138.263</v>
      </c>
      <c r="I28" s="31">
        <f>I20-I21*I16+I22*I16</f>
        <v>135.25</v>
      </c>
      <c r="J28" s="13" t="s">
        <v>423</v>
      </c>
    </row>
    <row r="29">
      <c r="A29" s="2"/>
      <c r="B29" s="28" t="s">
        <v>113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>
        <f>IFERROR(IF(C28&gt;0,H28/C28-1,"n/a"),"n/a")</f>
        <v>-0.07419782515534601</v>
      </c>
      <c r="I29" s="23">
        <f>IFERROR(IF(D28&gt;0,I28/D28-1,"n/a"),"n/a")</f>
        <v>-0.08239763899725239</v>
      </c>
      <c r="J29" s="13"/>
    </row>
    <row r="30">
      <c r="A30" s="2"/>
      <c r="B30" s="8" t="s">
        <v>420</v>
      </c>
      <c r="C30" s="14" t="s">
        <v>37</v>
      </c>
      <c r="D30" s="14">
        <f>IFERROR(D28-C28,"n/a")</f>
        <v>-1.9489999999999839</v>
      </c>
      <c r="E30" s="14">
        <f>IFERROR(E28-D28,"n/a")</f>
        <v>-3.319000000000017</v>
      </c>
      <c r="F30" s="14">
        <f>IFERROR(F28-E28,"n/a")</f>
        <v>-2.951999999999998</v>
      </c>
      <c r="G30" s="14" t="s">
        <v>37</v>
      </c>
      <c r="H30" s="14">
        <f>IFERROR(H28-F28,"n/a")</f>
        <v>-2.86099999999999</v>
      </c>
      <c r="I30" s="31">
        <f>IFERROR(I28-H28,"n/a")</f>
        <v>-3.0130000000000052</v>
      </c>
      <c r="J30" s="13"/>
    </row>
    <row r="31">
      <c r="A31" s="2"/>
      <c r="B31" s="8" t="s">
        <v>424</v>
      </c>
      <c r="C31" s="14">
        <f>C32-C28</f>
        <v>0.2909999999999968</v>
      </c>
      <c r="D31" s="14">
        <f>D32-D28</f>
        <v>0.2569999999999766</v>
      </c>
      <c r="E31" s="14">
        <f>E32-E28</f>
        <v>0.21299999999999386</v>
      </c>
      <c r="F31" s="14">
        <f>F32-F28</f>
        <v>0.3780000000000143</v>
      </c>
      <c r="G31" s="14">
        <f>G32-G28</f>
        <v>0.30700000000001637</v>
      </c>
      <c r="H31" s="14">
        <f>H32-H28</f>
        <v>0.29599999999999227</v>
      </c>
      <c r="I31" s="31">
        <f>H31</f>
        <v>0.29599999999999227</v>
      </c>
      <c r="J31" s="13" t="s">
        <v>425</v>
      </c>
    </row>
    <row r="32">
      <c r="A32" s="2"/>
      <c r="B32" s="27" t="s">
        <v>426</v>
      </c>
      <c r="C32" s="25">
        <v>149.635</v>
      </c>
      <c r="D32" s="25">
        <v>147.652</v>
      </c>
      <c r="E32" s="25">
        <v>144.289</v>
      </c>
      <c r="F32" s="25">
        <v>141.502</v>
      </c>
      <c r="G32" s="25">
        <v>145.805</v>
      </c>
      <c r="H32" s="25">
        <v>138.559</v>
      </c>
      <c r="I32" s="56">
        <f>I28+I31</f>
        <v>135.546</v>
      </c>
      <c r="J32" s="13"/>
    </row>
    <row r="33">
      <c r="A33" s="2"/>
      <c r="B33" s="8" t="s">
        <v>107</v>
      </c>
      <c r="C33" s="16">
        <v>153.483</v>
      </c>
      <c r="D33" s="16">
        <v>152.778</v>
      </c>
      <c r="E33" s="16">
        <v>152.386</v>
      </c>
      <c r="F33" s="16">
        <v>151.685</v>
      </c>
      <c r="G33" s="16">
        <v>152.67</v>
      </c>
      <c r="H33" s="14">
        <f>C32</f>
        <v>149.635</v>
      </c>
      <c r="I33" s="31">
        <f>D32</f>
        <v>147.652</v>
      </c>
      <c r="J33" s="13" t="s">
        <v>427</v>
      </c>
    </row>
    <row r="34">
      <c r="A34" s="2"/>
      <c r="B34" s="28" t="s">
        <v>113</v>
      </c>
      <c r="C34" s="4">
        <f>IFERROR(IF(C33&gt;0,C32/C33-1,"n/a"),"n/a")</f>
        <v>-0.025071180521621383</v>
      </c>
      <c r="D34" s="4">
        <f>IFERROR(IF(D33&gt;0,D32/D33-1,"n/a"),"n/a")</f>
        <v>-0.03355195119716192</v>
      </c>
      <c r="E34" s="4">
        <f>IFERROR(IF(E33&gt;0,E32/E33-1,"n/a"),"n/a")</f>
        <v>-0.05313480240967028</v>
      </c>
      <c r="F34" s="4">
        <f>IFERROR(IF(F33&gt;0,F32/F33-1,"n/a"),"n/a")</f>
        <v>-0.06713254441770766</v>
      </c>
      <c r="G34" s="4">
        <f>IFERROR(IF(G33&gt;0,G32/G33-1,"n/a"),"n/a")</f>
        <v>-0.044966267112071634</v>
      </c>
      <c r="H34" s="4">
        <f>IFERROR(IF(H33&gt;0,H32/H33-1,"n/a"),"n/a")</f>
        <v>-0.07402011561466226</v>
      </c>
      <c r="I34" s="23">
        <f>IFERROR(IF(I33&gt;0,I32/I33-1,"n/a"),"n/a")</f>
        <v>-0.08199008479397496</v>
      </c>
      <c r="J34" s="13"/>
    </row>
    <row r="35">
      <c r="A35" s="2"/>
      <c r="B35" s="8" t="s">
        <v>420</v>
      </c>
      <c r="C35" s="14" t="s">
        <v>37</v>
      </c>
      <c r="D35" s="14">
        <f>IFERROR(D32-C32,"n/a")</f>
        <v>-1.983000000000004</v>
      </c>
      <c r="E35" s="14">
        <f>IFERROR(E32-D32,"n/a")</f>
        <v>-3.3629999999999995</v>
      </c>
      <c r="F35" s="14">
        <f>IFERROR(F32-E32,"n/a")</f>
        <v>-2.7869999999999777</v>
      </c>
      <c r="G35" s="14" t="s">
        <v>37</v>
      </c>
      <c r="H35" s="14">
        <f>IFERROR(H32-F32,"n/a")</f>
        <v>-2.943000000000012</v>
      </c>
      <c r="I35" s="31">
        <f>IFERROR(I32-H32,"n/a")</f>
        <v>-3.0130000000000052</v>
      </c>
      <c r="J35" s="13"/>
    </row>
    <row r="36">
      <c r="A36" s="2"/>
      <c r="B36" s="18"/>
      <c r="C36" s="5"/>
      <c r="D36" s="5"/>
      <c r="E36" s="5"/>
      <c r="F36" s="5"/>
      <c r="G36" s="5"/>
      <c r="H36" s="5"/>
      <c r="I36" s="9"/>
      <c r="J36" s="13"/>
    </row>
    <row r="37">
      <c r="A37" s="2"/>
      <c r="B37" s="27" t="s">
        <v>428</v>
      </c>
      <c r="C37" s="15"/>
      <c r="D37" s="15"/>
      <c r="E37" s="15"/>
      <c r="F37" s="15"/>
      <c r="G37" s="15"/>
      <c r="H37" s="15"/>
      <c r="I37" s="41"/>
      <c r="J37" s="13"/>
    </row>
    <row r="38">
      <c r="A38" s="2"/>
      <c r="B38" s="18" t="s">
        <v>429</v>
      </c>
      <c r="C38" s="17">
        <f>C11</f>
        <v>182.991</v>
      </c>
      <c r="D38" s="17">
        <f>D11-C11</f>
        <v>281.996</v>
      </c>
      <c r="E38" s="17">
        <f>E11-D11</f>
        <v>348.50100000000003</v>
      </c>
      <c r="F38" s="17">
        <f>F11-E11</f>
        <v>261.61199999999985</v>
      </c>
      <c r="G38" s="17">
        <f>SUM(C38:F38)</f>
        <v>1075.1</v>
      </c>
      <c r="H38" s="17">
        <f>H11</f>
        <v>338.186</v>
      </c>
      <c r="I38" s="6">
        <f>I14</f>
        <v>270</v>
      </c>
      <c r="J38" s="13"/>
    </row>
    <row r="39">
      <c r="A39" s="2"/>
      <c r="B39" s="28" t="s">
        <v>113</v>
      </c>
      <c r="C39" s="4" t="s">
        <v>37</v>
      </c>
      <c r="D39" s="4" t="s">
        <v>37</v>
      </c>
      <c r="E39" s="4" t="s">
        <v>37</v>
      </c>
      <c r="F39" s="4" t="s">
        <v>37</v>
      </c>
      <c r="G39" s="4" t="s">
        <v>37</v>
      </c>
      <c r="H39" s="4">
        <f>IFERROR(IF(C38&gt;0,H38/C38-1,"n/a"),"n/a")</f>
        <v>0.8481018192151524</v>
      </c>
      <c r="I39" s="23">
        <f>IFERROR(IF(D38&gt;0,I38/D38-1,"n/a"),"n/a")</f>
        <v>-0.042539610490928914</v>
      </c>
      <c r="J39" s="13"/>
    </row>
    <row r="40">
      <c r="A40" s="2"/>
      <c r="B40" s="8" t="s">
        <v>115</v>
      </c>
      <c r="C40" s="17" t="s">
        <v>37</v>
      </c>
      <c r="D40" s="17">
        <f>IFERROR(D38-C38,"n/a")</f>
        <v>99.00499999999997</v>
      </c>
      <c r="E40" s="17">
        <f>IFERROR(E38-D38,"n/a")</f>
        <v>66.50500000000005</v>
      </c>
      <c r="F40" s="17">
        <f>IFERROR(F38-E38,"n/a")</f>
        <v>-86.88900000000018</v>
      </c>
      <c r="G40" s="17" t="s">
        <v>37</v>
      </c>
      <c r="H40" s="17">
        <f>IFERROR(H38-F38,"n/a")</f>
        <v>76.57400000000013</v>
      </c>
      <c r="I40" s="6">
        <f>IFERROR(I38-H38,"n/a")</f>
        <v>-68.18599999999998</v>
      </c>
      <c r="J40" s="13"/>
    </row>
    <row r="41">
      <c r="A41" s="2"/>
      <c r="B41" s="8" t="s">
        <v>430</v>
      </c>
      <c r="C41" s="46">
        <f>IFERROR(C38/C21,"n/a")</f>
        <v>109.84499688457065</v>
      </c>
      <c r="D41" s="46">
        <f>IFERROR(D38/D21,"n/a")</f>
        <v>109.31374031183543</v>
      </c>
      <c r="E41" s="46">
        <f>IFERROR(E38/E21,"n/a")</f>
        <v>92.35555275235984</v>
      </c>
      <c r="F41" s="46">
        <f>IFERROR(F38/F21,"n/a")</f>
        <v>105.60687866463473</v>
      </c>
      <c r="G41" s="46">
        <f>IFERROR(G38/G21,"n/a")</f>
        <v>102.42664742939697</v>
      </c>
      <c r="H41" s="46">
        <f>IFERROR(H38/H21,"n/a")</f>
        <v>103.79050513879409</v>
      </c>
      <c r="I41" s="72">
        <f>IFERROR(I38/I21,"n/a")</f>
        <v>90</v>
      </c>
      <c r="J41" s="13"/>
    </row>
    <row r="42">
      <c r="A42" s="2"/>
      <c r="B42" s="28" t="s">
        <v>431</v>
      </c>
      <c r="C42" s="4">
        <f>IFERROR(C21/C20,"n/a")</f>
        <v>0.011091151190737746</v>
      </c>
      <c r="D42" s="4">
        <f>IFERROR(D21/D20,"n/a")</f>
        <v>0.017366764955366158</v>
      </c>
      <c r="E42" s="4">
        <f>IFERROR(E21/E20,"n/a")</f>
        <v>0.025829769320282015</v>
      </c>
      <c r="F42" s="4">
        <f>IFERROR(F21/F20,"n/a")</f>
        <v>0.017404676423266898</v>
      </c>
      <c r="G42" s="4">
        <f>IFERROR(G21/G20,"n/a")</f>
        <v>0.06988163860427028</v>
      </c>
      <c r="H42" s="4">
        <f>IFERROR(H21/H20,"n/a")</f>
        <v>0.02327760076583463</v>
      </c>
      <c r="I42" s="23">
        <f>IFERROR(I21/I20,"n/a")</f>
        <v>0.021941854086670324</v>
      </c>
      <c r="J42" s="13"/>
    </row>
    <row r="43">
      <c r="A43" s="2"/>
      <c r="B43" s="18"/>
      <c r="C43" s="5"/>
      <c r="D43" s="5"/>
      <c r="E43" s="5"/>
      <c r="F43" s="5"/>
      <c r="G43" s="5"/>
      <c r="H43" s="5"/>
      <c r="I43" s="9"/>
      <c r="J43" s="13"/>
    </row>
    <row r="44">
      <c r="A44" s="2"/>
      <c r="B44" s="18"/>
      <c r="C44" s="5"/>
      <c r="D44" s="5"/>
      <c r="E44" s="5"/>
      <c r="F44" s="5"/>
      <c r="G44" s="5"/>
      <c r="H44" s="5"/>
      <c r="I44" s="9"/>
      <c r="J44" s="1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5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432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131"/>
      <c r="C5" s="129"/>
      <c r="D5" s="129"/>
      <c r="E5" s="129"/>
      <c r="F5" s="129"/>
      <c r="G5" s="129"/>
      <c r="H5" s="129"/>
      <c r="I5" s="129"/>
      <c r="J5" s="127"/>
    </row>
    <row r="6">
      <c r="A6" s="2"/>
      <c r="B6" s="128"/>
      <c r="C6" s="125"/>
      <c r="D6" s="125"/>
      <c r="E6" s="125"/>
      <c r="F6" s="125"/>
      <c r="G6" s="125"/>
      <c r="H6" s="125"/>
      <c r="I6" s="125"/>
      <c r="J6" s="127"/>
    </row>
    <row r="7">
      <c r="A7" s="2"/>
      <c r="B7" s="130"/>
      <c r="C7" s="126"/>
      <c r="D7" s="126"/>
      <c r="E7" s="126"/>
      <c r="F7" s="126"/>
      <c r="G7" s="126"/>
      <c r="H7" s="126"/>
      <c r="I7" s="126"/>
      <c r="J7" s="132"/>
    </row>
    <row r="8">
      <c r="A8" s="2"/>
      <c r="B8" s="2"/>
      <c r="C8" s="2"/>
      <c r="D8" s="2"/>
      <c r="E8" s="2"/>
      <c r="F8" s="2"/>
      <c r="G8" s="2"/>
      <c r="H8" s="2"/>
      <c r="I8" s="105"/>
      <c r="J8" s="2"/>
    </row>
    <row r="9">
      <c r="A9" s="2"/>
      <c r="B9" s="62" t="s">
        <v>26</v>
      </c>
      <c r="C9" s="39" t="s">
        <v>433</v>
      </c>
      <c r="D9" s="39" t="s">
        <v>94</v>
      </c>
      <c r="E9" s="39" t="s">
        <v>434</v>
      </c>
      <c r="F9" s="39" t="s">
        <v>435</v>
      </c>
      <c r="G9" s="39" t="s">
        <v>436</v>
      </c>
      <c r="H9" s="39" t="s">
        <v>79</v>
      </c>
      <c r="I9" s="108" t="s">
        <v>437</v>
      </c>
      <c r="J9" s="53" t="s">
        <v>438</v>
      </c>
    </row>
    <row r="10">
      <c r="A10" s="2"/>
      <c r="B10" s="18" t="s">
        <v>439</v>
      </c>
      <c r="C10" s="32">
        <v>45799</v>
      </c>
      <c r="D10" s="26" t="s">
        <v>440</v>
      </c>
      <c r="E10" s="12">
        <v>890</v>
      </c>
      <c r="F10" s="12">
        <v>910</v>
      </c>
      <c r="G10" s="17">
        <f>IF(COUNT(E10:F10)=2,AVERAGE(E10:F10),"n/a")</f>
        <v>900</v>
      </c>
      <c r="H10" s="11">
        <f>'Income Statement'!C10</f>
        <v>964.538</v>
      </c>
      <c r="I10" s="112" t="str">
        <f>IF(ISNUMBER(H10),IF(ISNUMBER(F10),IF(H10&gt;F10,"Beat",IF(AND(ISNUMBER(E10),H10&lt;E10),"Miss","In line")),IF(H10&gt;=E10,"Met","Miss")),"Pending")</f>
        <v>Beat</v>
      </c>
      <c r="J10" s="13" t="s">
        <v>441</v>
      </c>
    </row>
    <row r="11">
      <c r="A11" s="2"/>
      <c r="B11" s="18" t="s">
        <v>442</v>
      </c>
      <c r="C11" s="32">
        <v>45799</v>
      </c>
      <c r="D11" s="26" t="s">
        <v>440</v>
      </c>
      <c r="E11" s="44">
        <v>0.62</v>
      </c>
      <c r="F11" s="44">
        <v>0.67</v>
      </c>
      <c r="G11" s="21">
        <f>IF(COUNT(E11:F11)=2,AVERAGE(E11:F11),"n/a")</f>
        <v>0.645</v>
      </c>
      <c r="H11" s="51">
        <f>'Income Statement'!C87</f>
        <v>0.9302836903130947</v>
      </c>
      <c r="I11" s="118" t="str">
        <f>IF(ISNUMBER(H11),IF(ISNUMBER(F11),IF(H11&gt;F11,"Beat",IF(AND(ISNUMBER(E11),H11&lt;E11),"Miss","In line")),IF(H11&gt;=E11,"Met","Miss")),"Pending")</f>
        <v>Beat</v>
      </c>
      <c r="J11" s="13" t="s">
        <v>441</v>
      </c>
    </row>
    <row r="12">
      <c r="A12" s="2"/>
      <c r="B12" s="18" t="s">
        <v>439</v>
      </c>
      <c r="C12" s="32">
        <v>45862</v>
      </c>
      <c r="D12" s="26" t="s">
        <v>443</v>
      </c>
      <c r="E12" s="12">
        <v>1380</v>
      </c>
      <c r="F12" s="12">
        <v>1420</v>
      </c>
      <c r="G12" s="17">
        <f>IF(COUNT(E12:F12)=2,AVERAGE(E12:F12),"n/a")</f>
        <v>1400</v>
      </c>
      <c r="H12" s="11">
        <f>'Income Statement'!D10</f>
        <v>1430.84</v>
      </c>
      <c r="I12" s="112" t="str">
        <f>IF(ISNUMBER(H12),IF(ISNUMBER(F12),IF(H12&gt;F12,"Beat",IF(AND(ISNUMBER(E12),H12&lt;E12),"Miss","In line")),IF(H12&gt;=E12,"Met","Miss")),"Pending")</f>
        <v>Beat</v>
      </c>
      <c r="J12" s="13" t="s">
        <v>444</v>
      </c>
    </row>
    <row r="13">
      <c r="A13" s="2"/>
      <c r="B13" s="18" t="s">
        <v>442</v>
      </c>
      <c r="C13" s="32">
        <v>45862</v>
      </c>
      <c r="D13" s="26" t="s">
        <v>443</v>
      </c>
      <c r="E13" s="44">
        <v>1.5</v>
      </c>
      <c r="F13" s="44">
        <v>1.55</v>
      </c>
      <c r="G13" s="21">
        <f>IF(COUNT(E13:F13)=2,AVERAGE(E13:F13),"n/a")</f>
        <v>1.525</v>
      </c>
      <c r="H13" s="51">
        <f>'Income Statement'!D87</f>
        <v>1.816108146181561</v>
      </c>
      <c r="I13" s="118" t="str">
        <f>IF(ISNUMBER(H13),IF(ISNUMBER(F13),IF(H13&gt;F13,"Beat",IF(AND(ISNUMBER(E13),H13&lt;E13),"Miss","In line")),IF(H13&gt;=E13,"Met","Miss")),"Pending")</f>
        <v>Beat</v>
      </c>
      <c r="J13" s="13" t="s">
        <v>445</v>
      </c>
    </row>
    <row r="14">
      <c r="A14" s="2"/>
      <c r="B14" s="18" t="s">
        <v>439</v>
      </c>
      <c r="C14" s="32">
        <v>45953</v>
      </c>
      <c r="D14" s="26" t="s">
        <v>446</v>
      </c>
      <c r="E14" s="12">
        <v>5350</v>
      </c>
      <c r="F14" s="12">
        <v>5350</v>
      </c>
      <c r="G14" s="17">
        <f>IF(COUNT(E14:F14)=2,AVERAGE(E14:F14),"n/a")</f>
        <v>5350</v>
      </c>
      <c r="H14" s="11">
        <f>'Income Statement'!G10</f>
        <v>5472.295999999999</v>
      </c>
      <c r="I14" s="112" t="str">
        <f>IF(ISNUMBER(H14),IF(ISNUMBER(F14),IF(H14&gt;F14,"Beat",IF(AND(ISNUMBER(E14),H14&lt;E14),"Miss","In line")),IF(H14&gt;=E14,"Met","Miss")),"Pending")</f>
        <v>Beat</v>
      </c>
      <c r="J14" s="13" t="s">
        <v>447</v>
      </c>
    </row>
    <row r="15">
      <c r="A15" s="2"/>
      <c r="B15" s="18" t="s">
        <v>442</v>
      </c>
      <c r="C15" s="32">
        <v>45953</v>
      </c>
      <c r="D15" s="26" t="s">
        <v>446</v>
      </c>
      <c r="E15" s="44">
        <v>6.3</v>
      </c>
      <c r="F15" s="44">
        <v>6.39</v>
      </c>
      <c r="G15" s="21">
        <f>IF(COUNT(E15:F15)=2,AVERAGE(E15:F15),"n/a")</f>
        <v>6.345</v>
      </c>
      <c r="H15" s="51">
        <f>'Income Statement'!G87</f>
        <v>7.0235657213401375</v>
      </c>
      <c r="I15" s="118" t="str">
        <f>IF(ISNUMBER(H15),IF(ISNUMBER(F15),IF(H15&gt;F15,"Beat",IF(AND(ISNUMBER(E15),H15&lt;E15),"Miss","In line")),IF(H15&gt;=E15,"Met","Miss")),"Pending")</f>
        <v>Beat</v>
      </c>
      <c r="J15" s="13" t="s">
        <v>448</v>
      </c>
    </row>
    <row r="16">
      <c r="A16" s="2"/>
      <c r="B16" s="19" t="s">
        <v>89</v>
      </c>
      <c r="C16" s="30">
        <v>45953</v>
      </c>
      <c r="D16" s="38" t="s">
        <v>446</v>
      </c>
      <c r="E16" s="20">
        <v>0.56</v>
      </c>
      <c r="F16" s="20">
        <v>0.56</v>
      </c>
      <c r="G16" s="4">
        <f>IF(COUNT(E16:F16)=2,AVERAGE(E16:F16),"n/a")</f>
        <v>0.56</v>
      </c>
      <c r="H16" s="58">
        <f>'Income Statement'!G23</f>
        <v>0.5770385958654283</v>
      </c>
      <c r="I16" s="116" t="str">
        <f>IF(ISNUMBER(H16),IF(ISNUMBER(F16),IF(H16&gt;F16,"Beat",IF(AND(ISNUMBER(E16),H16&lt;E16),"Miss","In line")),IF(H16&gt;=E16,"Met","Miss")),"Pending")</f>
        <v>Beat</v>
      </c>
      <c r="J16" s="13" t="s">
        <v>449</v>
      </c>
    </row>
    <row r="17">
      <c r="A17" s="2"/>
      <c r="B17" s="19" t="s">
        <v>90</v>
      </c>
      <c r="C17" s="30">
        <v>45953</v>
      </c>
      <c r="D17" s="38" t="s">
        <v>446</v>
      </c>
      <c r="E17" s="20">
        <v>0.215</v>
      </c>
      <c r="F17" s="20">
        <v>0.215</v>
      </c>
      <c r="G17" s="4">
        <f>IF(COUNT(E17:F17)=2,AVERAGE(E17:F17),"n/a")</f>
        <v>0.215</v>
      </c>
      <c r="H17" s="58">
        <f>'Income Statement'!G45</f>
        <v>0.23078119312259407</v>
      </c>
      <c r="I17" s="116" t="str">
        <f>IF(ISNUMBER(H17),IF(ISNUMBER(F17),IF(H17&gt;F17,"Beat",IF(AND(ISNUMBER(E17),H17&lt;E17),"Miss","In line")),IF(H17&gt;=E17,"Met","Miss")),"Pending")</f>
        <v>Beat</v>
      </c>
      <c r="J17" s="13" t="s">
        <v>450</v>
      </c>
    </row>
    <row r="18">
      <c r="A18" s="2"/>
      <c r="B18" s="18" t="s">
        <v>439</v>
      </c>
      <c r="C18" s="32">
        <v>46051</v>
      </c>
      <c r="D18" s="26" t="s">
        <v>446</v>
      </c>
      <c r="E18" s="12">
        <v>5400</v>
      </c>
      <c r="F18" s="12">
        <v>5425</v>
      </c>
      <c r="G18" s="17">
        <f>IF(COUNT(E18:F18)=2,AVERAGE(E18:F18),"n/a")</f>
        <v>5412.5</v>
      </c>
      <c r="H18" s="11">
        <f>'Income Statement'!G10</f>
        <v>5472.295999999999</v>
      </c>
      <c r="I18" s="112" t="str">
        <f>IF(ISNUMBER(H18),IF(ISNUMBER(F18),IF(H18&gt;F18,"Beat",IF(AND(ISNUMBER(E18),H18&lt;E18),"Miss","In line")),IF(H18&gt;=E18,"Met","Miss")),"Pending")</f>
        <v>Beat</v>
      </c>
      <c r="J18" s="13" t="s">
        <v>451</v>
      </c>
    </row>
    <row r="19">
      <c r="A19" s="2"/>
      <c r="B19" s="18" t="s">
        <v>442</v>
      </c>
      <c r="C19" s="32">
        <v>46051</v>
      </c>
      <c r="D19" s="26" t="s">
        <v>446</v>
      </c>
      <c r="E19" s="44">
        <v>6.8</v>
      </c>
      <c r="F19" s="44">
        <v>6.85</v>
      </c>
      <c r="G19" s="21">
        <f>IF(COUNT(E19:F19)=2,AVERAGE(E19:F19),"n/a")</f>
        <v>6.824999999999999</v>
      </c>
      <c r="H19" s="51">
        <f>'Income Statement'!G87</f>
        <v>7.0235657213401375</v>
      </c>
      <c r="I19" s="118" t="str">
        <f>IF(ISNUMBER(H19),IF(ISNUMBER(F19),IF(H19&gt;F19,"Beat",IF(AND(ISNUMBER(E19),H19&lt;E19),"Miss","In line")),IF(H19&gt;=E19,"Met","Miss")),"Pending")</f>
        <v>Beat</v>
      </c>
      <c r="J19" s="13" t="s">
        <v>451</v>
      </c>
    </row>
    <row r="20">
      <c r="A20" s="2"/>
      <c r="B20" s="19" t="s">
        <v>452</v>
      </c>
      <c r="C20" s="30">
        <v>46163</v>
      </c>
      <c r="D20" s="38" t="s">
        <v>453</v>
      </c>
      <c r="E20" s="20">
        <v>0.05</v>
      </c>
      <c r="F20" s="20">
        <v>0.05</v>
      </c>
      <c r="G20" s="4">
        <f>IF(COUNT(E20:F20)=2,AVERAGE(E20:F20),"n/a")</f>
        <v>0.05</v>
      </c>
      <c r="H20" s="58">
        <f>'Revenue summary'!H18</f>
        <v>0.05701486100081077</v>
      </c>
      <c r="I20" s="116" t="str">
        <f>IF(ISNUMBER(H20),IF(ISNUMBER(F20),IF(H20&gt;F20,"Beat",IF(AND(ISNUMBER(E20),H20&lt;E20),"Miss","In line")),IF(H20&gt;=E20,"Met","Miss")),"Pending")</f>
        <v>Beat</v>
      </c>
      <c r="J20" s="13" t="s">
        <v>454</v>
      </c>
    </row>
    <row r="21">
      <c r="A21" s="2"/>
      <c r="B21" s="18" t="s">
        <v>442</v>
      </c>
      <c r="C21" s="32">
        <v>46163</v>
      </c>
      <c r="D21" s="26" t="s">
        <v>453</v>
      </c>
      <c r="E21" s="44" t="s">
        <v>37</v>
      </c>
      <c r="F21" s="44">
        <v>0.87</v>
      </c>
      <c r="G21" s="21" t="str">
        <f>IF(COUNT(E21:F21)=2,AVERAGE(E21:F21),"n/a")</f>
        <v>n/a</v>
      </c>
      <c r="H21" s="51">
        <f>'Income Statement'!H87</f>
        <v>0.9380264003060059</v>
      </c>
      <c r="I21" s="118" t="str">
        <f>IF(ISNUMBER(H21),IF(ISNUMBER(F21),IF(H21&gt;F21,"Beat",IF(AND(ISNUMBER(E21),H21&lt;E21),"Miss","In line")),IF(H21&gt;=E21,"Met","Miss")),"Pending")</f>
        <v>Beat</v>
      </c>
      <c r="J21" s="13" t="s">
        <v>455</v>
      </c>
    </row>
    <row r="22">
      <c r="A22" s="2"/>
      <c r="B22" s="18" t="s">
        <v>439</v>
      </c>
      <c r="C22" s="32">
        <v>46163</v>
      </c>
      <c r="D22" s="26" t="s">
        <v>456</v>
      </c>
      <c r="E22" s="12">
        <v>5860</v>
      </c>
      <c r="F22" s="12">
        <v>5910</v>
      </c>
      <c r="G22" s="17">
        <f>IF(COUNT(E22:F22)=2,AVERAGE(E22:F22),"n/a")</f>
        <v>5885</v>
      </c>
      <c r="H22" s="12" t="s">
        <v>457</v>
      </c>
      <c r="I22" s="121" t="str">
        <f>IF(ISNUMBER(H22),IF(ISNUMBER(F22),IF(H22&gt;F22,"Beat",IF(AND(ISNUMBER(E22),H22&lt;E22),"Miss","In line")),IF(H22&gt;=E22,"Met","Miss")),"Pending")</f>
        <v>Pending</v>
      </c>
      <c r="J22" s="13" t="s">
        <v>458</v>
      </c>
    </row>
    <row r="23">
      <c r="A23" s="2"/>
      <c r="B23" s="18" t="s">
        <v>442</v>
      </c>
      <c r="C23" s="32">
        <v>46163</v>
      </c>
      <c r="D23" s="26" t="s">
        <v>456</v>
      </c>
      <c r="E23" s="44">
        <v>7.3</v>
      </c>
      <c r="F23" s="44">
        <v>7.45</v>
      </c>
      <c r="G23" s="21">
        <f>IF(COUNT(E23:F23)=2,AVERAGE(E23:F23),"n/a")</f>
        <v>7.375</v>
      </c>
      <c r="H23" s="44" t="s">
        <v>457</v>
      </c>
      <c r="I23" s="121" t="str">
        <f>IF(ISNUMBER(H23),IF(ISNUMBER(F23),IF(H23&gt;F23,"Beat",IF(AND(ISNUMBER(E23),H23&lt;E23),"Miss","In line")),IF(H23&gt;=E23,"Met","Miss")),"Pending")</f>
        <v>Pending</v>
      </c>
      <c r="J23" s="13" t="s">
        <v>459</v>
      </c>
    </row>
    <row r="24">
      <c r="A24" s="2"/>
      <c r="B24" s="19" t="s">
        <v>89</v>
      </c>
      <c r="C24" s="30">
        <v>46163</v>
      </c>
      <c r="D24" s="38" t="s">
        <v>456</v>
      </c>
      <c r="E24" s="20">
        <v>0.565</v>
      </c>
      <c r="F24" s="20">
        <v>0.565</v>
      </c>
      <c r="G24" s="4">
        <f>IF(COUNT(E24:F24)=2,AVERAGE(E24:F24),"n/a")</f>
        <v>0.565</v>
      </c>
      <c r="H24" s="20" t="s">
        <v>457</v>
      </c>
      <c r="I24" s="119" t="str">
        <f>IF(ISNUMBER(H24),IF(ISNUMBER(F24),IF(H24&gt;F24,"Beat",IF(AND(ISNUMBER(E24),H24&lt;E24),"Miss","In line")),IF(H24&gt;=E24,"Met","Miss")),"Pending")</f>
        <v>Pending</v>
      </c>
      <c r="J24" s="13" t="s">
        <v>460</v>
      </c>
    </row>
    <row r="25">
      <c r="A25" s="2"/>
      <c r="B25" s="19" t="s">
        <v>216</v>
      </c>
      <c r="C25" s="30">
        <v>46163</v>
      </c>
      <c r="D25" s="38" t="s">
        <v>456</v>
      </c>
      <c r="E25" s="20">
        <v>0.35</v>
      </c>
      <c r="F25" s="20">
        <v>0.35</v>
      </c>
      <c r="G25" s="4">
        <f>IF(COUNT(E25:F25)=2,AVERAGE(E25:F25),"n/a")</f>
        <v>0.35</v>
      </c>
      <c r="H25" s="20" t="s">
        <v>457</v>
      </c>
      <c r="I25" s="119" t="str">
        <f>IF(ISNUMBER(H25),IF(ISNUMBER(F25),IF(H25&gt;F25,"Beat",IF(AND(ISNUMBER(E25),H25&lt;E25),"Miss","In line")),IF(H25&gt;=E25,"Met","Miss")),"Pending")</f>
        <v>Pending</v>
      </c>
      <c r="J25" s="13" t="s">
        <v>461</v>
      </c>
    </row>
    <row r="26">
      <c r="A26" s="2"/>
      <c r="B26" s="19" t="s">
        <v>90</v>
      </c>
      <c r="C26" s="30">
        <v>46163</v>
      </c>
      <c r="D26" s="38" t="s">
        <v>456</v>
      </c>
      <c r="E26" s="20">
        <v>0.215</v>
      </c>
      <c r="F26" s="20">
        <v>0.215</v>
      </c>
      <c r="G26" s="4">
        <f>IF(COUNT(E26:F26)=2,AVERAGE(E26:F26),"n/a")</f>
        <v>0.215</v>
      </c>
      <c r="H26" s="20" t="s">
        <v>457</v>
      </c>
      <c r="I26" s="119" t="str">
        <f>IF(ISNUMBER(H26),IF(ISNUMBER(F26),IF(H26&gt;F26,"Beat",IF(AND(ISNUMBER(E26),H26&lt;E26),"Miss","In line")),IF(H26&gt;=E26,"Met","Miss")),"Pending")</f>
        <v>Pending</v>
      </c>
      <c r="J26" s="13" t="s">
        <v>462</v>
      </c>
    </row>
    <row r="27">
      <c r="A27" s="2"/>
      <c r="B27" s="19" t="s">
        <v>91</v>
      </c>
      <c r="C27" s="30">
        <v>46163</v>
      </c>
      <c r="D27" s="38" t="s">
        <v>456</v>
      </c>
      <c r="E27" s="20">
        <v>0.23</v>
      </c>
      <c r="F27" s="20">
        <v>0.23</v>
      </c>
      <c r="G27" s="4">
        <f>IF(COUNT(E27:F27)=2,AVERAGE(E27:F27),"n/a")</f>
        <v>0.23</v>
      </c>
      <c r="H27" s="20" t="s">
        <v>457</v>
      </c>
      <c r="I27" s="119" t="str">
        <f>IF(ISNUMBER(H27),IF(ISNUMBER(F27),IF(H27&gt;F27,"Beat",IF(AND(ISNUMBER(E27),H27&lt;E27),"Miss","In line")),IF(H27&gt;=E27,"Met","Miss")),"Pending")</f>
        <v>Pending</v>
      </c>
      <c r="J27" s="13" t="s">
        <v>463</v>
      </c>
    </row>
    <row r="28">
      <c r="A28" s="2"/>
      <c r="B28" s="18" t="s">
        <v>439</v>
      </c>
      <c r="C28" s="32">
        <v>46226</v>
      </c>
      <c r="D28" s="26" t="s">
        <v>456</v>
      </c>
      <c r="E28" s="12">
        <v>5860</v>
      </c>
      <c r="F28" s="12">
        <v>5910</v>
      </c>
      <c r="G28" s="17">
        <f>IF(COUNT(E28:F28)=2,AVERAGE(E28:F28),"n/a")</f>
        <v>5885</v>
      </c>
      <c r="H28" s="12" t="s">
        <v>457</v>
      </c>
      <c r="I28" s="121" t="str">
        <f>IF(ISNUMBER(H28),IF(ISNUMBER(F28),IF(H28&gt;F28,"Beat",IF(AND(ISNUMBER(E28),H28&lt;E28),"Miss","In line")),IF(H28&gt;=E28,"Met","Miss")),"Pending")</f>
        <v>Pending</v>
      </c>
      <c r="J28" s="13" t="s">
        <v>464</v>
      </c>
    </row>
    <row r="29">
      <c r="A29" s="2"/>
      <c r="B29" s="18" t="s">
        <v>442</v>
      </c>
      <c r="C29" s="32">
        <v>46226</v>
      </c>
      <c r="D29" s="26" t="s">
        <v>456</v>
      </c>
      <c r="E29" s="44">
        <v>7.35</v>
      </c>
      <c r="F29" s="44">
        <v>7.5</v>
      </c>
      <c r="G29" s="21">
        <f>IF(COUNT(E29:F29)=2,AVERAGE(E29:F29),"n/a")</f>
        <v>7.425</v>
      </c>
      <c r="H29" s="44" t="s">
        <v>457</v>
      </c>
      <c r="I29" s="121" t="str">
        <f>IF(ISNUMBER(H29),IF(ISNUMBER(F29),IF(H29&gt;F29,"Beat",IF(AND(ISNUMBER(E29),H29&lt;E29),"Miss","In line")),IF(H29&gt;=E29,"Met","Miss")),"Pending")</f>
        <v>Pending</v>
      </c>
      <c r="J29" s="13" t="s">
        <v>465</v>
      </c>
    </row>
    <row r="30">
      <c r="A30" s="2"/>
      <c r="B30" s="19" t="s">
        <v>89</v>
      </c>
      <c r="C30" s="30">
        <v>46226</v>
      </c>
      <c r="D30" s="38" t="s">
        <v>456</v>
      </c>
      <c r="E30" s="20">
        <v>0.565</v>
      </c>
      <c r="F30" s="20" t="s">
        <v>37</v>
      </c>
      <c r="G30" s="4" t="str">
        <f>IF(COUNT(E30:F30)=2,AVERAGE(E30:F30),"n/a")</f>
        <v>n/a</v>
      </c>
      <c r="H30" s="20" t="s">
        <v>457</v>
      </c>
      <c r="I30" s="119" t="str">
        <f>IF(ISNUMBER(H30),IF(ISNUMBER(F30),IF(H30&gt;F30,"Beat",IF(AND(ISNUMBER(E30),H30&lt;E30),"Miss","In line")),IF(H30&gt;=E30,"Met","Miss")),"Pending")</f>
        <v>Pending</v>
      </c>
      <c r="J30" s="13" t="s">
        <v>466</v>
      </c>
    </row>
    <row r="31">
      <c r="A31" s="2"/>
      <c r="B31" s="19" t="s">
        <v>90</v>
      </c>
      <c r="C31" s="30">
        <v>46226</v>
      </c>
      <c r="D31" s="38" t="s">
        <v>456</v>
      </c>
      <c r="E31" s="20">
        <v>0.215</v>
      </c>
      <c r="F31" s="20" t="s">
        <v>37</v>
      </c>
      <c r="G31" s="4" t="str">
        <f>IF(COUNT(E31:F31)=2,AVERAGE(E31:F31),"n/a")</f>
        <v>n/a</v>
      </c>
      <c r="H31" s="20" t="s">
        <v>457</v>
      </c>
      <c r="I31" s="119" t="str">
        <f>IF(ISNUMBER(H31),IF(ISNUMBER(F31),IF(H31&gt;F31,"Beat",IF(AND(ISNUMBER(E31),H31&lt;E31),"Miss","In line")),IF(H31&gt;=E31,"Met","Miss")),"Pending")</f>
        <v>Pending</v>
      </c>
      <c r="J31" s="13" t="s">
        <v>467</v>
      </c>
    </row>
    <row r="32">
      <c r="A32" s="2"/>
      <c r="B32" s="19" t="s">
        <v>452</v>
      </c>
      <c r="C32" s="30">
        <v>46226</v>
      </c>
      <c r="D32" s="38" t="s">
        <v>468</v>
      </c>
      <c r="E32" s="20">
        <v>0.05</v>
      </c>
      <c r="F32" s="20">
        <v>0.05</v>
      </c>
      <c r="G32" s="4">
        <f>IF(COUNT(E32:F32)=2,AVERAGE(E32:F32),"n/a")</f>
        <v>0.05</v>
      </c>
      <c r="H32" s="20" t="s">
        <v>457</v>
      </c>
      <c r="I32" s="119" t="str">
        <f>IF(ISNUMBER(H32),IF(ISNUMBER(F32),IF(H32&gt;F32,"Beat",IF(AND(ISNUMBER(E32),H32&lt;E32),"Miss","In line")),IF(H32&gt;=E32,"Met","Miss")),"Pending")</f>
        <v>Pending</v>
      </c>
      <c r="J32" s="13" t="s">
        <v>469</v>
      </c>
    </row>
    <row r="33">
      <c r="A33" s="2"/>
      <c r="B33" s="18" t="s">
        <v>442</v>
      </c>
      <c r="C33" s="32">
        <v>46226</v>
      </c>
      <c r="D33" s="26" t="s">
        <v>468</v>
      </c>
      <c r="E33" s="44">
        <v>1.73</v>
      </c>
      <c r="F33" s="44">
        <v>1.78</v>
      </c>
      <c r="G33" s="21">
        <f>IF(COUNT(E33:F33)=2,AVERAGE(E33:F33),"n/a")</f>
        <v>1.755</v>
      </c>
      <c r="H33" s="44" t="s">
        <v>457</v>
      </c>
      <c r="I33" s="121" t="str">
        <f>IF(ISNUMBER(H33),IF(ISNUMBER(F33),IF(H33&gt;F33,"Beat",IF(AND(ISNUMBER(E33),H33&lt;E33),"Miss","In line")),IF(H33&gt;=E33,"Met","Miss")),"Pending")</f>
        <v>Pending</v>
      </c>
      <c r="J33" s="13" t="s">
        <v>470</v>
      </c>
    </row>
    <row r="34">
      <c r="A34" s="2"/>
      <c r="B34" s="19" t="s">
        <v>471</v>
      </c>
      <c r="C34" s="30">
        <v>46226</v>
      </c>
      <c r="D34" s="38" t="s">
        <v>468</v>
      </c>
      <c r="E34" s="20" t="s">
        <v>37</v>
      </c>
      <c r="F34" s="20" t="s">
        <v>37</v>
      </c>
      <c r="G34" s="4" t="str">
        <f>IF(COUNT(E34:F34)=2,AVERAGE(E34:F34),"n/a")</f>
        <v>n/a</v>
      </c>
      <c r="H34" s="20" t="s">
        <v>457</v>
      </c>
      <c r="I34" s="119" t="str">
        <f>IF(ISNUMBER(H34),IF(ISNUMBER(F34),IF(H34&gt;F34,"Beat",IF(AND(ISNUMBER(E34),H34&lt;E34),"Miss","In line")),IF(H34&gt;=E34,"Met","Miss")),"Pending")</f>
        <v>Pending</v>
      </c>
      <c r="J34" s="13" t="s">
        <v>472</v>
      </c>
    </row>
    <row r="35">
      <c r="A35" s="2"/>
      <c r="B35" s="19" t="s">
        <v>473</v>
      </c>
      <c r="C35" s="30">
        <v>46226</v>
      </c>
      <c r="D35" s="38" t="s">
        <v>468</v>
      </c>
      <c r="E35" s="20" t="s">
        <v>37</v>
      </c>
      <c r="F35" s="20" t="s">
        <v>37</v>
      </c>
      <c r="G35" s="4" t="str">
        <f>IF(COUNT(E35:F35)=2,AVERAGE(E35:F35),"n/a")</f>
        <v>n/a</v>
      </c>
      <c r="H35" s="20" t="s">
        <v>457</v>
      </c>
      <c r="I35" s="119" t="str">
        <f>IF(ISNUMBER(H35),IF(ISNUMBER(F35),IF(H35&gt;F35,"Beat",IF(AND(ISNUMBER(E35),H35&lt;E35),"Miss","In line")),IF(H35&gt;=E35,"Met","Miss")),"Pending")</f>
        <v>Pending</v>
      </c>
      <c r="J35" s="13" t="s">
        <v>474</v>
      </c>
    </row>
    <row r="36">
      <c r="A36" s="2"/>
      <c r="B36" s="19" t="s">
        <v>475</v>
      </c>
      <c r="C36" s="30">
        <v>46226</v>
      </c>
      <c r="D36" s="38" t="s">
        <v>468</v>
      </c>
      <c r="E36" s="20">
        <v>-0.5</v>
      </c>
      <c r="F36" s="20">
        <v>-0.5</v>
      </c>
      <c r="G36" s="4">
        <f>IF(COUNT(E36:F36)=2,AVERAGE(E36:F36),"n/a")</f>
        <v>-0.5</v>
      </c>
      <c r="H36" s="20" t="s">
        <v>457</v>
      </c>
      <c r="I36" s="119" t="str">
        <f>IF(ISNUMBER(H36),IF(ISNUMBER(F36),IF(H36&gt;F36,"Beat",IF(AND(ISNUMBER(E36),H36&lt;E36),"Miss","In line")),IF(H36&gt;=E36,"Met","Miss")),"Pending")</f>
        <v>Pending</v>
      </c>
      <c r="J36" s="13" t="s">
        <v>476</v>
      </c>
    </row>
    <row r="37">
      <c r="A37" s="2"/>
      <c r="B37" s="19" t="s">
        <v>477</v>
      </c>
      <c r="C37" s="30">
        <v>46226</v>
      </c>
      <c r="D37" s="38" t="s">
        <v>468</v>
      </c>
      <c r="E37" s="20" t="s">
        <v>37</v>
      </c>
      <c r="F37" s="20" t="s">
        <v>37</v>
      </c>
      <c r="G37" s="4" t="str">
        <f>IF(COUNT(E37:F37)=2,AVERAGE(E37:F37),"n/a")</f>
        <v>n/a</v>
      </c>
      <c r="H37" s="20" t="s">
        <v>457</v>
      </c>
      <c r="I37" s="119" t="str">
        <f>IF(ISNUMBER(H37),IF(ISNUMBER(F37),IF(H37&gt;F37,"Beat",IF(AND(ISNUMBER(E37),H37&lt;E37),"Miss","In line")),IF(H37&gt;=E37,"Met","Miss")),"Pending")</f>
        <v>Pending</v>
      </c>
      <c r="J37" s="13" t="s">
        <v>478</v>
      </c>
    </row>
    <row r="38">
      <c r="A38" s="2"/>
      <c r="B38" s="18"/>
      <c r="C38" s="2"/>
      <c r="D38" s="2"/>
      <c r="E38" s="2"/>
      <c r="F38" s="2"/>
      <c r="G38" s="2"/>
      <c r="H38" s="2"/>
      <c r="I38" s="105"/>
      <c r="J38" s="13"/>
    </row>
    <row r="39">
      <c r="A39" s="2"/>
      <c r="B39" s="27" t="s">
        <v>479</v>
      </c>
      <c r="C39" s="33"/>
      <c r="D39" s="33"/>
      <c r="E39" s="33"/>
      <c r="F39" s="33"/>
      <c r="G39" s="33"/>
      <c r="H39" s="33"/>
      <c r="I39" s="109"/>
      <c r="J39" s="13"/>
    </row>
    <row r="40" ht="24">
      <c r="A40" s="2"/>
      <c r="B40" s="62" t="s">
        <v>94</v>
      </c>
      <c r="C40" s="39"/>
      <c r="D40" s="39"/>
      <c r="E40" s="120" t="s">
        <v>436</v>
      </c>
      <c r="F40" s="120" t="s">
        <v>480</v>
      </c>
      <c r="G40" s="120" t="s">
        <v>79</v>
      </c>
      <c r="H40" s="120" t="s">
        <v>481</v>
      </c>
      <c r="I40" s="120" t="s">
        <v>482</v>
      </c>
      <c r="J40" s="53"/>
    </row>
    <row r="41">
      <c r="A41" s="2"/>
      <c r="B41" s="18" t="s">
        <v>483</v>
      </c>
      <c r="C41" s="21"/>
      <c r="D41" s="21"/>
      <c r="E41" s="21">
        <f>G11</f>
        <v>0.645</v>
      </c>
      <c r="F41" s="21">
        <f>F11</f>
        <v>0.67</v>
      </c>
      <c r="G41" s="21">
        <f>H11</f>
        <v>0.9302836903130947</v>
      </c>
      <c r="H41" s="21">
        <f>IFERROR(G41-E41,"n/a")</f>
        <v>0.28528369031309464</v>
      </c>
      <c r="I41" s="118">
        <f>G41-F41</f>
        <v>0.2602836903130946</v>
      </c>
      <c r="J41" s="13"/>
    </row>
    <row r="42">
      <c r="A42" s="2"/>
      <c r="B42" s="18" t="s">
        <v>484</v>
      </c>
      <c r="C42" s="21"/>
      <c r="D42" s="21"/>
      <c r="E42" s="21">
        <f>G13</f>
        <v>1.525</v>
      </c>
      <c r="F42" s="21">
        <f>F13</f>
        <v>1.55</v>
      </c>
      <c r="G42" s="21">
        <f>H13</f>
        <v>1.816108146181561</v>
      </c>
      <c r="H42" s="21">
        <f>IFERROR(G42-E42,"n/a")</f>
        <v>0.291108146181561</v>
      </c>
      <c r="I42" s="118">
        <f>G42-F42</f>
        <v>0.26610814618156087</v>
      </c>
      <c r="J42" s="13"/>
    </row>
    <row r="43">
      <c r="A43" s="2"/>
      <c r="B43" s="18" t="s">
        <v>485</v>
      </c>
      <c r="C43" s="21"/>
      <c r="D43" s="21"/>
      <c r="E43" s="21">
        <f>G15</f>
        <v>6.345</v>
      </c>
      <c r="F43" s="21">
        <f>F15</f>
        <v>6.39</v>
      </c>
      <c r="G43" s="21">
        <f>H15</f>
        <v>7.0235657213401375</v>
      </c>
      <c r="H43" s="21">
        <f>IFERROR(G43-E43,"n/a")</f>
        <v>0.6785657213401377</v>
      </c>
      <c r="I43" s="118">
        <f>G43-F43</f>
        <v>0.6335657213401378</v>
      </c>
      <c r="J43" s="13"/>
    </row>
    <row r="44">
      <c r="A44" s="2"/>
      <c r="B44" s="18" t="s">
        <v>486</v>
      </c>
      <c r="C44" s="21"/>
      <c r="D44" s="21"/>
      <c r="E44" s="21">
        <f>G19</f>
        <v>6.824999999999999</v>
      </c>
      <c r="F44" s="21">
        <f>F19</f>
        <v>6.85</v>
      </c>
      <c r="G44" s="21">
        <f>H19</f>
        <v>7.0235657213401375</v>
      </c>
      <c r="H44" s="21">
        <f>IFERROR(G44-E44,"n/a")</f>
        <v>0.19856572134013817</v>
      </c>
      <c r="I44" s="118">
        <f>G44-F44</f>
        <v>0.1735657213401378</v>
      </c>
      <c r="J44" s="13"/>
    </row>
    <row r="45">
      <c r="A45" s="2"/>
      <c r="B45" s="18" t="s">
        <v>487</v>
      </c>
      <c r="C45" s="21"/>
      <c r="D45" s="21"/>
      <c r="E45" s="21" t="str">
        <f>G21</f>
        <v>n/a</v>
      </c>
      <c r="F45" s="21">
        <f>F21</f>
        <v>0.87</v>
      </c>
      <c r="G45" s="21">
        <f>H21</f>
        <v>0.9380264003060059</v>
      </c>
      <c r="H45" s="21" t="str">
        <f>IFERROR(G45-E45,"n/a")</f>
        <v>n/a</v>
      </c>
      <c r="I45" s="118">
        <f>G45-F45</f>
        <v>0.06802640030600593</v>
      </c>
      <c r="J45" s="13"/>
    </row>
    <row r="46">
      <c r="A46" s="2"/>
      <c r="B46" s="27" t="s">
        <v>488</v>
      </c>
      <c r="C46" s="42"/>
      <c r="D46" s="42"/>
      <c r="E46" s="42"/>
      <c r="F46" s="42"/>
      <c r="G46" s="42"/>
      <c r="H46" s="42"/>
      <c r="I46" s="111">
        <f>AVERAGE(I41,I42,I45)</f>
        <v>0.19813941226688714</v>
      </c>
      <c r="J46" s="13" t="s">
        <v>489</v>
      </c>
    </row>
    <row r="47">
      <c r="A47" s="2"/>
      <c r="B47" s="18"/>
      <c r="C47" s="2"/>
      <c r="D47" s="2"/>
      <c r="E47" s="2"/>
      <c r="F47" s="2"/>
      <c r="G47" s="2"/>
      <c r="H47" s="2"/>
      <c r="I47" s="105"/>
      <c r="J47" s="13"/>
    </row>
    <row r="48">
      <c r="A48" s="2"/>
      <c r="B48" s="27" t="s">
        <v>490</v>
      </c>
      <c r="C48" s="33"/>
      <c r="D48" s="33"/>
      <c r="E48" s="33"/>
      <c r="F48" s="33"/>
      <c r="G48" s="33"/>
      <c r="H48" s="33"/>
      <c r="I48" s="109"/>
      <c r="J48" s="13"/>
    </row>
    <row r="49">
      <c r="A49" s="2"/>
      <c r="B49" s="18" t="s">
        <v>491</v>
      </c>
      <c r="C49" s="17"/>
      <c r="D49" s="17"/>
      <c r="E49" s="17"/>
      <c r="F49" s="17"/>
      <c r="G49" s="17"/>
      <c r="H49" s="17"/>
      <c r="I49" s="123">
        <f>'Income Statement'!D10*(1+G32)</f>
        <v>1502.382</v>
      </c>
      <c r="J49" s="13"/>
    </row>
    <row r="50">
      <c r="A50" s="2"/>
      <c r="B50" s="18" t="s">
        <v>492</v>
      </c>
      <c r="C50" s="21"/>
      <c r="D50" s="21"/>
      <c r="E50" s="21"/>
      <c r="F50" s="21"/>
      <c r="G50" s="21"/>
      <c r="H50" s="21"/>
      <c r="I50" s="118">
        <f>G33</f>
        <v>1.755</v>
      </c>
      <c r="J50" s="13"/>
    </row>
    <row r="51">
      <c r="A51" s="2"/>
      <c r="B51" s="18" t="s">
        <v>493</v>
      </c>
      <c r="C51" s="21"/>
      <c r="D51" s="21"/>
      <c r="E51" s="21"/>
      <c r="F51" s="21"/>
      <c r="G51" s="21"/>
      <c r="H51" s="21"/>
      <c r="I51" s="122">
        <f>Inputs!C39-I50</f>
        <v>0.03500000000000014</v>
      </c>
      <c r="J51" s="13"/>
    </row>
    <row r="52">
      <c r="A52" s="2"/>
      <c r="B52" s="18" t="s">
        <v>494</v>
      </c>
      <c r="C52" s="21"/>
      <c r="D52" s="21"/>
      <c r="E52" s="21"/>
      <c r="F52" s="21"/>
      <c r="G52" s="21"/>
      <c r="H52" s="21"/>
      <c r="I52" s="122">
        <f>'Income Statement'!I102-I50</f>
        <v>0.05426477628812476</v>
      </c>
      <c r="J52" s="13"/>
    </row>
    <row r="53">
      <c r="A53" s="2"/>
      <c r="B53" s="18"/>
      <c r="C53" s="2"/>
      <c r="D53" s="2"/>
      <c r="E53" s="2"/>
      <c r="F53" s="2"/>
      <c r="G53" s="2"/>
      <c r="H53" s="2"/>
      <c r="I53" s="105"/>
      <c r="J53" s="13"/>
    </row>
    <row r="54">
      <c r="A54" s="2"/>
      <c r="B54" s="18"/>
      <c r="C54" s="2"/>
      <c r="D54" s="2"/>
      <c r="E54" s="2"/>
      <c r="F54" s="2"/>
      <c r="G54" s="2"/>
      <c r="H54" s="2"/>
      <c r="I54" s="105"/>
      <c r="J54" s="13"/>
    </row>
    <row r="55">
      <c r="I55" s="106"/>
    </row>
    <row r="56">
      <c r="I56" s="106"/>
    </row>
    <row r="57">
      <c r="I57" s="106"/>
    </row>
    <row r="58">
      <c r="I58" s="106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M4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34" customWidth="1"/>
    <col min="11" max="11" width="50" customWidth="1"/>
    <col min="12" max="12" width="80" customWidth="1"/>
    <col min="13" max="13" width="9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/>
      <c r="B3" s="27" t="s">
        <v>495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2"/>
      <c r="B5" s="131"/>
      <c r="C5" s="129"/>
      <c r="D5" s="129"/>
      <c r="E5" s="129"/>
      <c r="F5" s="129"/>
      <c r="G5" s="129"/>
      <c r="H5" s="129"/>
      <c r="I5" s="129"/>
      <c r="J5" s="127"/>
      <c r="K5" s="134"/>
      <c r="L5" s="134"/>
      <c r="M5" s="134"/>
    </row>
    <row r="6">
      <c r="A6" s="2"/>
      <c r="B6" s="128"/>
      <c r="C6" s="125"/>
      <c r="D6" s="125"/>
      <c r="E6" s="125"/>
      <c r="F6" s="125"/>
      <c r="G6" s="125"/>
      <c r="H6" s="125"/>
      <c r="I6" s="125"/>
      <c r="J6" s="127"/>
      <c r="K6" s="127"/>
      <c r="L6" s="127"/>
      <c r="M6" s="127"/>
    </row>
    <row r="7">
      <c r="A7" s="2"/>
      <c r="B7" s="130"/>
      <c r="C7" s="126"/>
      <c r="D7" s="126"/>
      <c r="E7" s="126"/>
      <c r="F7" s="126"/>
      <c r="G7" s="126"/>
      <c r="H7" s="126"/>
      <c r="I7" s="126"/>
      <c r="J7" s="132"/>
      <c r="K7" s="132"/>
      <c r="L7" s="132"/>
      <c r="M7" s="132"/>
    </row>
    <row r="8">
      <c r="A8" s="2"/>
      <c r="B8" s="2"/>
      <c r="C8" s="2"/>
      <c r="D8" s="2"/>
      <c r="E8" s="2"/>
      <c r="F8" s="2"/>
      <c r="G8" s="2"/>
      <c r="H8" s="2"/>
      <c r="I8" s="105"/>
      <c r="J8" s="2"/>
      <c r="K8" s="2"/>
      <c r="L8" s="2"/>
      <c r="M8" s="2"/>
    </row>
    <row r="9">
      <c r="A9" s="2"/>
      <c r="B9" s="62" t="s">
        <v>496</v>
      </c>
      <c r="C9" s="39" t="s">
        <v>497</v>
      </c>
      <c r="D9" s="39"/>
      <c r="E9" s="39"/>
      <c r="F9" s="39"/>
      <c r="G9" s="39"/>
      <c r="H9" s="39"/>
      <c r="I9" s="108"/>
      <c r="J9" s="55" t="s">
        <v>498</v>
      </c>
      <c r="K9" s="55" t="s">
        <v>499</v>
      </c>
      <c r="L9" s="55" t="s">
        <v>500</v>
      </c>
      <c r="M9" s="55" t="s">
        <v>501</v>
      </c>
    </row>
    <row r="10">
      <c r="A10" s="2"/>
      <c r="B10" s="18" t="s">
        <v>441</v>
      </c>
      <c r="C10" s="32">
        <v>45799</v>
      </c>
      <c r="D10" s="2"/>
      <c r="E10" s="2"/>
      <c r="F10" s="2"/>
      <c r="G10" s="2"/>
      <c r="H10" s="2"/>
      <c r="I10" s="105"/>
      <c r="J10" s="133" t="s">
        <v>502</v>
      </c>
      <c r="K10" s="133" t="s">
        <v>503</v>
      </c>
      <c r="L10" s="2" t="s">
        <v>504</v>
      </c>
      <c r="M10" s="2" t="s">
        <v>505</v>
      </c>
    </row>
    <row r="11">
      <c r="A11" s="2"/>
      <c r="B11" s="18" t="s">
        <v>506</v>
      </c>
      <c r="C11" s="32">
        <v>45869</v>
      </c>
      <c r="D11" s="2"/>
      <c r="E11" s="2"/>
      <c r="F11" s="2"/>
      <c r="G11" s="2"/>
      <c r="H11" s="2"/>
      <c r="I11" s="105"/>
      <c r="J11" s="133" t="s">
        <v>507</v>
      </c>
      <c r="K11" s="133" t="s">
        <v>508</v>
      </c>
      <c r="L11" s="2" t="s">
        <v>509</v>
      </c>
      <c r="M11" s="2" t="s">
        <v>510</v>
      </c>
    </row>
    <row r="12">
      <c r="A12" s="2"/>
      <c r="B12" s="18" t="s">
        <v>511</v>
      </c>
      <c r="C12" s="32">
        <v>45961</v>
      </c>
      <c r="D12" s="2"/>
      <c r="E12" s="2"/>
      <c r="F12" s="2"/>
      <c r="G12" s="2"/>
      <c r="H12" s="2"/>
      <c r="I12" s="105"/>
      <c r="J12" s="133" t="s">
        <v>507</v>
      </c>
      <c r="K12" s="133" t="s">
        <v>512</v>
      </c>
      <c r="L12" s="2" t="s">
        <v>513</v>
      </c>
      <c r="M12" s="2" t="s">
        <v>514</v>
      </c>
    </row>
    <row r="13">
      <c r="A13" s="2"/>
      <c r="B13" s="18" t="s">
        <v>515</v>
      </c>
      <c r="C13" s="32">
        <v>46056</v>
      </c>
      <c r="D13" s="2"/>
      <c r="E13" s="2"/>
      <c r="F13" s="2"/>
      <c r="G13" s="2"/>
      <c r="H13" s="2"/>
      <c r="I13" s="105"/>
      <c r="J13" s="133" t="s">
        <v>507</v>
      </c>
      <c r="K13" s="133" t="s">
        <v>516</v>
      </c>
      <c r="L13" s="2" t="s">
        <v>517</v>
      </c>
      <c r="M13" s="2" t="s">
        <v>518</v>
      </c>
    </row>
    <row r="14">
      <c r="A14" s="2"/>
      <c r="B14" s="18" t="s">
        <v>451</v>
      </c>
      <c r="C14" s="32">
        <v>46051</v>
      </c>
      <c r="D14" s="2"/>
      <c r="E14" s="2"/>
      <c r="F14" s="2"/>
      <c r="G14" s="2"/>
      <c r="H14" s="2"/>
      <c r="I14" s="105"/>
      <c r="J14" s="133" t="s">
        <v>502</v>
      </c>
      <c r="K14" s="133" t="s">
        <v>519</v>
      </c>
      <c r="L14" s="2" t="s">
        <v>520</v>
      </c>
      <c r="M14" s="2" t="s">
        <v>521</v>
      </c>
    </row>
    <row r="15" ht="25.5">
      <c r="A15" s="2"/>
      <c r="B15" s="18" t="s">
        <v>522</v>
      </c>
      <c r="C15" s="32">
        <v>46164</v>
      </c>
      <c r="D15" s="2"/>
      <c r="E15" s="2"/>
      <c r="F15" s="2"/>
      <c r="G15" s="2"/>
      <c r="H15" s="2"/>
      <c r="I15" s="105"/>
      <c r="J15" s="133" t="s">
        <v>523</v>
      </c>
      <c r="K15" s="133" t="s">
        <v>524</v>
      </c>
      <c r="L15" s="2" t="s">
        <v>525</v>
      </c>
      <c r="M15" s="2" t="s">
        <v>526</v>
      </c>
    </row>
    <row r="16" ht="25.5">
      <c r="A16" s="2"/>
      <c r="B16" s="18" t="s">
        <v>527</v>
      </c>
      <c r="C16" s="32">
        <v>46233</v>
      </c>
      <c r="D16" s="2"/>
      <c r="E16" s="2"/>
      <c r="F16" s="2"/>
      <c r="G16" s="2"/>
      <c r="H16" s="2"/>
      <c r="I16" s="105"/>
      <c r="J16" s="133" t="s">
        <v>507</v>
      </c>
      <c r="K16" s="133" t="s">
        <v>528</v>
      </c>
      <c r="L16" s="2" t="s">
        <v>529</v>
      </c>
      <c r="M16" s="2" t="s">
        <v>530</v>
      </c>
    </row>
    <row r="17">
      <c r="A17" s="2"/>
      <c r="B17" s="18" t="s">
        <v>531</v>
      </c>
      <c r="C17" s="32">
        <v>46163</v>
      </c>
      <c r="D17" s="2"/>
      <c r="E17" s="2"/>
      <c r="F17" s="2"/>
      <c r="G17" s="2"/>
      <c r="H17" s="2"/>
      <c r="I17" s="105"/>
      <c r="J17" s="133" t="s">
        <v>502</v>
      </c>
      <c r="K17" s="133" t="s">
        <v>532</v>
      </c>
      <c r="L17" s="2" t="s">
        <v>533</v>
      </c>
      <c r="M17" s="2" t="s">
        <v>534</v>
      </c>
    </row>
    <row r="18" ht="36">
      <c r="A18" s="2"/>
      <c r="B18" s="18" t="s">
        <v>535</v>
      </c>
      <c r="C18" s="32">
        <v>46226</v>
      </c>
      <c r="D18" s="2"/>
      <c r="E18" s="2"/>
      <c r="F18" s="2"/>
      <c r="G18" s="2"/>
      <c r="H18" s="2"/>
      <c r="I18" s="105"/>
      <c r="J18" s="133" t="s">
        <v>536</v>
      </c>
      <c r="K18" s="133" t="s">
        <v>537</v>
      </c>
      <c r="L18" s="2" t="s">
        <v>538</v>
      </c>
      <c r="M18" s="2" t="s">
        <v>539</v>
      </c>
    </row>
    <row r="19">
      <c r="A19" s="2"/>
      <c r="B19" s="18" t="s">
        <v>540</v>
      </c>
      <c r="C19" s="32">
        <v>46307</v>
      </c>
      <c r="D19" s="2"/>
      <c r="E19" s="2"/>
      <c r="F19" s="2"/>
      <c r="G19" s="2"/>
      <c r="H19" s="2"/>
      <c r="I19" s="105"/>
      <c r="J19" s="133" t="s">
        <v>541</v>
      </c>
      <c r="K19" s="133" t="s">
        <v>542</v>
      </c>
      <c r="L19" s="2" t="s">
        <v>543</v>
      </c>
      <c r="M19" s="2" t="s">
        <v>544</v>
      </c>
    </row>
    <row r="20">
      <c r="A20" s="2"/>
      <c r="B20" s="18" t="s">
        <v>445</v>
      </c>
      <c r="C20" s="32">
        <v>45862</v>
      </c>
      <c r="D20" s="2"/>
      <c r="E20" s="2"/>
      <c r="F20" s="2"/>
      <c r="G20" s="2"/>
      <c r="H20" s="2"/>
      <c r="I20" s="105"/>
      <c r="J20" s="133" t="s">
        <v>502</v>
      </c>
      <c r="K20" s="133" t="s">
        <v>545</v>
      </c>
      <c r="L20" s="2" t="s">
        <v>546</v>
      </c>
      <c r="M20" s="2" t="s">
        <v>547</v>
      </c>
    </row>
    <row r="21" ht="25.5">
      <c r="A21" s="2"/>
      <c r="B21" s="18" t="s">
        <v>448</v>
      </c>
      <c r="C21" s="32">
        <v>45953</v>
      </c>
      <c r="D21" s="2"/>
      <c r="E21" s="2"/>
      <c r="F21" s="2"/>
      <c r="G21" s="2"/>
      <c r="H21" s="2"/>
      <c r="I21" s="105"/>
      <c r="J21" s="133" t="s">
        <v>548</v>
      </c>
      <c r="K21" s="133" t="s">
        <v>549</v>
      </c>
      <c r="L21" s="2" t="s">
        <v>550</v>
      </c>
      <c r="M21" s="2" t="s">
        <v>551</v>
      </c>
    </row>
    <row r="22" ht="25.5">
      <c r="A22" s="2"/>
      <c r="B22" s="18" t="s">
        <v>552</v>
      </c>
      <c r="C22" s="32">
        <v>46313</v>
      </c>
      <c r="D22" s="2"/>
      <c r="E22" s="2"/>
      <c r="F22" s="2"/>
      <c r="G22" s="2"/>
      <c r="H22" s="2"/>
      <c r="I22" s="105"/>
      <c r="J22" s="133" t="s">
        <v>553</v>
      </c>
      <c r="K22" s="133" t="s">
        <v>554</v>
      </c>
      <c r="L22" s="2" t="s">
        <v>555</v>
      </c>
      <c r="M22" s="2" t="s">
        <v>556</v>
      </c>
    </row>
    <row r="23">
      <c r="A23" s="2"/>
      <c r="B23" s="18" t="s">
        <v>557</v>
      </c>
      <c r="C23" s="32">
        <v>46311</v>
      </c>
      <c r="D23" s="2"/>
      <c r="E23" s="2"/>
      <c r="F23" s="2"/>
      <c r="G23" s="2"/>
      <c r="H23" s="2"/>
      <c r="I23" s="105"/>
      <c r="J23" s="133" t="s">
        <v>558</v>
      </c>
      <c r="K23" s="133" t="s">
        <v>559</v>
      </c>
      <c r="L23" s="2" t="s">
        <v>560</v>
      </c>
      <c r="M23" s="2" t="s">
        <v>561</v>
      </c>
    </row>
    <row r="24" ht="25.5">
      <c r="A24" s="2"/>
      <c r="B24" s="18" t="s">
        <v>58</v>
      </c>
      <c r="C24" s="32">
        <v>46301</v>
      </c>
      <c r="D24" s="2"/>
      <c r="E24" s="2"/>
      <c r="F24" s="2"/>
      <c r="G24" s="2"/>
      <c r="H24" s="2"/>
      <c r="I24" s="105"/>
      <c r="J24" s="133" t="s">
        <v>562</v>
      </c>
      <c r="K24" s="133" t="s">
        <v>563</v>
      </c>
      <c r="L24" s="2" t="s">
        <v>564</v>
      </c>
      <c r="M24" s="2" t="s">
        <v>565</v>
      </c>
    </row>
    <row r="25" ht="25.5">
      <c r="A25" s="2"/>
      <c r="B25" s="18" t="s">
        <v>566</v>
      </c>
      <c r="C25" s="32">
        <v>46310</v>
      </c>
      <c r="D25" s="2"/>
      <c r="E25" s="2"/>
      <c r="F25" s="2"/>
      <c r="G25" s="2"/>
      <c r="H25" s="2"/>
      <c r="I25" s="105"/>
      <c r="J25" s="133" t="s">
        <v>567</v>
      </c>
      <c r="K25" s="133" t="s">
        <v>568</v>
      </c>
      <c r="L25" s="2" t="s">
        <v>569</v>
      </c>
      <c r="M25" s="2" t="s">
        <v>570</v>
      </c>
    </row>
    <row r="26" ht="25.5">
      <c r="A26" s="2"/>
      <c r="B26" s="18" t="s">
        <v>571</v>
      </c>
      <c r="C26" s="32">
        <v>46308</v>
      </c>
      <c r="D26" s="2"/>
      <c r="E26" s="2"/>
      <c r="F26" s="2"/>
      <c r="G26" s="2"/>
      <c r="H26" s="2"/>
      <c r="I26" s="105"/>
      <c r="J26" s="133" t="s">
        <v>572</v>
      </c>
      <c r="K26" s="133" t="s">
        <v>573</v>
      </c>
      <c r="L26" s="2" t="s">
        <v>574</v>
      </c>
      <c r="M26" s="2" t="s">
        <v>575</v>
      </c>
    </row>
    <row r="27">
      <c r="A27" s="2"/>
      <c r="B27" s="18" t="s">
        <v>576</v>
      </c>
      <c r="C27" s="32">
        <v>46273</v>
      </c>
      <c r="D27" s="2"/>
      <c r="E27" s="2"/>
      <c r="F27" s="2"/>
      <c r="G27" s="2"/>
      <c r="H27" s="2"/>
      <c r="I27" s="105"/>
      <c r="J27" s="133" t="s">
        <v>577</v>
      </c>
      <c r="K27" s="133" t="s">
        <v>578</v>
      </c>
      <c r="L27" s="2" t="s">
        <v>579</v>
      </c>
      <c r="M27" s="2" t="s">
        <v>580</v>
      </c>
    </row>
    <row r="28">
      <c r="A28" s="2"/>
      <c r="B28" s="18" t="s">
        <v>581</v>
      </c>
      <c r="C28" s="32">
        <v>46307</v>
      </c>
      <c r="D28" s="2"/>
      <c r="E28" s="2"/>
      <c r="F28" s="2"/>
      <c r="G28" s="2"/>
      <c r="H28" s="2"/>
      <c r="I28" s="105"/>
      <c r="J28" s="133" t="s">
        <v>577</v>
      </c>
      <c r="K28" s="133" t="s">
        <v>582</v>
      </c>
      <c r="L28" s="2" t="s">
        <v>583</v>
      </c>
      <c r="M28" s="2" t="s">
        <v>584</v>
      </c>
    </row>
    <row r="29" ht="25.5">
      <c r="A29" s="2"/>
      <c r="B29" s="18" t="s">
        <v>585</v>
      </c>
      <c r="C29" s="32">
        <v>46251</v>
      </c>
      <c r="D29" s="2"/>
      <c r="E29" s="2"/>
      <c r="F29" s="2"/>
      <c r="G29" s="2"/>
      <c r="H29" s="2"/>
      <c r="I29" s="105"/>
      <c r="J29" s="133" t="s">
        <v>586</v>
      </c>
      <c r="K29" s="133" t="s">
        <v>587</v>
      </c>
      <c r="L29" s="2" t="s">
        <v>588</v>
      </c>
      <c r="M29" s="2" t="s">
        <v>589</v>
      </c>
    </row>
    <row r="30" ht="25.5">
      <c r="A30" s="2"/>
      <c r="B30" s="18" t="s">
        <v>590</v>
      </c>
      <c r="C30" s="32">
        <v>46296</v>
      </c>
      <c r="D30" s="2"/>
      <c r="E30" s="2"/>
      <c r="F30" s="2"/>
      <c r="G30" s="2"/>
      <c r="H30" s="2"/>
      <c r="I30" s="105"/>
      <c r="J30" s="133" t="s">
        <v>591</v>
      </c>
      <c r="K30" s="133" t="s">
        <v>592</v>
      </c>
      <c r="L30" s="2" t="s">
        <v>593</v>
      </c>
      <c r="M30" s="2" t="s">
        <v>594</v>
      </c>
    </row>
    <row r="31">
      <c r="A31" s="2"/>
      <c r="B31" s="18" t="s">
        <v>595</v>
      </c>
      <c r="C31" s="32">
        <v>46245</v>
      </c>
      <c r="D31" s="2"/>
      <c r="E31" s="2"/>
      <c r="F31" s="2"/>
      <c r="G31" s="2"/>
      <c r="H31" s="2"/>
      <c r="I31" s="105"/>
      <c r="J31" s="133" t="s">
        <v>596</v>
      </c>
      <c r="K31" s="133" t="s">
        <v>597</v>
      </c>
      <c r="L31" s="2" t="s">
        <v>598</v>
      </c>
      <c r="M31" s="2" t="s">
        <v>599</v>
      </c>
    </row>
    <row r="32" ht="25.5">
      <c r="A32" s="2"/>
      <c r="B32" s="18" t="s">
        <v>600</v>
      </c>
      <c r="C32" s="32">
        <v>46246</v>
      </c>
      <c r="D32" s="2"/>
      <c r="E32" s="2"/>
      <c r="F32" s="2"/>
      <c r="G32" s="2"/>
      <c r="H32" s="2"/>
      <c r="I32" s="105"/>
      <c r="J32" s="133" t="s">
        <v>601</v>
      </c>
      <c r="K32" s="133" t="s">
        <v>602</v>
      </c>
      <c r="L32" s="2" t="s">
        <v>603</v>
      </c>
      <c r="M32" s="2" t="s">
        <v>604</v>
      </c>
    </row>
    <row r="33" ht="25.5">
      <c r="A33" s="2"/>
      <c r="B33" s="18" t="s">
        <v>605</v>
      </c>
      <c r="C33" s="32">
        <v>46231</v>
      </c>
      <c r="D33" s="2"/>
      <c r="E33" s="2"/>
      <c r="F33" s="2"/>
      <c r="G33" s="2"/>
      <c r="H33" s="2"/>
      <c r="I33" s="105"/>
      <c r="J33" s="133" t="s">
        <v>606</v>
      </c>
      <c r="K33" s="133" t="s">
        <v>607</v>
      </c>
      <c r="L33" s="2" t="s">
        <v>608</v>
      </c>
      <c r="M33" s="2" t="s">
        <v>609</v>
      </c>
    </row>
    <row r="34">
      <c r="A34" s="2"/>
      <c r="B34" s="18"/>
      <c r="C34" s="2"/>
      <c r="D34" s="2"/>
      <c r="E34" s="2"/>
      <c r="F34" s="2"/>
      <c r="G34" s="2"/>
      <c r="H34" s="2"/>
      <c r="I34" s="105"/>
      <c r="J34" s="2"/>
      <c r="K34" s="2"/>
      <c r="L34" s="2"/>
      <c r="M34" s="2"/>
    </row>
    <row r="35">
      <c r="A35" s="2"/>
      <c r="B35" s="27" t="s">
        <v>610</v>
      </c>
      <c r="C35" s="33"/>
      <c r="D35" s="33"/>
      <c r="E35" s="33"/>
      <c r="F35" s="33"/>
      <c r="G35" s="33"/>
      <c r="H35" s="33"/>
      <c r="I35" s="109"/>
      <c r="J35" s="2"/>
      <c r="K35" s="2"/>
      <c r="L35" s="2"/>
      <c r="M35" s="2"/>
    </row>
    <row r="36">
      <c r="A36" s="2"/>
      <c r="B36" s="18" t="s">
        <v>611</v>
      </c>
      <c r="C36" s="2"/>
      <c r="D36" s="2"/>
      <c r="E36" s="2"/>
      <c r="F36" s="2"/>
      <c r="G36" s="2"/>
      <c r="H36" s="2"/>
      <c r="I36" s="105"/>
      <c r="J36" s="2"/>
      <c r="K36" s="2"/>
      <c r="L36" s="2"/>
      <c r="M36" s="2"/>
    </row>
    <row r="37">
      <c r="A37" s="2"/>
      <c r="B37" s="18" t="s">
        <v>612</v>
      </c>
      <c r="C37" s="2"/>
      <c r="D37" s="2"/>
      <c r="E37" s="2"/>
      <c r="F37" s="2"/>
      <c r="G37" s="2"/>
      <c r="H37" s="2"/>
      <c r="I37" s="105"/>
      <c r="J37" s="2"/>
      <c r="K37" s="2"/>
      <c r="L37" s="2"/>
      <c r="M37" s="2"/>
    </row>
    <row r="38">
      <c r="A38" s="2"/>
      <c r="B38" s="18" t="s">
        <v>613</v>
      </c>
      <c r="C38" s="2"/>
      <c r="D38" s="2"/>
      <c r="E38" s="2"/>
      <c r="F38" s="2"/>
      <c r="G38" s="2"/>
      <c r="H38" s="2"/>
      <c r="I38" s="105"/>
      <c r="J38" s="2"/>
      <c r="K38" s="2"/>
      <c r="L38" s="2"/>
      <c r="M38" s="2"/>
    </row>
    <row r="39">
      <c r="A39" s="2"/>
      <c r="B39" s="18" t="s">
        <v>614</v>
      </c>
      <c r="C39" s="2"/>
      <c r="D39" s="2"/>
      <c r="E39" s="2"/>
      <c r="F39" s="2"/>
      <c r="G39" s="2"/>
      <c r="H39" s="2"/>
      <c r="I39" s="105"/>
      <c r="J39" s="2"/>
      <c r="K39" s="2"/>
      <c r="L39" s="2"/>
      <c r="M39" s="2"/>
    </row>
    <row r="40">
      <c r="A40" s="2"/>
      <c r="B40" s="18"/>
      <c r="C40" s="2"/>
      <c r="D40" s="2"/>
      <c r="E40" s="2"/>
      <c r="F40" s="2"/>
      <c r="G40" s="2"/>
      <c r="H40" s="2"/>
      <c r="I40" s="105"/>
      <c r="J40" s="2"/>
      <c r="K40" s="2"/>
      <c r="L40" s="2"/>
      <c r="M40" s="2"/>
    </row>
    <row r="41">
      <c r="A41" s="2"/>
      <c r="B41" s="18"/>
      <c r="C41" s="2"/>
      <c r="D41" s="2"/>
      <c r="E41" s="2"/>
      <c r="F41" s="2"/>
      <c r="G41" s="2"/>
      <c r="H41" s="2"/>
      <c r="I41" s="105"/>
      <c r="J41" s="2"/>
      <c r="K41" s="2"/>
      <c r="L41" s="2"/>
      <c r="M41" s="2"/>
    </row>
    <row r="42">
      <c r="I42" s="106"/>
    </row>
    <row r="43">
      <c r="I43" s="106"/>
    </row>
    <row r="44">
      <c r="I44" s="106"/>
    </row>
    <row r="45">
      <c r="I45" s="106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34" t="s">
        <v>1</v>
      </c>
      <c r="C2" s="2"/>
      <c r="D2" s="2"/>
      <c r="E2" s="2"/>
      <c r="F2" s="2"/>
      <c r="G2" s="2"/>
      <c r="H2" s="2"/>
      <c r="I2" s="2"/>
      <c r="J2" s="2"/>
    </row>
    <row r="3">
      <c r="A3" s="2"/>
      <c r="B3" s="27" t="s">
        <v>615</v>
      </c>
      <c r="C3" s="2"/>
      <c r="D3" s="2"/>
      <c r="E3" s="2"/>
      <c r="F3" s="2"/>
      <c r="G3" s="2"/>
      <c r="H3" s="2"/>
      <c r="I3" s="2"/>
      <c r="J3" s="2"/>
    </row>
    <row r="4">
      <c r="A4" s="2"/>
      <c r="B4" s="19" t="s">
        <v>3</v>
      </c>
      <c r="C4" s="2"/>
      <c r="D4" s="2"/>
      <c r="E4" s="2"/>
      <c r="F4" s="2"/>
      <c r="G4" s="2"/>
      <c r="H4" s="2"/>
      <c r="I4" s="2"/>
      <c r="J4" s="2"/>
    </row>
    <row r="5">
      <c r="A5" s="2"/>
      <c r="B5" s="131"/>
      <c r="C5" s="129"/>
      <c r="D5" s="129"/>
      <c r="E5" s="129"/>
      <c r="F5" s="129"/>
      <c r="G5" s="129"/>
      <c r="H5" s="129"/>
      <c r="I5" s="129"/>
      <c r="J5" s="127"/>
    </row>
    <row r="6">
      <c r="A6" s="2"/>
      <c r="B6" s="128"/>
      <c r="C6" s="125"/>
      <c r="D6" s="125"/>
      <c r="E6" s="125"/>
      <c r="F6" s="125"/>
      <c r="G6" s="125"/>
      <c r="H6" s="125"/>
      <c r="I6" s="125"/>
      <c r="J6" s="127"/>
    </row>
    <row r="7">
      <c r="A7" s="2"/>
      <c r="B7" s="130"/>
      <c r="C7" s="126"/>
      <c r="D7" s="126"/>
      <c r="E7" s="126"/>
      <c r="F7" s="126"/>
      <c r="G7" s="126"/>
      <c r="H7" s="126"/>
      <c r="I7" s="126"/>
      <c r="J7" s="132"/>
    </row>
    <row r="8">
      <c r="A8" s="2"/>
      <c r="B8" s="2"/>
      <c r="C8" s="2"/>
      <c r="D8" s="2"/>
      <c r="E8" s="2"/>
      <c r="F8" s="2"/>
      <c r="G8" s="2"/>
      <c r="H8" s="2"/>
      <c r="I8" s="105"/>
      <c r="J8" s="2"/>
    </row>
    <row r="9">
      <c r="A9" s="2"/>
      <c r="B9" s="27" t="s">
        <v>616</v>
      </c>
      <c r="C9" s="33"/>
      <c r="D9" s="33"/>
      <c r="E9" s="33"/>
      <c r="F9" s="33"/>
      <c r="G9" s="33"/>
      <c r="H9" s="33"/>
      <c r="I9" s="109"/>
      <c r="J9" s="13"/>
    </row>
    <row r="10">
      <c r="A10" s="2"/>
      <c r="B10" s="18" t="s">
        <v>617</v>
      </c>
      <c r="C10" s="90" t="s">
        <v>618</v>
      </c>
      <c r="D10" s="2"/>
      <c r="E10" s="2"/>
      <c r="F10" s="2"/>
      <c r="G10" s="2"/>
      <c r="H10" s="2"/>
      <c r="I10" s="105"/>
      <c r="J10" s="13"/>
    </row>
    <row r="11">
      <c r="A11" s="2"/>
      <c r="B11" s="18" t="s">
        <v>619</v>
      </c>
      <c r="C11" s="90" t="s">
        <v>620</v>
      </c>
      <c r="D11" s="2"/>
      <c r="E11" s="2"/>
      <c r="F11" s="2"/>
      <c r="G11" s="2"/>
      <c r="H11" s="2"/>
      <c r="I11" s="105"/>
      <c r="J11" s="13"/>
    </row>
    <row r="12">
      <c r="A12" s="2"/>
      <c r="B12" s="18" t="s">
        <v>621</v>
      </c>
      <c r="C12" s="90" t="s">
        <v>622</v>
      </c>
      <c r="D12" s="2"/>
      <c r="E12" s="2"/>
      <c r="F12" s="2"/>
      <c r="G12" s="2"/>
      <c r="H12" s="2"/>
      <c r="I12" s="105"/>
      <c r="J12" s="13"/>
    </row>
    <row r="13">
      <c r="A13" s="2"/>
      <c r="B13" s="18" t="s">
        <v>623</v>
      </c>
      <c r="C13" s="90" t="s">
        <v>624</v>
      </c>
      <c r="D13" s="2"/>
      <c r="E13" s="2"/>
      <c r="F13" s="2"/>
      <c r="G13" s="2"/>
      <c r="H13" s="2"/>
      <c r="I13" s="105"/>
      <c r="J13" s="13"/>
    </row>
    <row r="14">
      <c r="A14" s="2"/>
      <c r="B14" s="18" t="s">
        <v>625</v>
      </c>
      <c r="C14" s="95">
        <v>46295</v>
      </c>
      <c r="D14" s="2"/>
      <c r="E14" s="2"/>
      <c r="F14" s="2"/>
      <c r="G14" s="2"/>
      <c r="H14" s="2"/>
      <c r="I14" s="105"/>
      <c r="J14" s="13"/>
    </row>
    <row r="15">
      <c r="A15" s="2"/>
      <c r="B15" s="18" t="s">
        <v>626</v>
      </c>
      <c r="C15" s="95">
        <v>46313</v>
      </c>
      <c r="D15" s="2"/>
      <c r="E15" s="2"/>
      <c r="F15" s="2"/>
      <c r="G15" s="2"/>
      <c r="H15" s="2"/>
      <c r="I15" s="105"/>
      <c r="J15" s="13"/>
    </row>
    <row r="16">
      <c r="A16" s="2"/>
      <c r="B16" s="18" t="s">
        <v>627</v>
      </c>
      <c r="C16" s="84">
        <v>22</v>
      </c>
      <c r="D16" s="2"/>
      <c r="E16" s="2"/>
      <c r="F16" s="2"/>
      <c r="G16" s="2"/>
      <c r="H16" s="2"/>
      <c r="I16" s="105"/>
      <c r="J16" s="13"/>
    </row>
    <row r="17">
      <c r="A17" s="2"/>
      <c r="B17" s="18" t="s">
        <v>628</v>
      </c>
      <c r="C17" s="44">
        <v>1.79</v>
      </c>
      <c r="D17" s="2"/>
      <c r="E17" s="2"/>
      <c r="F17" s="2"/>
      <c r="G17" s="2"/>
      <c r="H17" s="2"/>
      <c r="I17" s="105"/>
      <c r="J17" s="13"/>
    </row>
    <row r="18">
      <c r="A18" s="2"/>
      <c r="B18" s="18" t="s">
        <v>629</v>
      </c>
      <c r="C18" s="90" t="s">
        <v>630</v>
      </c>
      <c r="D18" s="2"/>
      <c r="E18" s="2"/>
      <c r="F18" s="2"/>
      <c r="G18" s="2"/>
      <c r="H18" s="2"/>
      <c r="I18" s="105"/>
      <c r="J18" s="13"/>
    </row>
    <row r="19">
      <c r="A19" s="2"/>
      <c r="B19" s="18" t="s">
        <v>631</v>
      </c>
      <c r="C19" s="12">
        <v>1506.33</v>
      </c>
      <c r="D19" s="2"/>
      <c r="E19" s="2"/>
      <c r="F19" s="2"/>
      <c r="G19" s="2"/>
      <c r="H19" s="2"/>
      <c r="I19" s="105"/>
      <c r="J19" s="13"/>
    </row>
    <row r="20">
      <c r="A20" s="2"/>
      <c r="B20" s="18" t="s">
        <v>632</v>
      </c>
      <c r="C20" s="90" t="s">
        <v>633</v>
      </c>
      <c r="D20" s="2"/>
      <c r="E20" s="2"/>
      <c r="F20" s="2"/>
      <c r="G20" s="2"/>
      <c r="H20" s="2"/>
      <c r="I20" s="105"/>
      <c r="J20" s="13"/>
    </row>
    <row r="21">
      <c r="A21" s="2"/>
      <c r="B21" s="18" t="s">
        <v>634</v>
      </c>
      <c r="C21" s="90" t="s">
        <v>635</v>
      </c>
      <c r="D21" s="2"/>
      <c r="E21" s="2"/>
      <c r="F21" s="2"/>
      <c r="G21" s="2"/>
      <c r="H21" s="2"/>
      <c r="I21" s="105"/>
      <c r="J21" s="13"/>
    </row>
    <row r="22">
      <c r="A22" s="2"/>
      <c r="B22" s="18" t="s">
        <v>636</v>
      </c>
      <c r="C22" s="90" t="s">
        <v>637</v>
      </c>
      <c r="D22" s="2"/>
      <c r="E22" s="2"/>
      <c r="F22" s="2"/>
      <c r="G22" s="2"/>
      <c r="H22" s="2"/>
      <c r="I22" s="105"/>
      <c r="J22" s="13"/>
    </row>
    <row r="23">
      <c r="A23" s="2"/>
      <c r="B23" s="18" t="s">
        <v>638</v>
      </c>
      <c r="C23" s="90" t="s">
        <v>633</v>
      </c>
      <c r="D23" s="2"/>
      <c r="E23" s="2"/>
      <c r="F23" s="2"/>
      <c r="G23" s="2"/>
      <c r="H23" s="2"/>
      <c r="I23" s="105"/>
      <c r="J23" s="13"/>
    </row>
    <row r="24">
      <c r="A24" s="2"/>
      <c r="B24" s="18"/>
      <c r="C24" s="2"/>
      <c r="D24" s="2"/>
      <c r="E24" s="2"/>
      <c r="F24" s="2"/>
      <c r="G24" s="2"/>
      <c r="H24" s="2"/>
      <c r="I24" s="105"/>
      <c r="J24" s="13"/>
    </row>
    <row r="25">
      <c r="A25" s="2"/>
      <c r="B25" s="27" t="s">
        <v>639</v>
      </c>
      <c r="C25" s="33"/>
      <c r="D25" s="33"/>
      <c r="E25" s="33"/>
      <c r="F25" s="33"/>
      <c r="G25" s="33"/>
      <c r="H25" s="33"/>
      <c r="I25" s="109"/>
      <c r="J25" s="13"/>
    </row>
    <row r="26">
      <c r="A26" s="2"/>
      <c r="B26" s="18" t="s">
        <v>619</v>
      </c>
      <c r="C26" s="90" t="s">
        <v>620</v>
      </c>
      <c r="D26" s="2"/>
      <c r="E26" s="2"/>
      <c r="F26" s="2"/>
      <c r="G26" s="2"/>
      <c r="H26" s="2"/>
      <c r="I26" s="105"/>
      <c r="J26" s="13"/>
    </row>
    <row r="27">
      <c r="A27" s="2"/>
      <c r="B27" s="18" t="s">
        <v>640</v>
      </c>
      <c r="C27" s="90" t="s">
        <v>622</v>
      </c>
      <c r="D27" s="2"/>
      <c r="E27" s="2"/>
      <c r="F27" s="2"/>
      <c r="G27" s="2"/>
      <c r="H27" s="2"/>
      <c r="I27" s="105"/>
      <c r="J27" s="13"/>
    </row>
    <row r="28">
      <c r="A28" s="2"/>
      <c r="B28" s="18" t="s">
        <v>641</v>
      </c>
      <c r="C28" s="90" t="s">
        <v>642</v>
      </c>
      <c r="D28" s="2"/>
      <c r="E28" s="2"/>
      <c r="F28" s="2"/>
      <c r="G28" s="2"/>
      <c r="H28" s="2"/>
      <c r="I28" s="105"/>
      <c r="J28" s="13"/>
    </row>
    <row r="29">
      <c r="A29" s="2"/>
      <c r="B29" s="18" t="s">
        <v>643</v>
      </c>
      <c r="C29" s="90">
        <v>327333</v>
      </c>
      <c r="D29" s="2"/>
      <c r="E29" s="2"/>
      <c r="F29" s="2"/>
      <c r="G29" s="2"/>
      <c r="H29" s="2"/>
      <c r="I29" s="105"/>
      <c r="J29" s="13"/>
    </row>
    <row r="30">
      <c r="A30" s="2"/>
      <c r="B30" s="18" t="s">
        <v>644</v>
      </c>
      <c r="C30" s="90" t="s">
        <v>633</v>
      </c>
      <c r="D30" s="2"/>
      <c r="E30" s="2"/>
      <c r="F30" s="2"/>
      <c r="G30" s="2"/>
      <c r="H30" s="2"/>
      <c r="I30" s="105"/>
      <c r="J30" s="13"/>
    </row>
    <row r="31">
      <c r="A31" s="2"/>
      <c r="B31" s="18" t="s">
        <v>645</v>
      </c>
      <c r="C31" s="90" t="s">
        <v>646</v>
      </c>
      <c r="D31" s="2"/>
      <c r="E31" s="2"/>
      <c r="F31" s="2"/>
      <c r="G31" s="2"/>
      <c r="H31" s="2"/>
      <c r="I31" s="105"/>
      <c r="J31" s="13"/>
    </row>
    <row r="32">
      <c r="A32" s="2"/>
      <c r="B32" s="18" t="s">
        <v>647</v>
      </c>
      <c r="C32" s="90" t="s">
        <v>624</v>
      </c>
      <c r="D32" s="2"/>
      <c r="E32" s="2"/>
      <c r="F32" s="2"/>
      <c r="G32" s="2"/>
      <c r="H32" s="2"/>
      <c r="I32" s="105"/>
      <c r="J32" s="13"/>
    </row>
    <row r="33">
      <c r="A33" s="2"/>
      <c r="B33" s="18" t="s">
        <v>648</v>
      </c>
      <c r="C33" s="95">
        <v>46295</v>
      </c>
      <c r="D33" s="2"/>
      <c r="E33" s="2"/>
      <c r="F33" s="2"/>
      <c r="G33" s="2"/>
      <c r="H33" s="2"/>
      <c r="I33" s="105"/>
      <c r="J33" s="13"/>
    </row>
    <row r="34">
      <c r="A34" s="2"/>
      <c r="B34" s="18" t="s">
        <v>649</v>
      </c>
      <c r="C34" s="95">
        <v>46324</v>
      </c>
      <c r="D34" s="2"/>
      <c r="E34" s="2"/>
      <c r="F34" s="2"/>
      <c r="G34" s="2"/>
      <c r="H34" s="2"/>
      <c r="I34" s="105"/>
      <c r="J34" s="13"/>
    </row>
    <row r="35">
      <c r="A35" s="2"/>
      <c r="B35" s="18" t="s">
        <v>629</v>
      </c>
      <c r="C35" s="90" t="s">
        <v>650</v>
      </c>
      <c r="D35" s="2"/>
      <c r="E35" s="2"/>
      <c r="F35" s="2"/>
      <c r="G35" s="2"/>
      <c r="H35" s="2"/>
      <c r="I35" s="105"/>
      <c r="J35" s="13"/>
    </row>
    <row r="36">
      <c r="A36" s="2"/>
      <c r="B36" s="18" t="s">
        <v>651</v>
      </c>
      <c r="C36" s="84">
        <v>22</v>
      </c>
      <c r="D36" s="2"/>
      <c r="E36" s="2"/>
      <c r="F36" s="2"/>
      <c r="G36" s="2"/>
      <c r="H36" s="2"/>
      <c r="I36" s="105"/>
      <c r="J36" s="13"/>
    </row>
    <row r="37">
      <c r="A37" s="2"/>
      <c r="B37" s="18" t="s">
        <v>652</v>
      </c>
      <c r="C37" s="84">
        <v>22</v>
      </c>
      <c r="D37" s="2"/>
      <c r="E37" s="2"/>
      <c r="F37" s="2"/>
      <c r="G37" s="2"/>
      <c r="H37" s="2"/>
      <c r="I37" s="105"/>
      <c r="J37" s="13"/>
    </row>
    <row r="38">
      <c r="A38" s="2"/>
      <c r="B38" s="18" t="s">
        <v>653</v>
      </c>
      <c r="C38" s="67"/>
      <c r="D38" s="2"/>
      <c r="E38" s="2"/>
      <c r="F38" s="2"/>
      <c r="G38" s="2"/>
      <c r="H38" s="2"/>
      <c r="I38" s="105"/>
      <c r="J38" s="13"/>
    </row>
    <row r="39">
      <c r="A39" s="2"/>
      <c r="B39" s="18" t="s">
        <v>654</v>
      </c>
      <c r="C39" s="44">
        <v>1.79</v>
      </c>
      <c r="D39" s="2"/>
      <c r="E39" s="2"/>
      <c r="F39" s="2"/>
      <c r="G39" s="2"/>
      <c r="H39" s="2"/>
      <c r="I39" s="105"/>
      <c r="J39" s="13"/>
    </row>
    <row r="40">
      <c r="A40" s="2"/>
      <c r="B40" s="18" t="s">
        <v>655</v>
      </c>
      <c r="C40" s="44">
        <v>1.78</v>
      </c>
      <c r="D40" s="2"/>
      <c r="E40" s="2"/>
      <c r="F40" s="2"/>
      <c r="G40" s="2"/>
      <c r="H40" s="2"/>
      <c r="I40" s="105"/>
      <c r="J40" s="13"/>
    </row>
    <row r="41">
      <c r="A41" s="2"/>
      <c r="B41" s="18" t="s">
        <v>656</v>
      </c>
      <c r="C41" s="44">
        <v>1.86</v>
      </c>
      <c r="D41" s="2"/>
      <c r="E41" s="2"/>
      <c r="F41" s="2"/>
      <c r="G41" s="2"/>
      <c r="H41" s="2"/>
      <c r="I41" s="105"/>
      <c r="J41" s="13"/>
    </row>
    <row r="42">
      <c r="A42" s="2"/>
      <c r="B42" s="18" t="s">
        <v>657</v>
      </c>
      <c r="C42" s="44">
        <v>1.74</v>
      </c>
      <c r="D42" s="2"/>
      <c r="E42" s="2"/>
      <c r="F42" s="2"/>
      <c r="G42" s="2"/>
      <c r="H42" s="2"/>
      <c r="I42" s="105"/>
      <c r="J42" s="13"/>
    </row>
    <row r="43">
      <c r="A43" s="2"/>
      <c r="B43" s="18" t="s">
        <v>658</v>
      </c>
      <c r="C43" s="44">
        <v>0.03</v>
      </c>
      <c r="D43" s="2"/>
      <c r="E43" s="2"/>
      <c r="F43" s="2"/>
      <c r="G43" s="2"/>
      <c r="H43" s="2"/>
      <c r="I43" s="105"/>
      <c r="J43" s="13"/>
    </row>
    <row r="44">
      <c r="A44" s="2"/>
      <c r="B44" s="18" t="s">
        <v>659</v>
      </c>
      <c r="C44" s="84">
        <v>22</v>
      </c>
      <c r="D44" s="2"/>
      <c r="E44" s="2"/>
      <c r="F44" s="2"/>
      <c r="G44" s="2"/>
      <c r="H44" s="2"/>
      <c r="I44" s="105"/>
      <c r="J44" s="13"/>
    </row>
    <row r="45">
      <c r="A45" s="2"/>
      <c r="B45" s="18" t="s">
        <v>660</v>
      </c>
      <c r="C45" s="21"/>
      <c r="D45" s="2"/>
      <c r="E45" s="2"/>
      <c r="F45" s="2"/>
      <c r="G45" s="2"/>
      <c r="H45" s="2"/>
      <c r="I45" s="105"/>
      <c r="J45" s="13"/>
    </row>
    <row r="46">
      <c r="A46" s="2"/>
      <c r="B46" s="18" t="s">
        <v>661</v>
      </c>
      <c r="C46" s="44">
        <v>1.73</v>
      </c>
      <c r="D46" s="2"/>
      <c r="E46" s="2"/>
      <c r="F46" s="2"/>
      <c r="G46" s="2"/>
      <c r="H46" s="2"/>
      <c r="I46" s="105"/>
      <c r="J46" s="13"/>
    </row>
    <row r="47">
      <c r="A47" s="2"/>
      <c r="B47" s="18" t="s">
        <v>662</v>
      </c>
      <c r="C47" s="44">
        <v>1.78</v>
      </c>
      <c r="D47" s="2"/>
      <c r="E47" s="2"/>
      <c r="F47" s="2"/>
      <c r="G47" s="2"/>
      <c r="H47" s="2"/>
      <c r="I47" s="105"/>
      <c r="J47" s="13"/>
    </row>
    <row r="48">
      <c r="A48" s="2"/>
      <c r="B48" s="18" t="s">
        <v>663</v>
      </c>
      <c r="C48" s="44">
        <v>1.79</v>
      </c>
      <c r="D48" s="2"/>
      <c r="E48" s="2"/>
      <c r="F48" s="2"/>
      <c r="G48" s="2"/>
      <c r="H48" s="2"/>
      <c r="I48" s="105"/>
      <c r="J48" s="13"/>
    </row>
    <row r="49">
      <c r="A49" s="2"/>
      <c r="B49" s="18" t="s">
        <v>664</v>
      </c>
      <c r="C49" s="44">
        <v>1.78</v>
      </c>
      <c r="D49" s="2"/>
      <c r="E49" s="2"/>
      <c r="F49" s="2"/>
      <c r="G49" s="2"/>
      <c r="H49" s="2"/>
      <c r="I49" s="105"/>
      <c r="J49" s="13"/>
    </row>
    <row r="50">
      <c r="A50" s="2"/>
      <c r="B50" s="18" t="s">
        <v>665</v>
      </c>
      <c r="C50" s="44">
        <v>1.85</v>
      </c>
      <c r="D50" s="2"/>
      <c r="E50" s="2"/>
      <c r="F50" s="2"/>
      <c r="G50" s="2"/>
      <c r="H50" s="2"/>
      <c r="I50" s="105"/>
      <c r="J50" s="13"/>
    </row>
    <row r="51">
      <c r="A51" s="2"/>
      <c r="B51" s="18" t="s">
        <v>666</v>
      </c>
      <c r="C51" s="44">
        <v>1.74</v>
      </c>
      <c r="D51" s="2"/>
      <c r="E51" s="2"/>
      <c r="F51" s="2"/>
      <c r="G51" s="2"/>
      <c r="H51" s="2"/>
      <c r="I51" s="105"/>
      <c r="J51" s="13"/>
    </row>
    <row r="52">
      <c r="A52" s="2"/>
      <c r="B52" s="18" t="s">
        <v>667</v>
      </c>
      <c r="C52" s="44">
        <v>0.03</v>
      </c>
      <c r="D52" s="2"/>
      <c r="E52" s="2"/>
      <c r="F52" s="2"/>
      <c r="G52" s="2"/>
      <c r="H52" s="2"/>
      <c r="I52" s="105"/>
      <c r="J52" s="13"/>
    </row>
    <row r="53">
      <c r="A53" s="2"/>
      <c r="B53" s="18" t="s">
        <v>668</v>
      </c>
      <c r="C53" s="84">
        <v>19</v>
      </c>
      <c r="D53" s="2"/>
      <c r="E53" s="2"/>
      <c r="F53" s="2"/>
      <c r="G53" s="2"/>
      <c r="H53" s="2"/>
      <c r="I53" s="105"/>
      <c r="J53" s="13"/>
    </row>
    <row r="54">
      <c r="A54" s="2"/>
      <c r="B54" s="18" t="s">
        <v>669</v>
      </c>
      <c r="C54" s="21"/>
      <c r="D54" s="2"/>
      <c r="E54" s="2"/>
      <c r="F54" s="2"/>
      <c r="G54" s="2"/>
      <c r="H54" s="2"/>
      <c r="I54" s="105"/>
      <c r="J54" s="13"/>
    </row>
    <row r="55">
      <c r="A55" s="2"/>
      <c r="B55" s="18" t="s">
        <v>670</v>
      </c>
      <c r="C55" s="44">
        <v>1.73</v>
      </c>
      <c r="D55" s="2"/>
      <c r="E55" s="2"/>
      <c r="F55" s="2"/>
      <c r="G55" s="2"/>
      <c r="H55" s="2"/>
      <c r="I55" s="105"/>
      <c r="J55" s="13"/>
    </row>
    <row r="56">
      <c r="A56" s="2"/>
      <c r="B56" s="18" t="s">
        <v>671</v>
      </c>
      <c r="C56" s="44">
        <v>1.78</v>
      </c>
      <c r="D56" s="2"/>
      <c r="E56" s="2"/>
      <c r="F56" s="2"/>
      <c r="G56" s="2"/>
      <c r="H56" s="2"/>
      <c r="I56" s="105"/>
      <c r="J56" s="13"/>
    </row>
    <row r="57">
      <c r="A57" s="2"/>
      <c r="B57" s="18" t="s">
        <v>672</v>
      </c>
      <c r="C57" s="12">
        <v>1506.33</v>
      </c>
      <c r="D57" s="2"/>
      <c r="E57" s="2"/>
      <c r="F57" s="2"/>
      <c r="G57" s="2"/>
      <c r="H57" s="2"/>
      <c r="I57" s="105"/>
      <c r="J57" s="13"/>
    </row>
    <row r="58">
      <c r="A58" s="2"/>
      <c r="B58" s="18" t="s">
        <v>673</v>
      </c>
      <c r="C58" s="12">
        <v>1505.1</v>
      </c>
      <c r="D58" s="2"/>
      <c r="E58" s="2"/>
      <c r="F58" s="2"/>
      <c r="G58" s="2"/>
      <c r="H58" s="2"/>
      <c r="I58" s="105"/>
      <c r="J58" s="13"/>
    </row>
    <row r="59">
      <c r="A59" s="2"/>
      <c r="B59" s="18" t="s">
        <v>674</v>
      </c>
      <c r="C59" s="12">
        <v>1521</v>
      </c>
      <c r="D59" s="2"/>
      <c r="E59" s="2"/>
      <c r="F59" s="2"/>
      <c r="G59" s="2"/>
      <c r="H59" s="2"/>
      <c r="I59" s="105"/>
      <c r="J59" s="13"/>
    </row>
    <row r="60">
      <c r="A60" s="2"/>
      <c r="B60" s="18" t="s">
        <v>675</v>
      </c>
      <c r="C60" s="12">
        <v>1497.65</v>
      </c>
      <c r="D60" s="2"/>
      <c r="E60" s="2"/>
      <c r="F60" s="2"/>
      <c r="G60" s="2"/>
      <c r="H60" s="2"/>
      <c r="I60" s="105"/>
      <c r="J60" s="13"/>
    </row>
    <row r="61">
      <c r="A61" s="2"/>
      <c r="B61" s="18" t="s">
        <v>676</v>
      </c>
      <c r="C61" s="12">
        <v>5.1</v>
      </c>
      <c r="D61" s="2"/>
      <c r="E61" s="2"/>
      <c r="F61" s="2"/>
      <c r="G61" s="2"/>
      <c r="H61" s="2"/>
      <c r="I61" s="105"/>
      <c r="J61" s="13"/>
    </row>
    <row r="62">
      <c r="A62" s="2"/>
      <c r="B62" s="18" t="s">
        <v>677</v>
      </c>
      <c r="C62" s="84">
        <v>21</v>
      </c>
      <c r="D62" s="2"/>
      <c r="E62" s="2"/>
      <c r="F62" s="2"/>
      <c r="G62" s="2"/>
      <c r="H62" s="2"/>
      <c r="I62" s="105"/>
      <c r="J62" s="13"/>
    </row>
    <row r="63">
      <c r="A63" s="2"/>
      <c r="B63" s="18" t="s">
        <v>678</v>
      </c>
      <c r="C63" s="2"/>
      <c r="D63" s="2"/>
      <c r="E63" s="2"/>
      <c r="F63" s="2"/>
      <c r="G63" s="2"/>
      <c r="H63" s="2"/>
      <c r="I63" s="105"/>
      <c r="J63" s="13"/>
    </row>
    <row r="64">
      <c r="A64" s="2"/>
      <c r="B64" s="18" t="s">
        <v>679</v>
      </c>
      <c r="C64" s="2"/>
      <c r="D64" s="2"/>
      <c r="E64" s="2"/>
      <c r="F64" s="2"/>
      <c r="G64" s="2"/>
      <c r="H64" s="2"/>
      <c r="I64" s="105"/>
      <c r="J64" s="13"/>
    </row>
    <row r="65">
      <c r="A65" s="2"/>
      <c r="B65" s="18" t="s">
        <v>680</v>
      </c>
      <c r="C65" s="2"/>
      <c r="D65" s="2"/>
      <c r="E65" s="2"/>
      <c r="F65" s="2"/>
      <c r="G65" s="2"/>
      <c r="H65" s="2"/>
      <c r="I65" s="105"/>
      <c r="J65" s="13"/>
    </row>
    <row r="66">
      <c r="A66" s="2"/>
      <c r="B66" s="18" t="s">
        <v>681</v>
      </c>
      <c r="C66" s="12">
        <v>328.73</v>
      </c>
      <c r="D66" s="2"/>
      <c r="E66" s="2"/>
      <c r="F66" s="2"/>
      <c r="G66" s="2"/>
      <c r="H66" s="2"/>
      <c r="I66" s="105"/>
      <c r="J66" s="13"/>
    </row>
    <row r="67">
      <c r="A67" s="2"/>
      <c r="B67" s="18" t="s">
        <v>682</v>
      </c>
      <c r="C67" s="12">
        <v>306.64</v>
      </c>
      <c r="D67" s="2"/>
      <c r="E67" s="2"/>
      <c r="F67" s="2"/>
      <c r="G67" s="2"/>
      <c r="H67" s="2"/>
      <c r="I67" s="105"/>
      <c r="J67" s="13"/>
    </row>
    <row r="68">
      <c r="A68" s="2"/>
      <c r="B68" s="18" t="s">
        <v>683</v>
      </c>
      <c r="C68" s="12">
        <v>320.57</v>
      </c>
      <c r="D68" s="2"/>
      <c r="E68" s="2"/>
      <c r="F68" s="2"/>
      <c r="G68" s="2"/>
      <c r="H68" s="2"/>
      <c r="I68" s="105"/>
      <c r="J68" s="13"/>
    </row>
    <row r="69">
      <c r="A69" s="2"/>
      <c r="B69" s="18" t="s">
        <v>684</v>
      </c>
      <c r="C69" s="12">
        <v>319.8</v>
      </c>
      <c r="D69" s="2"/>
      <c r="E69" s="2"/>
      <c r="F69" s="2"/>
      <c r="G69" s="2"/>
      <c r="H69" s="2"/>
      <c r="I69" s="105"/>
      <c r="J69" s="13"/>
    </row>
    <row r="70">
      <c r="A70" s="2"/>
      <c r="B70" s="18" t="s">
        <v>685</v>
      </c>
      <c r="C70" s="12">
        <v>245.83</v>
      </c>
      <c r="D70" s="2"/>
      <c r="E70" s="2"/>
      <c r="F70" s="2"/>
      <c r="G70" s="2"/>
      <c r="H70" s="2"/>
      <c r="I70" s="105"/>
      <c r="J70" s="13"/>
    </row>
    <row r="71">
      <c r="A71" s="2"/>
      <c r="B71" s="18" t="s">
        <v>686</v>
      </c>
      <c r="C71" s="12">
        <v>245.25</v>
      </c>
      <c r="D71" s="2"/>
      <c r="E71" s="2"/>
      <c r="F71" s="2"/>
      <c r="G71" s="2"/>
      <c r="H71" s="2"/>
      <c r="I71" s="105"/>
      <c r="J71" s="13"/>
    </row>
    <row r="72">
      <c r="A72" s="2"/>
      <c r="B72" s="18" t="s">
        <v>687</v>
      </c>
      <c r="C72" s="2"/>
      <c r="D72" s="2"/>
      <c r="E72" s="2"/>
      <c r="F72" s="2"/>
      <c r="G72" s="2"/>
      <c r="H72" s="2"/>
      <c r="I72" s="105"/>
      <c r="J72" s="13"/>
    </row>
    <row r="73">
      <c r="A73" s="2"/>
      <c r="B73" s="18" t="s">
        <v>688</v>
      </c>
      <c r="C73" s="2"/>
      <c r="D73" s="2"/>
      <c r="E73" s="2"/>
      <c r="F73" s="2"/>
      <c r="G73" s="2"/>
      <c r="H73" s="2"/>
      <c r="I73" s="105"/>
      <c r="J73" s="13"/>
    </row>
    <row r="74">
      <c r="A74" s="2"/>
      <c r="B74" s="18" t="s">
        <v>689</v>
      </c>
      <c r="C74" s="12">
        <v>20.67</v>
      </c>
      <c r="D74" s="2"/>
      <c r="E74" s="2"/>
      <c r="F74" s="2"/>
      <c r="G74" s="2"/>
      <c r="H74" s="2"/>
      <c r="I74" s="105"/>
      <c r="J74" s="13"/>
    </row>
    <row r="75">
      <c r="A75" s="2"/>
      <c r="B75" s="18" t="s">
        <v>690</v>
      </c>
      <c r="C75" s="17"/>
      <c r="D75" s="2"/>
      <c r="E75" s="2"/>
      <c r="F75" s="2"/>
      <c r="G75" s="2"/>
      <c r="H75" s="2"/>
      <c r="I75" s="105"/>
      <c r="J75" s="13"/>
    </row>
    <row r="76">
      <c r="A76" s="2"/>
      <c r="B76" s="18" t="s">
        <v>691</v>
      </c>
      <c r="C76" s="12">
        <v>26.6</v>
      </c>
      <c r="D76" s="2"/>
      <c r="E76" s="2"/>
      <c r="F76" s="2"/>
      <c r="G76" s="2"/>
      <c r="H76" s="2"/>
      <c r="I76" s="105"/>
      <c r="J76" s="13"/>
    </row>
    <row r="77">
      <c r="A77" s="2"/>
      <c r="B77" s="18" t="s">
        <v>692</v>
      </c>
      <c r="C77" s="17"/>
      <c r="D77" s="2"/>
      <c r="E77" s="2"/>
      <c r="F77" s="2"/>
      <c r="G77" s="2"/>
      <c r="H77" s="2"/>
      <c r="I77" s="105"/>
      <c r="J77" s="13"/>
    </row>
    <row r="78">
      <c r="A78" s="2"/>
      <c r="B78" s="18" t="s">
        <v>693</v>
      </c>
      <c r="C78" s="17"/>
      <c r="D78" s="2"/>
      <c r="E78" s="2"/>
      <c r="F78" s="2"/>
      <c r="G78" s="2"/>
      <c r="H78" s="2"/>
      <c r="I78" s="105"/>
      <c r="J78" s="13"/>
    </row>
    <row r="79">
      <c r="A79" s="2"/>
      <c r="B79" s="18" t="s">
        <v>694</v>
      </c>
      <c r="C79" s="12">
        <v>-1703.8</v>
      </c>
      <c r="D79" s="2"/>
      <c r="E79" s="2"/>
      <c r="F79" s="2"/>
      <c r="G79" s="2"/>
      <c r="H79" s="2"/>
      <c r="I79" s="105"/>
      <c r="J79" s="13"/>
    </row>
    <row r="80">
      <c r="A80" s="2"/>
      <c r="B80" s="18" t="s">
        <v>695</v>
      </c>
      <c r="C80" s="17"/>
      <c r="D80" s="2"/>
      <c r="E80" s="2"/>
      <c r="F80" s="2"/>
      <c r="G80" s="2"/>
      <c r="H80" s="2"/>
      <c r="I80" s="105"/>
      <c r="J80" s="13"/>
    </row>
    <row r="81">
      <c r="A81" s="2"/>
      <c r="B81" s="18" t="s">
        <v>696</v>
      </c>
      <c r="C81" s="2"/>
      <c r="D81" s="2"/>
      <c r="E81" s="2"/>
      <c r="F81" s="2"/>
      <c r="G81" s="2"/>
      <c r="H81" s="2"/>
      <c r="I81" s="105"/>
      <c r="J81" s="13"/>
    </row>
    <row r="82">
      <c r="A82" s="2"/>
      <c r="B82" s="18" t="s">
        <v>697</v>
      </c>
      <c r="C82" s="89">
        <v>117.64</v>
      </c>
      <c r="D82" s="2"/>
      <c r="E82" s="2"/>
      <c r="F82" s="2"/>
      <c r="G82" s="2"/>
      <c r="H82" s="2"/>
      <c r="I82" s="105"/>
      <c r="J82" s="13"/>
    </row>
    <row r="83">
      <c r="A83" s="2"/>
      <c r="B83" s="18" t="s">
        <v>698</v>
      </c>
      <c r="C83" s="89">
        <v>116</v>
      </c>
      <c r="D83" s="2"/>
      <c r="E83" s="2"/>
      <c r="F83" s="2"/>
      <c r="G83" s="2"/>
      <c r="H83" s="2"/>
      <c r="I83" s="105"/>
      <c r="J83" s="13"/>
    </row>
    <row r="84">
      <c r="A84" s="2"/>
      <c r="B84" s="18" t="s">
        <v>699</v>
      </c>
      <c r="C84" s="89">
        <v>184</v>
      </c>
      <c r="D84" s="2"/>
      <c r="E84" s="2"/>
      <c r="F84" s="2"/>
      <c r="G84" s="2"/>
      <c r="H84" s="2"/>
      <c r="I84" s="105"/>
      <c r="J84" s="13"/>
    </row>
    <row r="85">
      <c r="A85" s="2"/>
      <c r="B85" s="18" t="s">
        <v>700</v>
      </c>
      <c r="C85" s="89">
        <v>70</v>
      </c>
      <c r="D85" s="2"/>
      <c r="E85" s="2"/>
      <c r="F85" s="2"/>
      <c r="G85" s="2"/>
      <c r="H85" s="2"/>
      <c r="I85" s="105"/>
      <c r="J85" s="13"/>
    </row>
    <row r="86">
      <c r="A86" s="2"/>
      <c r="B86" s="18" t="s">
        <v>701</v>
      </c>
      <c r="C86" s="89">
        <v>23.61</v>
      </c>
      <c r="D86" s="2"/>
      <c r="E86" s="2"/>
      <c r="F86" s="2"/>
      <c r="G86" s="2"/>
      <c r="H86" s="2"/>
      <c r="I86" s="105"/>
      <c r="J86" s="13"/>
    </row>
    <row r="87">
      <c r="A87" s="2"/>
      <c r="B87" s="18" t="s">
        <v>702</v>
      </c>
      <c r="C87" s="84">
        <v>22</v>
      </c>
      <c r="D87" s="2"/>
      <c r="E87" s="2"/>
      <c r="F87" s="2"/>
      <c r="G87" s="2"/>
      <c r="H87" s="2"/>
      <c r="I87" s="105"/>
      <c r="J87" s="13"/>
    </row>
    <row r="88">
      <c r="A88" s="2"/>
      <c r="B88" s="18" t="s">
        <v>703</v>
      </c>
      <c r="C88" s="90" t="s">
        <v>704</v>
      </c>
      <c r="D88" s="2"/>
      <c r="E88" s="2"/>
      <c r="F88" s="2"/>
      <c r="G88" s="2"/>
      <c r="H88" s="2"/>
      <c r="I88" s="105"/>
      <c r="J88" s="13"/>
    </row>
    <row r="89">
      <c r="A89" s="2"/>
      <c r="B89" s="18" t="s">
        <v>705</v>
      </c>
      <c r="C89" s="93">
        <v>2.44</v>
      </c>
      <c r="D89" s="2"/>
      <c r="E89" s="2"/>
      <c r="F89" s="2"/>
      <c r="G89" s="2"/>
      <c r="H89" s="2"/>
      <c r="I89" s="105"/>
      <c r="J89" s="13"/>
    </row>
    <row r="90">
      <c r="A90" s="2"/>
      <c r="B90" s="18" t="s">
        <v>706</v>
      </c>
      <c r="C90" s="89">
        <v>85.71</v>
      </c>
      <c r="D90" s="2"/>
      <c r="E90" s="2"/>
      <c r="F90" s="2"/>
      <c r="G90" s="2"/>
      <c r="H90" s="2"/>
      <c r="I90" s="105"/>
      <c r="J90" s="13"/>
    </row>
    <row r="91">
      <c r="A91" s="2"/>
      <c r="B91" s="18" t="s">
        <v>707</v>
      </c>
      <c r="C91" s="90" t="s">
        <v>708</v>
      </c>
      <c r="D91" s="2"/>
      <c r="E91" s="2"/>
      <c r="F91" s="2"/>
      <c r="G91" s="2"/>
      <c r="H91" s="2"/>
      <c r="I91" s="105"/>
      <c r="J91" s="13"/>
    </row>
    <row r="92">
      <c r="A92" s="2"/>
      <c r="B92" s="18" t="s">
        <v>709</v>
      </c>
      <c r="C92" s="95">
        <v>46313</v>
      </c>
      <c r="D92" s="2"/>
      <c r="E92" s="2"/>
      <c r="F92" s="2"/>
      <c r="G92" s="2"/>
      <c r="H92" s="2"/>
      <c r="I92" s="105"/>
      <c r="J92" s="13"/>
    </row>
    <row r="93">
      <c r="A93" s="2"/>
      <c r="B93" s="18" t="s">
        <v>710</v>
      </c>
      <c r="C93" s="90" t="s">
        <v>711</v>
      </c>
      <c r="D93" s="2"/>
      <c r="E93" s="2"/>
      <c r="F93" s="2"/>
      <c r="G93" s="2"/>
      <c r="H93" s="2"/>
      <c r="I93" s="105"/>
      <c r="J93" s="13"/>
    </row>
    <row r="94">
      <c r="A94" s="2"/>
      <c r="B94" s="18"/>
      <c r="C94" s="2"/>
      <c r="D94" s="2"/>
      <c r="E94" s="2"/>
      <c r="F94" s="2"/>
      <c r="G94" s="2"/>
      <c r="H94" s="2"/>
      <c r="I94" s="105"/>
      <c r="J94" s="13"/>
    </row>
    <row r="95">
      <c r="A95" s="2"/>
      <c r="B95" s="27" t="s">
        <v>712</v>
      </c>
      <c r="C95" s="33"/>
      <c r="D95" s="33"/>
      <c r="E95" s="33"/>
      <c r="F95" s="33"/>
      <c r="G95" s="33"/>
      <c r="H95" s="33"/>
      <c r="I95" s="109"/>
      <c r="J95" s="13"/>
    </row>
    <row r="96">
      <c r="A96" s="2"/>
      <c r="B96" s="18" t="s">
        <v>713</v>
      </c>
      <c r="C96" s="90" t="s">
        <v>633</v>
      </c>
      <c r="D96" s="2"/>
      <c r="E96" s="2"/>
      <c r="F96" s="2"/>
      <c r="G96" s="2"/>
      <c r="H96" s="2"/>
      <c r="I96" s="105"/>
      <c r="J96" s="13"/>
    </row>
    <row r="97">
      <c r="A97" s="2"/>
      <c r="B97" s="18" t="s">
        <v>714</v>
      </c>
      <c r="C97" s="90" t="s">
        <v>715</v>
      </c>
      <c r="D97" s="2"/>
      <c r="E97" s="2"/>
      <c r="F97" s="2"/>
      <c r="G97" s="2"/>
      <c r="H97" s="2"/>
      <c r="I97" s="105"/>
      <c r="J97" s="13"/>
    </row>
    <row r="98">
      <c r="A98" s="2"/>
      <c r="B98" s="18" t="s">
        <v>716</v>
      </c>
      <c r="C98" s="90" t="s">
        <v>633</v>
      </c>
      <c r="D98" s="2"/>
      <c r="E98" s="2"/>
      <c r="F98" s="2"/>
      <c r="G98" s="2"/>
      <c r="H98" s="2"/>
      <c r="I98" s="105"/>
      <c r="J98" s="13"/>
    </row>
    <row r="99">
      <c r="A99" s="2"/>
      <c r="B99" s="18" t="s">
        <v>717</v>
      </c>
      <c r="C99" s="90" t="s">
        <v>718</v>
      </c>
      <c r="D99" s="2"/>
      <c r="E99" s="2"/>
      <c r="F99" s="2"/>
      <c r="G99" s="2"/>
      <c r="H99" s="2"/>
      <c r="I99" s="105"/>
      <c r="J99" s="13"/>
    </row>
    <row r="100">
      <c r="A100" s="2"/>
      <c r="B100" s="18" t="s">
        <v>719</v>
      </c>
      <c r="C100" s="90" t="s">
        <v>720</v>
      </c>
      <c r="D100" s="2"/>
      <c r="E100" s="2"/>
      <c r="F100" s="2"/>
      <c r="G100" s="2"/>
      <c r="H100" s="2"/>
      <c r="I100" s="105"/>
      <c r="J100" s="13"/>
    </row>
    <row r="101">
      <c r="A101" s="2"/>
      <c r="B101" s="18" t="s">
        <v>721</v>
      </c>
      <c r="C101" s="90" t="s">
        <v>722</v>
      </c>
      <c r="D101" s="2"/>
      <c r="E101" s="2"/>
      <c r="F101" s="2"/>
      <c r="G101" s="2"/>
      <c r="H101" s="2"/>
      <c r="I101" s="105"/>
      <c r="J101" s="13"/>
    </row>
    <row r="102">
      <c r="A102" s="2"/>
      <c r="B102" s="18"/>
      <c r="C102" s="2"/>
      <c r="D102" s="2"/>
      <c r="E102" s="2"/>
      <c r="F102" s="2"/>
      <c r="G102" s="2"/>
      <c r="H102" s="2"/>
      <c r="I102" s="105"/>
      <c r="J102" s="13"/>
    </row>
    <row r="103">
      <c r="A103" s="2"/>
      <c r="B103" s="27" t="s">
        <v>723</v>
      </c>
      <c r="C103" s="33"/>
      <c r="D103" s="33"/>
      <c r="E103" s="33"/>
      <c r="F103" s="33"/>
      <c r="G103" s="33"/>
      <c r="H103" s="33"/>
      <c r="I103" s="109"/>
      <c r="J103" s="13"/>
    </row>
    <row r="104" ht="34.5">
      <c r="A104" s="2"/>
      <c r="B104" s="62" t="s">
        <v>625</v>
      </c>
      <c r="C104" s="120" t="s">
        <v>724</v>
      </c>
      <c r="D104" s="120" t="s">
        <v>725</v>
      </c>
      <c r="E104" s="120" t="s">
        <v>726</v>
      </c>
      <c r="F104" s="120" t="s">
        <v>727</v>
      </c>
      <c r="G104" s="120" t="s">
        <v>728</v>
      </c>
      <c r="H104" s="120" t="s">
        <v>729</v>
      </c>
      <c r="I104" s="120" t="s">
        <v>730</v>
      </c>
      <c r="J104" s="53" t="s">
        <v>731</v>
      </c>
    </row>
    <row r="105">
      <c r="A105" s="2"/>
      <c r="B105" s="91">
        <v>45747</v>
      </c>
      <c r="C105" s="92">
        <v>45799</v>
      </c>
      <c r="D105" s="44">
        <v>0.6</v>
      </c>
      <c r="E105" s="44">
        <v>1</v>
      </c>
      <c r="F105" s="44">
        <v>0.61</v>
      </c>
      <c r="G105" s="44">
        <v>1</v>
      </c>
      <c r="H105" s="12">
        <v>1005.93</v>
      </c>
      <c r="I105" s="124">
        <v>1021.78</v>
      </c>
      <c r="J105" s="13"/>
    </row>
    <row r="106">
      <c r="A106" s="2"/>
      <c r="B106" s="91">
        <v>45838</v>
      </c>
      <c r="C106" s="92">
        <v>45862</v>
      </c>
      <c r="D106" s="44">
        <v>0.68</v>
      </c>
      <c r="E106" s="44">
        <v>0.93</v>
      </c>
      <c r="F106" s="44">
        <v>0.68</v>
      </c>
      <c r="G106" s="44">
        <v>0.93</v>
      </c>
      <c r="H106" s="12">
        <v>900.39</v>
      </c>
      <c r="I106" s="124">
        <v>964.54</v>
      </c>
      <c r="J106" s="13"/>
    </row>
    <row r="107">
      <c r="A107" s="2"/>
      <c r="B107" s="91">
        <v>45930</v>
      </c>
      <c r="C107" s="92">
        <v>45953</v>
      </c>
      <c r="D107" s="44">
        <v>1.58</v>
      </c>
      <c r="E107" s="44">
        <v>1.82</v>
      </c>
      <c r="F107" s="44">
        <v>1.58</v>
      </c>
      <c r="G107" s="44">
        <v>1.82</v>
      </c>
      <c r="H107" s="12">
        <v>1418.34</v>
      </c>
      <c r="I107" s="124">
        <v>1430.84</v>
      </c>
      <c r="J107" s="13"/>
    </row>
    <row r="108">
      <c r="A108" s="2"/>
      <c r="B108" s="91">
        <v>46022</v>
      </c>
      <c r="C108" s="92">
        <v>46051</v>
      </c>
      <c r="D108" s="44">
        <v>2.77</v>
      </c>
      <c r="E108" s="44">
        <v>3.33</v>
      </c>
      <c r="F108" s="44">
        <v>2.76</v>
      </c>
      <c r="G108" s="44">
        <v>3.33</v>
      </c>
      <c r="H108" s="12">
        <v>1869.04</v>
      </c>
      <c r="I108" s="124">
        <v>1957.55</v>
      </c>
      <c r="J108" s="13"/>
    </row>
    <row r="109">
      <c r="A109" s="2"/>
      <c r="B109" s="91">
        <v>46112</v>
      </c>
      <c r="C109" s="92">
        <v>46163</v>
      </c>
      <c r="D109" s="44">
        <v>0.83</v>
      </c>
      <c r="E109" s="44">
        <v>0.96</v>
      </c>
      <c r="F109" s="44">
        <v>0.83</v>
      </c>
      <c r="G109" s="44">
        <v>0.96</v>
      </c>
      <c r="H109" s="12">
        <v>1085.45</v>
      </c>
      <c r="I109" s="124">
        <v>1119.37</v>
      </c>
      <c r="J109" s="13"/>
    </row>
    <row r="110">
      <c r="A110" s="2"/>
      <c r="B110" s="91">
        <v>46203</v>
      </c>
      <c r="C110" s="92">
        <v>46226</v>
      </c>
      <c r="D110" s="44">
        <v>0.87</v>
      </c>
      <c r="E110" s="44">
        <v>0.94</v>
      </c>
      <c r="F110" s="44">
        <v>0.87</v>
      </c>
      <c r="G110" s="44">
        <v>0.94</v>
      </c>
      <c r="H110" s="12">
        <v>1017.98</v>
      </c>
      <c r="I110" s="124">
        <v>1019.53</v>
      </c>
      <c r="J110" s="13"/>
    </row>
    <row r="111">
      <c r="A111" s="2"/>
      <c r="B111" s="18"/>
      <c r="C111" s="2"/>
      <c r="D111" s="2"/>
      <c r="E111" s="2"/>
      <c r="F111" s="2"/>
      <c r="G111" s="2"/>
      <c r="H111" s="2"/>
      <c r="I111" s="105"/>
      <c r="J111" s="13"/>
    </row>
    <row r="112">
      <c r="A112" s="2"/>
      <c r="B112" s="18"/>
      <c r="C112" s="2"/>
      <c r="D112" s="2"/>
      <c r="E112" s="2"/>
      <c r="F112" s="2"/>
      <c r="G112" s="2"/>
      <c r="H112" s="2"/>
      <c r="I112" s="105"/>
      <c r="J112" s="13"/>
    </row>
    <row r="113">
      <c r="I113" s="106"/>
    </row>
    <row r="114">
      <c r="I114" s="106"/>
    </row>
    <row r="115">
      <c r="I115" s="106"/>
    </row>
    <row r="116">
      <c r="I116" s="106"/>
    </row>
  </sheetData>
</worksheet>
</file>