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Credit Card" sheetId="3"/>
    <sheet r:id="rId4" name="Segment - Consumer Banking" sheetId="4"/>
    <sheet r:id="rId5" name="Segment - Commercial Banking" sheetId="5"/>
    <sheet r:id="rId6" name="Income Statement" sheetId="6"/>
    <sheet r:id="rId7" name="Balance Sheet" sheetId="7"/>
    <sheet r:id="rId8" name="Cash Flow Statement" sheetId="8"/>
    <sheet r:id="rId9" name="Share Count" sheetId="9"/>
    <sheet r:id="rId10" name="Guidance" sheetId="10"/>
    <sheet r:id="rId11" name="Sources" sheetId="11"/>
    <sheet r:id="rId12" name="Inputs" sheetId="12"/>
  </sheets>
  <calcPr calcId="0" iterateCount="100" iterateDelta="0.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27" authorId="0">
      <text>
        <r>
          <rPr>
            <sz val="9"/>
            <color rgb="FF000000"/>
            <rFont val="Arial"/>
            <family val="2"/>
          </rPr>
          <t>Probability that reported adjusted diluted EPS is strictly above the frozen CapIQ consensus ($5.50). Starting value from the playbook size/history prior on Inputs, adjusted for quarter-specific evidence.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Capital One gives no quantitative revenue, net income or EPS guidance; linked to the Guidance tab row stating so.</t>
        </r>
      </text>
    </comment>
    <comment ref="H16" authorId="0">
      <text>
        <r>
          <rPr>
            <sz val="9"/>
            <color rgb="FF000000"/>
            <rFont val="Arial"/>
            <family val="2"/>
          </rPr>
          <t>Newer/other public consensus recorded separately (Zacks, 15-Oct-26, S15); the frozen CapIQ snapshot remains the scoring baseline.</t>
        </r>
      </text>
    </comment>
    <comment ref="B30" authorId="0">
      <text>
        <r>
          <rPr>
            <sz val="9"/>
            <color rgb="FF000000"/>
            <rFont val="Arial"/>
            <family val="2"/>
          </rPr>
          <t>PASS when every inline check row is ~0: segments sum to revenue, NII ties to segments, balance sheet balances, deposits/loans tie to segments, cash flow ties to balance sheet cash, EPS = NI / diluted shares, historical EPS/adjusted EPS/total assets match reported, and Cover ties to the statements. Tolerance 0.02 in aggregate (rounding of reported EPS to cents).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14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5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22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23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30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31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34" authorId="0">
      <text>
        <r>
          <rPr>
            <sz val="9"/>
            <color rgb="FF000000"/>
            <rFont val="Arial"/>
            <family val="2"/>
          </rPr>
          <t>"Other" is the issuer's reconciling category (treasury/ALM, taxable-equivalent offsets, unallocated items) - not a business segment, so no separate tab. 3Q26E $115m vs $99-117m over 4Q25-2Q26; lower average cash raises allocated funding benefit.</t>
        </r>
      </text>
    </comment>
    <comment ref="B38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39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45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46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54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55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62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63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70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71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78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79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85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86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95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96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03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04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11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12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19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20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26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27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29" authorId="0">
      <text>
        <r>
          <rPr>
            <sz val="9"/>
            <color rgb="FF000000"/>
            <rFont val="Arial"/>
            <family val="2"/>
          </rPr>
          <t>Should be 0 in every column: sum of segment revenue (incl. Other) less consolidated total net revenue on the Income Statement.</t>
        </r>
      </text>
    </comment>
    <comment ref="B141" authorId="0">
      <text>
        <r>
          <rPr>
            <sz val="9"/>
            <color rgb="FF000000"/>
            <rFont val="Arial"/>
            <family val="2"/>
          </rPr>
          <t>Other = consolidated pre-tax income less the three business segments (treasury, unallocated corporate costs incl. Discover integration). 3Q26E implies Other non-interest expense of ~$362m, equal to 2Q26.</t>
        </r>
      </text>
    </comment>
    <comment ref="B152" authorId="0">
      <text>
        <r>
          <rPr>
            <sz val="9"/>
            <color rgb="FF000000"/>
            <rFont val="Arial"/>
            <family val="2"/>
          </rPr>
          <t>Geo tab omitted. Operations are in the US, UK and Canada, but the FY2025 10-K (Note 18) gives no revenue split by geography; international card loans are $7.8bn of $457.2bn (1.7%) at 30-Jun-26. Effectively all revenue is US.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10" authorId="0">
      <text>
        <r>
          <rPr>
            <sz val="9"/>
            <color rgb="FF000000"/>
            <rFont val="Arial"/>
            <family val="2"/>
          </rPr>
          <t>3Q26E assumption: Aug-26 period-end $260,642m (8-K, 14-Sep-26) plus ~0.7% September growth (Jun-&gt;Sep 2025 seasonal +0.6%).</t>
        </r>
      </text>
    </comment>
    <comment ref="B13" authorId="0">
      <text>
        <r>
          <rPr>
            <sz val="9"/>
            <color rgb="FF000000"/>
            <rFont val="Arial"/>
            <family val="2"/>
          </rPr>
          <t>Personal loans shrinking (Discover brownout; management: bottom ~4Q26). 3Q26E assumes ~-5% Q/Q, in line with 2Q26.</t>
        </r>
      </text>
    </comment>
    <comment ref="B24" authorId="0">
      <text>
        <r>
          <rPr>
            <sz val="9"/>
            <color rgb="FF000000"/>
            <rFont val="Arial"/>
            <family val="2"/>
          </rPr>
          <t>Derived: closing - opening + net charge-offs. Gross originations and repayments are not disclosed for this book; 2Q25 includes loans acquired with Discover (closed 18-May-25).</t>
        </r>
      </text>
    </comment>
    <comment ref="B38" authorId="0">
      <text>
        <r>
          <rPr>
            <sz val="9"/>
            <color rgb="FF000000"/>
            <rFont val="Arial"/>
            <family val="2"/>
          </rPr>
          <t>Sep-26 average assumed ~Aug average + $2.4bn, consistent with Aug-26 period-end $260.6bn and ~0.7% Sep growth.</t>
        </r>
      </text>
    </comment>
    <comment ref="B55" authorId="0">
      <text>
        <r>
          <rPr>
            <sz val="9"/>
            <color rgb="FF000000"/>
            <rFont val="Arial"/>
            <family val="2"/>
          </rPr>
          <t>3Q26E +2.0% Q/Q: legacy Capital One Q3 purchase volume typically +1-3% vs Q2; Discover volume ~flat (brownout), Brex/corporate card modest tailwind.</t>
        </r>
      </text>
    </comment>
    <comment ref="B60" authorId="0">
      <text>
        <r>
          <rPr>
            <sz val="9"/>
            <color rgb="FF000000"/>
            <rFont val="Arial"/>
            <family val="2"/>
          </rPr>
          <t>Derived: total credit card purchase volume less Domestic Card (international card businesses). 3Q26E grown at the domestic rate.</t>
        </r>
      </text>
    </comment>
    <comment ref="B71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72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74" authorId="0">
      <text>
        <r>
          <rPr>
            <sz val="9"/>
            <color rgb="FF000000"/>
            <rFont val="Arial"/>
            <family val="2"/>
          </rPr>
          <t>NII / average loans x 365 / days. 3Q26E 13.75%: 2Q26 13.62% + lower finance-charge suppression as charge-offs fall (revenue reversal $898m in 2Q26) + ~2 weeks of the 17-Sep-26 Fed hike on prime-linked balances; 3Q25-1Q26 ran 13.76-13.80%.</t>
        </r>
      </text>
    </comment>
    <comment ref="B77" authorId="0">
      <text>
        <r>
          <rPr>
            <sz val="9"/>
            <color rgb="FF000000"/>
            <rFont val="Arial"/>
            <family val="2"/>
          </rPr>
          <t>Derived: Credit Card NII less Domestic Card NII.</t>
        </r>
      </text>
    </comment>
    <comment ref="B81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82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84" authorId="0">
      <text>
        <r>
          <rPr>
            <sz val="9"/>
            <color rgb="FF000000"/>
            <rFont val="Arial"/>
            <family val="2"/>
          </rPr>
          <t>3Q26E 14.7% held near 2Q26 (14.74%).</t>
        </r>
      </text>
    </comment>
    <comment ref="B91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92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05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06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08" authorId="0">
      <text>
        <r>
          <rPr>
            <sz val="9"/>
            <color rgb="FF000000"/>
            <rFont val="Arial"/>
            <family val="2"/>
          </rPr>
          <t>Domestic non-interest income / domestic purchase volume, in bps. 3Q26E 97.5bps vs 98.7bps 2Q26 and 95.5bps 3Q25 (net interchange after rewards; Brex corporate card mix).</t>
        </r>
      </text>
    </comment>
    <comment ref="B111" authorId="0">
      <text>
        <r>
          <rPr>
            <sz val="9"/>
            <color rgb="FF000000"/>
            <rFont val="Arial"/>
            <family val="2"/>
          </rPr>
          <t>Derived: Credit Card less Domestic Card non-interest income. 3Q26E $52m ~ average of 3Q25-2Q26 ($46-53m).</t>
        </r>
      </text>
    </comment>
    <comment ref="B115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16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22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23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30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31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37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38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44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45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48" authorId="0">
      <text>
        <r>
          <rPr>
            <sz val="9"/>
            <color rgb="FF000000"/>
            <rFont val="Arial"/>
            <family val="2"/>
          </rPr>
          <t>Annualised (x4) total net revenue / average loans, as reported by the issuer.</t>
        </r>
      </text>
    </comment>
    <comment ref="B160" authorId="0">
      <text>
        <r>
          <rPr>
            <sz val="9"/>
            <color rgb="FF000000"/>
            <rFont val="Arial"/>
            <family val="2"/>
          </rPr>
          <t>Sep-26 assumed in line with Jul/Aug ($881m/$892m); management (16-Sep-26) said charge-offs running better than seasonal.</t>
        </r>
      </text>
    </comment>
    <comment ref="B187" authorId="0">
      <text>
        <r>
          <rPr>
            <sz val="9"/>
            <color rgb="FF000000"/>
            <rFont val="Arial"/>
            <family val="2"/>
          </rPr>
          <t>3Q26E column shows the latest observed month-end (Aug-26, 3.57%) from the 8-K; September not yet disclosed at cutoff.</t>
        </r>
      </text>
    </comment>
    <comment ref="B203" authorId="0">
      <text>
        <r>
          <rPr>
            <sz val="9"/>
            <color rgb="FF000000"/>
            <rFont val="Arial"/>
            <family val="2"/>
          </rPr>
          <t>3Q26E domestic coverage 6.94% (2Q26 6.99%): continued favourable observed credit (Q3 NCOs ~4.1% vs 4.7% in 2Q26) largely offset by a more cautious macro outlook - peers (Citi card +$208m, JPM firmwide) built reserves in 3Q26 after the 17-Sep-26 Fed hike.</t>
        </r>
      </text>
    </comment>
    <comment ref="B215" authorId="0">
      <text>
        <r>
          <rPr>
            <sz val="9"/>
            <color rgb="FF000000"/>
            <rFont val="Arial"/>
            <family val="2"/>
          </rPr>
          <t>Quarterly change in period-end allowance (build / (release) incl. minor FX "other changes"). 1Q25-3Q25 n/a: segment allowance for 4Q24-2Q25 not captured from supplements.</t>
        </r>
      </text>
    </comment>
    <comment ref="B234" authorId="0">
      <text>
        <r>
          <rPr>
            <sz val="9"/>
            <color rgb="FF000000"/>
            <rFont val="Arial"/>
            <family val="2"/>
          </rPr>
          <t>3Q26E +1.0% Q/Q: one extra day and seasonal marketing uplift, partly offset by absence of Brex closing-quarter costs and Discover opex synergies.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10" authorId="0">
      <text>
        <r>
          <rPr>
            <sz val="9"/>
            <color rgb="FF000000"/>
            <rFont val="Arial"/>
            <family val="2"/>
          </rPr>
          <t>3Q26E: Aug-26 period-end $91,886m (8-K) plus ~1.1% September growth (auto running at low-double-digit Y/Y growth per management, 16-Sep-26).</t>
        </r>
      </text>
    </comment>
    <comment ref="B22" authorId="0">
      <text>
        <r>
          <rPr>
            <sz val="9"/>
            <color rgb="FF000000"/>
            <rFont val="Arial"/>
            <family val="2"/>
          </rPr>
          <t>Derived: closing - opening - originations + net charge-offs (principal repayments, prepayments, sales and other). 2Q25 includes Discover acquired auto/retail balances: none (Discover had no auto book).</t>
        </r>
      </text>
    </comment>
    <comment ref="B46" authorId="0">
      <text>
        <r>
          <rPr>
            <sz val="9"/>
            <color rgb="FF000000"/>
            <rFont val="Arial"/>
            <family val="2"/>
          </rPr>
          <t>3Q26E $13.0bn: flat-to-up vs 2Q26 ($12.9bn, +19% Y/Y); auto growth "low double digits" (Barclays, 16-Sep-26).</t>
        </r>
      </text>
    </comment>
    <comment ref="B59" authorId="0">
      <text>
        <r>
          <rPr>
            <sz val="9"/>
            <color rgb="FF000000"/>
            <rFont val="Arial"/>
            <family val="2"/>
          </rPr>
          <t>3Q26E: modest growth; period-end total deposits fell $4.8bn in 2Q26 while average rose $6.8bn.</t>
        </r>
      </text>
    </comment>
    <comment ref="B72" authorId="0">
      <text>
        <r>
          <rPr>
            <sz val="9"/>
            <color rgb="FF000000"/>
            <rFont val="Arial"/>
            <family val="2"/>
          </rPr>
          <t>3Q26E 2.25%: 2Q26 2.24% and 3Q25 2.26%; lower deposit pricing and auto loan growth offset by slightly higher funding credit dynamics after the September hike.</t>
        </r>
      </text>
    </comment>
    <comment ref="B78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79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92" authorId="0">
      <text>
        <r>
          <rPr>
            <sz val="9"/>
            <color rgb="FF000000"/>
            <rFont val="Arial"/>
            <family val="2"/>
          </rPr>
          <t>3Q26E 40.5bps vs 41.0bps in 2Q26 (debit network revenue synergies fully in run-rate from 2Q26).</t>
        </r>
      </text>
    </comment>
    <comment ref="B98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99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05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106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15" authorId="0">
      <text>
        <r>
          <rPr>
            <sz val="9"/>
            <color rgb="FF000000"/>
            <rFont val="Arial"/>
            <family val="2"/>
          </rPr>
          <t>Seasonal rise into autumn (3Q25 auto NCO rate 1.54% vs 1.25% in 2Q25).</t>
        </r>
      </text>
    </comment>
    <comment ref="B133" authorId="0">
      <text>
        <r>
          <rPr>
            <sz val="9"/>
            <color rgb="FF000000"/>
            <rFont val="Arial"/>
            <family val="2"/>
          </rPr>
          <t>3Q26E column shows latest observed month-end (Aug-26, 4.54%).</t>
        </r>
      </text>
    </comment>
    <comment ref="B155" authorId="0">
      <text>
        <r>
          <rPr>
            <sz val="9"/>
            <color rgb="FF000000"/>
            <rFont val="Arial"/>
            <family val="2"/>
          </rPr>
          <t>Quarterly change in period-end allowance (build / (release) incl. minor FX "other changes"). 1Q25-3Q25 n/a: segment allowance for 4Q24-2Q25 not captured from supplements.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21" authorId="0">
      <text>
        <r>
          <rPr>
            <sz val="9"/>
            <color rgb="FF000000"/>
            <rFont val="Arial"/>
            <family val="2"/>
          </rPr>
          <t>Derived: closing - opening + net charge-offs. Gross originations and repayments are not disclosed for this book; 2Q25 includes loans acquired with Discover (closed 18-May-25).</t>
        </r>
      </text>
    </comment>
    <comment ref="B57" authorId="0">
      <text>
        <r>
          <rPr>
            <sz val="9"/>
            <color rgb="FF000000"/>
            <rFont val="Arial"/>
            <family val="2"/>
          </rPr>
          <t>3Q26E 2.60%: range 2.57%-2.63% over 3Q25-2Q26.</t>
        </r>
      </text>
    </comment>
    <comment ref="B63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64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66" authorId="0">
      <text>
        <r>
          <rPr>
            <sz val="9"/>
            <color rgb="FF000000"/>
            <rFont val="Arial"/>
            <family val="2"/>
          </rPr>
          <t>3Q26E $290m: below the 3Q25-1Q26 run-rate ($318-356m) but above the weak 2Q26 ($265m); capital-markets/advisory fees are volatile.</t>
        </r>
      </text>
    </comment>
    <comment ref="B70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71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77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78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125" authorId="0">
      <text>
        <r>
          <rPr>
            <sz val="9"/>
            <color rgb="FF000000"/>
            <rFont val="Arial"/>
            <family val="2"/>
          </rPr>
          <t>Quarterly change in period-end allowance (build / (release) incl. minor FX "other changes"). 1Q25-3Q25 n/a: segment allowance for 4Q24-2Q25 not captured from supplements.</t>
        </r>
      </text>
    </comment>
    <comment ref="B128" authorId="0">
      <text>
        <r>
          <rPr>
            <sz val="9"/>
            <color rgb="FF000000"/>
            <rFont val="Arial"/>
            <family val="2"/>
          </rPr>
          <t>Reserve for unfunded lending commitments (Commercial Banking): 4Q25 +7, 1Q26 -9, 2Q26 +9. 3Q26E +5 assumption.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10" authorId="0">
      <text>
        <r>
          <rPr>
            <sz val="9"/>
            <color rgb="FF000000"/>
            <rFont val="Arial"/>
            <family val="2"/>
          </rPr>
          <t>3Q26E derived: total NII (sum of segment NII on Revenue summary) + modelled interest expense - securities and other interest income. Implied loan yield shown on Balance Sheet.</t>
        </r>
      </text>
    </comment>
    <comment ref="B42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43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47" authorId="0">
      <text>
        <r>
          <rPr>
            <sz val="9"/>
            <color rgb="FF000000"/>
            <rFont val="Arial"/>
            <family val="2"/>
          </rPr>
          <t>3Q26E grown with total credit card purchase volume (Segment - Credit Card).</t>
        </r>
      </text>
    </comment>
    <comment ref="B51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52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54" authorId="0">
      <text>
        <r>
          <rPr>
            <sz val="9"/>
            <color rgb="FF000000"/>
            <rFont val="Arial"/>
            <family val="2"/>
          </rPr>
          <t>3Q26E $815m: flat-to-slightly up vs $808-849m over the last four quarters.</t>
        </r>
      </text>
    </comment>
    <comment ref="B58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59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61" authorId="0">
      <text>
        <r>
          <rPr>
            <sz val="9"/>
            <color rgb="FF000000"/>
            <rFont val="Arial"/>
            <family val="2"/>
          </rPr>
          <t>3Q26E derived: total non-interest income from segment build less interchange and service charges.</t>
        </r>
      </text>
    </comment>
    <comment ref="B65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66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72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73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79" authorId="0">
      <text>
        <r>
          <rPr>
            <sz val="9"/>
            <color rgb="FF000000"/>
            <rFont val="Arial"/>
            <family val="2"/>
          </rPr>
          <t>Not disclosed by issuer as a quantified revenue contribution (Discover closed 18-May-25; Brex closed 7-Apr-26). Left unavailable, not zero.</t>
        </r>
      </text>
    </comment>
    <comment ref="B80" authorId="0">
      <text>
        <r>
          <rPr>
            <sz val="9"/>
            <color rgb="FF000000"/>
            <rFont val="Arial"/>
            <family val="2"/>
          </rPr>
          <t>FX impact on revenue not disclosed (international card businesses in UK/Canada only). Left unavailable, not zero.</t>
        </r>
      </text>
    </comment>
    <comment ref="B85" authorId="0">
      <text>
        <r>
          <rPr>
            <sz val="9"/>
            <color rgb="FF000000"/>
            <rFont val="Arial"/>
            <family val="2"/>
          </rPr>
          <t>3Q26E = sum of segment provisions (NCOs + allowance build + unfunded commitments).</t>
        </r>
      </text>
    </comment>
    <comment ref="B89" authorId="0">
      <text>
        <r>
          <rPr>
            <sz val="9"/>
            <color rgb="FF000000"/>
            <rFont val="Arial"/>
            <family val="2"/>
          </rPr>
          <t>3Q26E +0.8% Q/Q (one extra day; partial Discover opex synergies).</t>
        </r>
      </text>
    </comment>
    <comment ref="B95" authorId="0">
      <text>
        <r>
          <rPr>
            <sz val="9"/>
            <color rgb="FF000000"/>
            <rFont val="Arial"/>
            <family val="2"/>
          </rPr>
          <t>3Q26E +4% Q/Q: management flagged an upward slope in 2H marketing and incremental Discover front-book marketing (Q2 call; Barclays 16-Sep-26). 3Q25 was +4% vs 2Q25.</t>
        </r>
      </text>
    </comment>
    <comment ref="B104" authorId="0">
      <text>
        <r>
          <rPr>
            <sz val="9"/>
            <color rgb="FF000000"/>
            <rFont val="Arial"/>
            <family val="2"/>
          </rPr>
          <t>Discover/Brex intangibles amortise on an accelerated schedule; 3Q26E $505m.</t>
        </r>
      </text>
    </comment>
    <comment ref="B107" authorId="0">
      <text>
        <r>
          <rPr>
            <sz val="9"/>
            <color rgb="FF000000"/>
            <rFont val="Arial"/>
            <family val="2"/>
          </rPr>
          <t>3Q26E includes ~$300m Discover and ~$80m Brex integration costs (see bridge).</t>
        </r>
      </text>
    </comment>
    <comment ref="B122" authorId="0">
      <text>
        <r>
          <rPr>
            <sz val="9"/>
            <color rgb="FF000000"/>
            <rFont val="Arial"/>
            <family val="2"/>
          </rPr>
          <t>3Q26E 21.0%: 2Q26 20.9%, 1Q26 19.2%; CapIQ consensus effective tax rate 20.57%.</t>
        </r>
      </text>
    </comment>
    <comment ref="B140" authorId="0">
      <text>
        <r>
          <rPr>
            <sz val="9"/>
            <color rgb="FF000000"/>
            <rFont val="Arial"/>
            <family val="2"/>
          </rPr>
          <t>Allocated to participating securities and computed independently for each period by the issuer, so FY25 (-$26m reported) does not equal the sum of quarters (-$79m); FY column uses the reported annual figure.</t>
        </r>
      </text>
    </comment>
    <comment ref="B143" authorId="0">
      <text>
        <r>
          <rPr>
            <sz val="9"/>
            <color rgb="FF000000"/>
            <rFont val="Arial"/>
            <family val="2"/>
          </rPr>
          <t>Preferred dividends alternate $57m/$73m by quarter (semi-annual coupons); 3Q pattern = $73m (3Q25, 1Q26).</t>
        </r>
      </text>
    </comment>
    <comment ref="B167" authorId="0">
      <text>
        <r>
          <rPr>
            <sz val="9"/>
            <color rgb="FF000000"/>
            <rFont val="Arial"/>
            <family val="2"/>
          </rPr>
          <t>0 when recomputed EPS (NI to common / diluted shares) matches the reported figure within one cent of rounding.</t>
        </r>
      </text>
    </comment>
    <comment ref="B188" authorId="0">
      <text>
        <r>
          <rPr>
            <sz val="9"/>
            <color rgb="FF000000"/>
            <rFont val="Arial"/>
            <family val="2"/>
          </rPr>
          <t>Purchase-accounting amortization in non-interest expense (Discover, and Brex from 2Q26). 3Q26E $515m vs $518m in 2Q26.</t>
        </r>
      </text>
    </comment>
    <comment ref="B191" authorId="0">
      <text>
        <r>
          <rPr>
            <sz val="9"/>
            <color rgb="FF000000"/>
            <rFont val="Arial"/>
            <family val="2"/>
          </rPr>
          <t>Loan and deposit fair-value mark amortization in revenue; negative = net accretion benefit in GAAP revenue. 3Q26E -$25m (2Q26 -$24m).</t>
        </r>
      </text>
    </comment>
    <comment ref="B197" authorId="0">
      <text>
        <r>
          <rPr>
            <sz val="9"/>
            <color rgb="FF000000"/>
            <rFont val="Arial"/>
            <family val="2"/>
          </rPr>
          <t>3Q26E $300m: back-book conversion waves in Jul-26 and Oct-26; integration ~24 months to mid-2027.</t>
        </r>
      </text>
    </comment>
    <comment ref="B218" authorId="0">
      <text>
        <r>
          <rPr>
            <sz val="9"/>
            <color rgb="FF000000"/>
            <rFont val="Arial"/>
            <family val="2"/>
          </rPr>
          <t>3Q26E 24.7% (1Q26 24.8%, 2Q26 24.7%).</t>
        </r>
      </text>
    </comment>
    <comment ref="B227" authorId="0">
      <text>
        <r>
          <rPr>
            <sz val="9"/>
            <color rgb="FF000000"/>
            <rFont val="Arial"/>
            <family val="2"/>
          </rPr>
          <t>EPS on the consensus basis: issuer "adjusted net income per diluted common share" = CapIQ normalized diluted EPS (history matches CapIQ actuals 4.06/5.48/5.95/3.86/4.42/5.81).</t>
        </r>
      </text>
    </comment>
    <comment ref="B233" authorId="0">
      <text>
        <r>
          <rPr>
            <sz val="9"/>
            <color rgb="FF000000"/>
            <rFont val="Arial"/>
            <family val="2"/>
          </rPr>
          <t>0 when recomputed adjusted EPS matches the issuer figure within one cent (issuer adds separately rounded per-share impacts).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11" authorId="0">
      <text>
        <r>
          <rPr>
            <sz val="9"/>
            <color rgb="FF000000"/>
            <rFont val="Arial"/>
            <family val="2"/>
          </rPr>
          <t>3Q26E balancing item: total liabilities + equity less all other assets.</t>
        </r>
      </text>
    </comment>
    <comment ref="B19" authorId="0">
      <text>
        <r>
          <rPr>
            <sz val="9"/>
            <color rgb="FF000000"/>
            <rFont val="Arial"/>
            <family val="2"/>
          </rPr>
          <t>3Q26E = sum of segment period-end loans (Credit Card + Consumer Banking + Commercial Banking).</t>
        </r>
      </text>
    </comment>
    <comment ref="B38" authorId="0">
      <text>
        <r>
          <rPr>
            <sz val="9"/>
            <color rgb="FF000000"/>
            <rFont val="Arial"/>
            <family val="2"/>
          </rPr>
          <t>3Q26E = total deposits (sum of segment period-end deposits, memo below) less non-interest-bearing deposits.</t>
        </r>
      </text>
    </comment>
    <comment ref="B47" authorId="0">
      <text>
        <r>
          <rPr>
            <sz val="9"/>
            <color rgb="FF000000"/>
            <rFont val="Arial"/>
            <family val="2"/>
          </rPr>
          <t>3Q26E = prior + provision for unfunded lending commitments (reserve sits in other liabilities).</t>
        </r>
      </text>
    </comment>
    <comment ref="B54" authorId="0">
      <text>
        <r>
          <rPr>
            <sz val="9"/>
            <color rgb="FF000000"/>
            <rFont val="Arial"/>
            <family val="2"/>
          </rPr>
          <t>3Q26E = prior + net income - common dividends - preferred dividends (2Q26 roll: 66,788 + 3,020 - 501 - 57 = 69,250).</t>
        </r>
      </text>
    </comment>
    <comment ref="B59" authorId="0">
      <text>
        <r>
          <rPr>
            <sz val="9"/>
            <color rgb="FF000000"/>
            <rFont val="Arial"/>
            <family val="2"/>
          </rPr>
          <t>Should be 0 in every column.</t>
        </r>
      </text>
    </comment>
    <comment ref="B81" authorId="0">
      <text>
        <r>
          <rPr>
            <sz val="9"/>
            <color rgb="FF000000"/>
            <rFont val="Arial"/>
            <family val="2"/>
          </rPr>
          <t>3Q26E $56bn: period-end cash fell ~$22bn to ~$55bn at 30-Jun-26; CFO guided to a 3Q NIM catch-up as average cash converges to ending cash.</t>
        </r>
      </text>
    </comment>
    <comment ref="B103" authorId="0">
      <text>
        <r>
          <rPr>
            <sz val="9"/>
            <color rgb="FF000000"/>
            <rFont val="Arial"/>
            <family val="2"/>
          </rPr>
          <t>3Q26E is an output (implied by segment NII build); a sanity check against the 13.27% 2Q26 day-adjusted loan yield.</t>
        </r>
      </text>
    </comment>
    <comment ref="B109" authorId="0">
      <text>
        <r>
          <rPr>
            <sz val="9"/>
            <color rgb="FF000000"/>
            <rFont val="Arial"/>
            <family val="2"/>
          </rPr>
          <t>3Q26E 3.76%: 2Q26 3.71% + Fed hike of 25bp effective 17-Sep-26 (IORB 3.90%).</t>
        </r>
      </text>
    </comment>
    <comment ref="B112" authorId="0">
      <text>
        <r>
          <rPr>
            <sz val="9"/>
            <color rgb="FF000000"/>
            <rFont val="Arial"/>
            <family val="2"/>
          </rPr>
          <t>3Q26E 2.86% (2Q26 2.92%, 1Q26 3.04% day-adjusted): continued retail rate-paid decline, partly offset by ~2 weeks of the September hike.</t>
        </r>
      </text>
    </comment>
    <comment ref="B124" authorId="0">
      <text>
        <r>
          <rPr>
            <sz val="9"/>
            <color rgb="FF000000"/>
            <rFont val="Arial"/>
            <family val="2"/>
          </rPr>
          <t>Annualised (x4) NII / average interest-earning assets, as reported.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12" authorId="0">
      <text>
        <r>
          <rPr>
            <sz val="9"/>
            <color rgb="FF000000"/>
            <rFont val="Arial"/>
            <family val="2"/>
          </rPr>
          <t>3Q26E = intangible amortization + assumed P&amp;E depreciation only. Other non-cash amortization in the reported line (loan/deposit fair-value marks, deferred costs; ~$0.7bn/qtr implied by 1H26) is not modelled, so forecast CFO is understated vs history. No EPS impact.</t>
        </r>
      </text>
    </comment>
    <comment ref="B14" authorId="0">
      <text>
        <r>
          <rPr>
            <sz val="9"/>
            <color rgb="FF000000"/>
            <rFont val="Arial"/>
            <family val="2"/>
          </rPr>
          <t>3Q26E $170m: 1H26 $346m.</t>
        </r>
      </text>
    </comment>
    <comment ref="B15" authorId="0">
      <text>
        <r>
          <rPr>
            <sz val="9"/>
            <color rgb="FF000000"/>
            <rFont val="Arial"/>
            <family val="2"/>
          </rPr>
          <t>Historical: derived as reported CFO less listed items. 3Q26E: changes in other balance-sheet working items (held flat).</t>
        </r>
      </text>
    </comment>
    <comment ref="B23" authorId="0">
      <text>
        <r>
          <rPr>
            <sz val="9"/>
            <color rgb="FF000000"/>
            <rFont val="Arial"/>
            <family val="2"/>
          </rPr>
          <t>Historical incl. principal recoveries (2026 presentation). 3Q26E = -(change in gross loans HFI + net charge-offs).</t>
        </r>
      </text>
    </comment>
    <comment ref="B24" authorId="0">
      <text>
        <r>
          <rPr>
            <sz val="9"/>
            <color rgb="FF000000"/>
            <rFont val="Arial"/>
            <family val="2"/>
          </rPr>
          <t>3Q26E -$460m: in line with 1H26 run-rate ($920m for six months).</t>
        </r>
      </text>
    </comment>
    <comment ref="B30" authorId="0">
      <text>
        <r>
          <rPr>
            <sz val="9"/>
            <color rgb="FF000000"/>
            <rFont val="Arial"/>
            <family val="2"/>
          </rPr>
          <t>3Q26E $1,760m: EUR1.5bn senior notes (EUR750m 2032s + EUR750m 2037s) priced Sep-26 (8-K).</t>
        </r>
      </text>
    </comment>
    <comment ref="B31" authorId="0">
      <text>
        <r>
          <rPr>
            <sz val="9"/>
            <color rgb="FF000000"/>
            <rFont val="Arial"/>
            <family val="2"/>
          </rPr>
          <t>3Q26E -$1,500m assumed senior note maturities/paydowns (not disclosed at cutoff).</t>
        </r>
      </text>
    </comment>
    <comment ref="B42" authorId="0">
      <text>
        <r>
          <rPr>
            <sz val="9"/>
            <color rgb="FF000000"/>
            <rFont val="Arial"/>
            <family val="2"/>
          </rPr>
          <t>Should be 0 in every column: the change in cash ties to the Balance Sheet (cash, cash equivalents and restricted cash for securitization investors).</t>
        </r>
      </text>
    </comment>
    <comment ref="B44" authorId="0">
      <text>
        <r>
          <rPr>
            <sz val="9"/>
            <color rgb="FF000000"/>
            <rFont val="Arial"/>
            <family val="2"/>
          </rPr>
          <t>Not separately disclosed; assumption used to roll premises &amp; equipment (capex less depreciation).</t>
        </r>
      </text>
    </comment>
    <comment ref="B45" authorId="0">
      <text>
        <r>
          <rPr>
            <sz val="9"/>
            <color rgb="FF000000"/>
            <rFont val="Arial"/>
            <family val="2"/>
          </rPr>
          <t>Capital One does not define or report free cash flow; left unavailable rather than constructed.</t>
        </r>
      </text>
    </comment>
    <comment ref="B49" authorId="0">
      <text>
        <r>
          <rPr>
            <sz val="9"/>
            <color rgb="FF000000"/>
            <rFont val="Arial"/>
            <family val="2"/>
          </rPr>
          <t>Linked to the Income Statement rather than retyped; equals the YTD figure in the 10-Q/10-K cash flow statement (S7-S10).</t>
        </r>
      </text>
    </comment>
    <comment ref="B50" authorId="0">
      <text>
        <r>
          <rPr>
            <sz val="9"/>
            <color rgb="FF000000"/>
            <rFont val="Arial"/>
            <family val="2"/>
          </rPr>
          <t>Linked to the Income Statement rather than retyped; equals the YTD figure in the 10-Q/10-K cash flow statement (S7-S10).</t>
        </r>
      </text>
    </comment>
    <comment ref="B46" authorId="0">
      <text>
        <r>
          <rPr>
            <sz val="9"/>
            <color rgb="FF000000"/>
            <rFont val="Arial"/>
            <family val="2"/>
          </rPr>
          <t>Analyst memo only: net cash from operating activities less premises &amp; equipment. Not an issuer-defined free cash flow measure.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B14" authorId="0">
      <text>
        <r>
          <rPr>
            <sz val="9"/>
            <color rgb="FF000000"/>
            <rFont val="Arial"/>
            <family val="2"/>
          </rPr>
          <t>Historical = purchases of treasury stock per cash flow statement. 3Q26E $2.5bn: 1Q26 $2.5bn and 2Q26 $2.7bn (press releases), CET1 13.7% vs 11% long-term need, $16bn authorisation (21-Oct-25) with ~$8.6bn remaining after 2Q26.</t>
        </r>
      </text>
    </comment>
    <comment ref="B17" authorId="0">
      <text>
        <r>
          <rPr>
            <sz val="9"/>
            <color rgb="FF000000"/>
            <rFont val="Arial"/>
            <family val="2"/>
          </rPr>
          <t>1Q26: 12,073,854 shares for $2,499.89m (MarketScreener tranche update, 7-May-26). 2Q26: 14 million shares for $2.7bn (2Q26 presentation). 2025 quarterly share counts not captured.</t>
        </r>
      </text>
    </comment>
    <comment ref="B20" authorId="0">
      <text>
        <r>
          <rPr>
            <sz val="9"/>
            <color rgb="FF000000"/>
            <rFont val="Arial"/>
            <family val="2"/>
          </rPr>
          <t>3Q26E $200: COF traded ~$190-215 in 3Q26 (market cap $131.9bn on 16-Jul-26, $118.5bn on 30-Sep-26; 613.5m shares).</t>
        </r>
      </text>
    </comment>
    <comment ref="B26" authorId="0">
      <text>
        <r>
          <rPr>
            <sz val="9"/>
            <color rgb="FF000000"/>
            <rFont val="Arial"/>
            <family val="2"/>
          </rPr>
          <t>Derived = change in period-end shares + shares repurchased. 2Q26 includes Brex stock consideration (~11.6m). 3Q26E 0.6m (employee awards).</t>
        </r>
      </text>
    </comment>
    <comment ref="B30" authorId="0">
      <text>
        <r>
          <rPr>
            <sz val="9"/>
            <color rgb="FF000000"/>
            <rFont val="Arial"/>
            <family val="2"/>
          </rPr>
          <t>3Q26E = opening period-end shares less half of the quarter's repurchases plus half of issuance (even timing).</t>
        </r>
      </text>
    </comment>
    <comment ref="B59" authorId="0">
      <text>
        <r>
          <rPr>
            <sz val="9"/>
            <color rgb="FF000000"/>
            <rFont val="Arial"/>
            <family val="2"/>
          </rPr>
          <t>Should be 0: Share Count EPS recomputed from net income and diluted shares equals Income Statement GAAP and adjusted EPS.</t>
        </r>
      </text>
    </comment>
    <comment ref="B64" authorId="0">
      <text>
        <r>
          <rPr>
            <sz val="9"/>
            <color rgb="FF000000"/>
            <rFont val="Arial"/>
            <family val="2"/>
          </rPr>
          <t>Last close per CapIQ snapshot (16-Oct-26 close $201.74); used only for market cap, not as an earnings input.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6" authorId="0">
      <text>
        <r>
          <rPr>
            <sz val="9"/>
            <color rgb="FF000000"/>
            <rFont val="Arial"/>
            <family val="2"/>
          </rPr>
          <t>Defined as a long-term need, not a target; actual = 30-Jun-26 CET1.</t>
        </r>
      </text>
    </comment>
    <comment ref="D7" authorId="0">
      <text>
        <r>
          <rPr>
            <sz val="9"/>
            <color rgb="FF000000"/>
            <rFont val="Arial"/>
            <family val="2"/>
          </rPr>
          <t>Q1 call pointed to 2H25 NIM (8.26%-8.36%) as structural proxy; 2Q26 actual 8.01% held back by ~$5bn excess average cash.</t>
        </r>
      </text>
    </comment>
    <comment ref="D8" authorId="0">
      <text>
        <r>
          <rPr>
            <sz val="9"/>
            <color rgb="FF000000"/>
            <rFont val="Arial"/>
            <family val="2"/>
          </rPr>
          <t>Reiterated on Q2 call; plus 3Q catch-up as average cash falls and +9bp day-count tailwind. Model 3Q26E NIM on Balance Sheet.</t>
        </r>
      </text>
    </comment>
    <comment ref="D9" authorId="0">
      <text>
        <r>
          <rPr>
            <sz val="9"/>
            <color rgb="FF000000"/>
            <rFont val="Arial"/>
            <family val="2"/>
          </rPr>
          <t>One more day in each 2H26 quarter.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Full $2.5bn on track; revenue (debit network) synergies fully in run-rate from 2Q26.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About one-third realised by 2Q26; remainder back-loaded to the tech conversion (mid-2027).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Met: all new Discover originations on Capital One technology from 1-Sep-26 (Barclays, 16-Sep-26).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Qualitative; back-book conversion waves Jul-26, Oct-26, Jan-27.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Qualitative: "upward slope" in 2H vs 1H; incremental marketing for Discover growth.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No quantitative revenue, net income or EPS guidance issued; CapIQ guidance fields blank (a GAAP EPS "Guidance 0.80" value is the dividend line and was excluded).</t>
        </r>
      </text>
    </comment>
  </commentList>
</comments>
</file>

<file path=xl/sharedStrings.xml><?xml version="1.0" encoding="utf-8"?>
<sst xmlns="http://schemas.openxmlformats.org/spreadsheetml/2006/main" count="837" uniqueCount="837">
  <si>
    <t>Capital One Financial Corporation (NYSE: COF)</t>
  </si>
  <si>
    <t>Company Model — built by Shortcut</t>
  </si>
  <si>
    <t>$ millions, except per share</t>
  </si>
  <si>
    <t>Company</t>
  </si>
  <si>
    <t>Capital One Financial Corporation</t>
  </si>
  <si>
    <t>Ticker / exchange</t>
  </si>
  <si>
    <t>COF / NYSE (NYSE:COF)</t>
  </si>
  <si>
    <t>Fiscal year end</t>
  </si>
  <si>
    <t>31-Dec (calendar year)</t>
  </si>
  <si>
    <t>Reporting currency</t>
  </si>
  <si>
    <t>USD; amounts in $ millions</t>
  </si>
  <si>
    <t>Forecast period</t>
  </si>
  <si>
    <t>FQ3 2026 = quarter ended 30-Sep-2026 (supplied label 2026-09-30; calendar month-end, no shorthand)</t>
  </si>
  <si>
    <t>EPS basis</t>
  </si>
  <si>
    <t>Adjusted (normalized) diluted EPS per common share, USD = issuer "adjusted net income per diluted common share" = CapIQ normalized EPS</t>
  </si>
  <si>
    <t>Information cutoff</t>
  </si>
  <si>
    <t>2026-10-18 21:34 UTC</t>
  </si>
  <si>
    <t>Expected report date</t>
  </si>
  <si>
    <t>20-Oct-2026 ~4:05pm ET (issuer, 24-Sep-26); CapIQ snapshot shows 22-Oct-2026 (unconfirmed)</t>
  </si>
  <si>
    <t>Consensus source</t>
  </si>
  <si>
    <t>S&amp;P Capital IQ snapshot 18-Oct-2026: 17 normalized EPS estimates (18 contributors), 12 revenue</t>
  </si>
  <si>
    <t>Author</t>
  </si>
  <si>
    <t>Shortcut</t>
  </si>
  <si>
    <t>Headline (3Q26)</t>
  </si>
  <si>
    <t>3Q26E Shortcut</t>
  </si>
  <si>
    <t>Consensus (cutoff)</t>
  </si>
  <si>
    <t>Variance</t>
  </si>
  <si>
    <t>Variance %</t>
  </si>
  <si>
    <t>Guidance mid.</t>
  </si>
  <si>
    <t>Zacks (15-Oct)</t>
  </si>
  <si>
    <t>Total net revenue ($M)</t>
  </si>
  <si>
    <t>n/a</t>
  </si>
  <si>
    <t>Net income to common – adjusted ($M)</t>
  </si>
  <si>
    <t>Net income to common – GAAP ($M)</t>
  </si>
  <si>
    <t>Adj. diluted EPS (consensus basis)</t>
  </si>
  <si>
    <t>GAAP diluted EPS</t>
  </si>
  <si>
    <t>Pre-tax income – GAAP ($M)</t>
  </si>
  <si>
    <t>Net interest income ($M)</t>
  </si>
  <si>
    <t>Net interest margin</t>
  </si>
  <si>
    <t>Efficiency ratio</t>
  </si>
  <si>
    <t>Provision for credit losses ($M)</t>
  </si>
  <si>
    <t>P(beat consensus EPS)</t>
  </si>
  <si>
    <t>Confidence</t>
  </si>
  <si>
    <t>medium</t>
  </si>
  <si>
    <t>Overall check result</t>
  </si>
  <si>
    <t>PASS</t>
  </si>
  <si>
    <t>Structural only: forecast BS J59 / CF J42 tie by construction (BS J11 = balancing item); not independent financial validation</t>
  </si>
  <si>
    <t>Cover ties to statements (est. – IS)</t>
  </si>
  <si>
    <t>Normalized EPS estimates (n)</t>
  </si>
  <si>
    <t>Consensus EPS range (low–high)</t>
  </si>
  <si>
    <t>5.07 – 5.70</t>
  </si>
  <si>
    <t>Consensus revenue range (low–high)</t>
  </si>
  <si>
    <t>15,870 – 16,418</t>
  </si>
  <si>
    <t>Note: CapIQ net-income consensus (Inputs C50/C51) basis – total NI vs NI to common – is unverified; D18:F19 variances may reflect a basis mismatch (compare IS J134 total NI).</t>
  </si>
  <si>
    <t>Revenue summary – total net revenue by segment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</si>
  <si>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</si>
  <si>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</si>
  <si>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</si>
  <si>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</si>
  <si>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</si>
  <si>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</si>
  <si>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</si>
  <si>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</si>
  <si>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</si>
  <si>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Source</t>
  </si>
  <si>
    <t>Period end</t>
  </si>
  <si>
    <t>Days in period</t>
  </si>
  <si>
    <t>Net interest income by segment</t>
  </si>
  <si>
    <t>Credit Card</t>
  </si>
  <si>
    <t>% Q/Q</t>
  </si>
  <si>
    <t>% of total</t>
  </si>
  <si>
    <t>Total growth Y/Y</t>
  </si>
  <si>
    <t>M&amp;A / scope impact</t>
  </si>
  <si>
    <t>FX impact</t>
  </si>
  <si>
    <t>Organic growth</t>
  </si>
  <si>
    <t>% Y/Y</t>
  </si>
  <si>
    <t>Consumer Banking</t>
  </si>
  <si>
    <t>Commercial Banking</t>
  </si>
  <si>
    <t>Other (treasury, TE offsets)</t>
  </si>
  <si>
    <t>S3/S6 T13; J: forecast assumption (115)</t>
  </si>
  <si>
    <t>n/m</t>
  </si>
  <si>
    <t>Total net interest income</t>
  </si>
  <si>
    <t>Non-interest income by segment</t>
  </si>
  <si>
    <t>D: 2Q25 includes Discover from acquisition close; not organic</t>
  </si>
  <si>
    <t>Other</t>
  </si>
  <si>
    <t>S3/S6 T13; J: forecast assumption (−80)</t>
  </si>
  <si>
    <t>Total non-interest income</t>
  </si>
  <si>
    <t>Total net revenue by segment</t>
  </si>
  <si>
    <t>Total net revenue</t>
  </si>
  <si>
    <t>Check: segments – total revenue</t>
  </si>
  <si>
    <t>Check: NII + non-II – total</t>
  </si>
  <si>
    <t>Pre-tax income by segment (reconciliation)</t>
  </si>
  <si>
    <t>Δ Q/Q (abs.)</t>
  </si>
  <si>
    <t>Other (derived)</t>
  </si>
  <si>
    <t>Consolidated pre-tax income</t>
  </si>
  <si>
    <t>Memo</t>
  </si>
  <si>
    <t>Domestic Card revenue</t>
  </si>
  <si>
    <t>Domestic Card % of total</t>
  </si>
  <si>
    <t>Geography: effectively all US</t>
  </si>
  <si>
    <t>Segment – Credit Card (Domestic Card, Personal Loans, International Card)</t>
  </si>
  <si>
    <t>Comparability: Discover acquisition closed in 2Q25 – 2Q25 Q/Q (D) and 1Q26/2Q26 Y/Y (H:I) growth is not organic; history unchanged</t>
  </si>
  <si>
    <t>Loans held for investment – period-end</t>
  </si>
  <si>
    <t>Domestic card</t>
  </si>
  <si>
    <t>S3/S6 T7; J: Sep-end forecast assumption anchored to S12 Aug-26 data (S12 Aug-31 period-end 260,642) – not an S12 value; +$1bn loans ≈ −$0.089 EPS via allowance build, all else fixed</t>
  </si>
  <si>
    <t>H:I Y/Y vs pre-/partly pre-Discover base (acquisition closed 2Q25) – not comparable</t>
  </si>
  <si>
    <t>Personal loans</t>
  </si>
  <si>
    <t>S3/S6 T7</t>
  </si>
  <si>
    <t>International card</t>
  </si>
  <si>
    <t>Total credit card loans</t>
  </si>
  <si>
    <t>Loan roll-forward (period-end)</t>
  </si>
  <si>
    <t>Opening loans</t>
  </si>
  <si>
    <t>S6 T7 (4Q24 close)</t>
  </si>
  <si>
    <t>Net new lending / acquired (derived)</t>
  </si>
  <si>
    <t>Net charge-offs (runoff)</t>
  </si>
  <si>
    <t>Closing loans</t>
  </si>
  <si>
    <t>Net change in loans</t>
  </si>
  <si>
    <t>Net growth % of opening</t>
  </si>
  <si>
    <t>D, G: growth spans Discover acquisition (2Q25) – not organic</t>
  </si>
  <si>
    <t>NCO runoff % of opening (annualised)</t>
  </si>
  <si>
    <t>G: n/m – FY vs pre-acquisition opening</t>
  </si>
  <si>
    <t>Average loans (period)</t>
  </si>
  <si>
    <t>Average / closing loans</t>
  </si>
  <si>
    <t>G: n/m – FY avg. spans acquisition</t>
  </si>
  <si>
    <t>Average loans held for investment</t>
  </si>
  <si>
    <t>Jul-26 average (8-K)</t>
  </si>
  <si>
    <t>S11</t>
  </si>
  <si>
    <t>Aug-26 average (8-K)</t>
  </si>
  <si>
    <t>S12</t>
  </si>
  <si>
    <t>Sep-26 average (assumption)</t>
  </si>
  <si>
    <t>Assumption</t>
  </si>
  <si>
    <t>Total average loans</t>
  </si>
  <si>
    <t>Domestic % of average loans</t>
  </si>
  <si>
    <t>Purchase volume</t>
  </si>
  <si>
    <t>Domestic card purchase volume</t>
  </si>
  <si>
    <t>S3/S6 T10</t>
  </si>
  <si>
    <t>Domestic PV % Q/Q (J: assumption)</t>
  </si>
  <si>
    <t>J: assumption</t>
  </si>
  <si>
    <t>Δ Q/Q (bps)</t>
  </si>
  <si>
    <t>Δ Y/Y (bps)</t>
  </si>
  <si>
    <t>n/m – Y/Y of a Q/Q growth rate</t>
  </si>
  <si>
    <t>Other card purchase volume</t>
  </si>
  <si>
    <t>Total credit card purchase volume</t>
  </si>
  <si>
    <t>Net interest income build</t>
  </si>
  <si>
    <t>Domestic card NII</t>
  </si>
  <si>
    <t>Domestic NII yield (day-adj.)</t>
  </si>
  <si>
    <t>Derived; J: assumption</t>
  </si>
  <si>
    <t>Personal loans + intl. card NII</t>
  </si>
  <si>
    <t>Pers.+intl. NII yield (day-adj.)</t>
  </si>
  <si>
    <t>Credit Card net interest income</t>
  </si>
  <si>
    <t>S3/S6 T9-T10</t>
  </si>
  <si>
    <t>Credit Card NII yield (day-adj.)</t>
  </si>
  <si>
    <t>Derived</t>
  </si>
  <si>
    <t>Avg. yield on loans (reported)</t>
  </si>
  <si>
    <t>Non-interest income build</t>
  </si>
  <si>
    <t>Domestic card non-interest income</t>
  </si>
  <si>
    <t>Domestic fee rate on PV (bps)</t>
  </si>
  <si>
    <t>Personal + intl. non-interest income</t>
  </si>
  <si>
    <t>Credit Card non-interest income</t>
  </si>
  <si>
    <t>Personal + intl. card revenue</t>
  </si>
  <si>
    <t>Credit Card total net revenue</t>
  </si>
  <si>
    <t>Domestic % of segment revenue</t>
  </si>
  <si>
    <t>Revenue margin (reported basis)</t>
  </si>
  <si>
    <t>Domestic revenue margin</t>
  </si>
  <si>
    <t>Credit quality</t>
  </si>
  <si>
    <t>Domestic card NCO rate</t>
  </si>
  <si>
    <t>S3/S6 T7; J: S11/S12</t>
  </si>
  <si>
    <t>Jul-26 domestic NCOs (8-K)</t>
  </si>
  <si>
    <t>Aug-26 domestic NCOs (8-K)</t>
  </si>
  <si>
    <t>Sep-26 domestic NCOs (assumption)</t>
  </si>
  <si>
    <t>Personal loans NCO rate</t>
  </si>
  <si>
    <t>International card NCO rate</t>
  </si>
  <si>
    <t>Domestic card NCOs ($)</t>
  </si>
  <si>
    <t>Personal loans NCOs ($)</t>
  </si>
  <si>
    <t>International card NCOs ($)</t>
  </si>
  <si>
    <t>Credit Card NCOs ($)</t>
  </si>
  <si>
    <t>Credit Card NCO rate (derived)</t>
  </si>
  <si>
    <t>Credit Card NCO rate (reported)</t>
  </si>
  <si>
    <t>Domestic 30+ day DQ rate</t>
  </si>
  <si>
    <t>S3/S6 T7; J: S12</t>
  </si>
  <si>
    <t>Allowance for credit losses (period-end)</t>
  </si>
  <si>
    <t>Allowance – domestic card</t>
  </si>
  <si>
    <t>S3/S5/S6 T8</t>
  </si>
  <si>
    <t>Allowance – personal loans</t>
  </si>
  <si>
    <t>Allowance – international</t>
  </si>
  <si>
    <t>Credit Card allowance</t>
  </si>
  <si>
    <t>Coverage: domestic card</t>
  </si>
  <si>
    <t>Coverage: personal loans</t>
  </si>
  <si>
    <t>Coverage: international</t>
  </si>
  <si>
    <t>Coverage ratio – total</t>
  </si>
  <si>
    <t>Change in allowance (build)</t>
  </si>
  <si>
    <t>Credit Card provision</t>
  </si>
  <si>
    <t>S3/S6 T9</t>
  </si>
  <si>
    <t>Domestic card provision</t>
  </si>
  <si>
    <t>Segment profit</t>
  </si>
  <si>
    <t>Provision for credit losses</t>
  </si>
  <si>
    <t>Non-interest expense</t>
  </si>
  <si>
    <t>Non-int. expense % Q/Q (J: assump.)</t>
  </si>
  <si>
    <t>Pre-tax income</t>
  </si>
  <si>
    <t>Income tax</t>
  </si>
  <si>
    <t>Tax rate (J: assumption)</t>
  </si>
  <si>
    <t>Segment net income</t>
  </si>
  <si>
    <t>Pre-tax margin</t>
  </si>
  <si>
    <t>Domestic Card profit</t>
  </si>
  <si>
    <t>Domestic non-interest expense</t>
  </si>
  <si>
    <t>Domestic pre-tax income</t>
  </si>
  <si>
    <t>Domestic income tax</t>
  </si>
  <si>
    <t>Domestic net income</t>
  </si>
  <si>
    <t>Segment – Consumer Banking (Auto, Retail Banking, Global Payment Network)</t>
  </si>
  <si>
    <t>Auto loans</t>
  </si>
  <si>
    <t>S3/S6 T7; J: Sep-end forecast assumption anchored to S12 Aug-26 data (S12 Aug-31 period-end 91,886) – not an S12 value; +$1bn loans ≈ −$0.031 EPS via allowance build, all else fixed</t>
  </si>
  <si>
    <t>Retail banking loans</t>
  </si>
  <si>
    <t>Total Consumer Banking loans</t>
  </si>
  <si>
    <t>Auto originations (gross adds)</t>
  </si>
  <si>
    <t>Paydowns, runoff &amp; other (derived)</t>
  </si>
  <si>
    <t>Jul-26 auto average (8-K)</t>
  </si>
  <si>
    <t>Aug-26 auto average (8-K)</t>
  </si>
  <si>
    <t>Sep-26 auto average (assump.)</t>
  </si>
  <si>
    <t>Auto % of average loans</t>
  </si>
  <si>
    <t>Auto loan originations</t>
  </si>
  <si>
    <t>S3/S6 T11</t>
  </si>
  <si>
    <t>Implied loan interest income</t>
  </si>
  <si>
    <t>Deposits</t>
  </si>
  <si>
    <t>Period-end deposits</t>
  </si>
  <si>
    <t>Average deposits</t>
  </si>
  <si>
    <t>Average deposit rate (reported)</t>
  </si>
  <si>
    <t>Loans / deposits (average)</t>
  </si>
  <si>
    <t>Revenue build</t>
  </si>
  <si>
    <t>Net interest income</t>
  </si>
  <si>
    <t>NII / avg deposits (day-adj.)</t>
  </si>
  <si>
    <t>Global Payment Network volume</t>
  </si>
  <si>
    <t>Network volume % Q/Q (J: assump.)</t>
  </si>
  <si>
    <t>Non-interest income</t>
  </si>
  <si>
    <t>Non-int. income / network vol. (bps)</t>
  </si>
  <si>
    <t>Consumer Banking total net revenue</t>
  </si>
  <si>
    <t>NII % of segment revenue</t>
  </si>
  <si>
    <t>Auto NCO rate</t>
  </si>
  <si>
    <t>Jul-26 auto NCOs (8-K)</t>
  </si>
  <si>
    <t>Aug-26 auto NCOs (8-K)</t>
  </si>
  <si>
    <t>Sep-26 auto NCOs (assumption)</t>
  </si>
  <si>
    <t>Retail banking NCO rate</t>
  </si>
  <si>
    <t>Auto NCOs ($)</t>
  </si>
  <si>
    <t>Retail banking NCOs ($)</t>
  </si>
  <si>
    <t>Consumer Banking NCOs ($)</t>
  </si>
  <si>
    <t>Consumer Banking NCO rate</t>
  </si>
  <si>
    <t>Auto 30+ day DQ rate</t>
  </si>
  <si>
    <t>Allowance – auto</t>
  </si>
  <si>
    <t>Allowance – retail banking</t>
  </si>
  <si>
    <t>Consumer Banking allowance</t>
  </si>
  <si>
    <t>Coverage: auto</t>
  </si>
  <si>
    <t>Coverage: retail banking</t>
  </si>
  <si>
    <t>Consumer Banking provision</t>
  </si>
  <si>
    <t>Segment – Commercial Banking (CRE &amp; multifamily, C&amp;I)</t>
  </si>
  <si>
    <t>Commercial &amp; multifamily RE</t>
  </si>
  <si>
    <t>Commercial &amp; industrial</t>
  </si>
  <si>
    <t>Total Commercial Banking loans</t>
  </si>
  <si>
    <t>C&amp;I % of average loans</t>
  </si>
  <si>
    <t>Avg. yield on loans (reported, TE)</t>
  </si>
  <si>
    <t>S3/S6 T12</t>
  </si>
  <si>
    <t>NII / avg loans (day-adj.)</t>
  </si>
  <si>
    <t>Commercial Banking total net revenue</t>
  </si>
  <si>
    <t>CRE NCO rate</t>
  </si>
  <si>
    <t>C&amp;I NCO rate</t>
  </si>
  <si>
    <t>CRE NCOs ($)</t>
  </si>
  <si>
    <t>C&amp;I NCOs ($)</t>
  </si>
  <si>
    <t>Commercial Banking NCOs ($)</t>
  </si>
  <si>
    <t>Commercial NCO rate (derived)</t>
  </si>
  <si>
    <t>Commercial NCO rate (reported)</t>
  </si>
  <si>
    <t>Criticized performing loans</t>
  </si>
  <si>
    <t>Criticized nonperforming loans</t>
  </si>
  <si>
    <t>Criticized % of loans</t>
  </si>
  <si>
    <t>Allowance – commercial</t>
  </si>
  <si>
    <t>Commercial Banking allowance</t>
  </si>
  <si>
    <t>Coverage: commercial</t>
  </si>
  <si>
    <t>Provision – unfunded commitments</t>
  </si>
  <si>
    <t>S3/S6 T8</t>
  </si>
  <si>
    <t>Commercial Banking provision</t>
  </si>
  <si>
    <t>Income Statement – as reported, with GAAP to adjusted bridge</t>
  </si>
  <si>
    <t>Interest income</t>
  </si>
  <si>
    <t>Loans, incl. held for sale</t>
  </si>
  <si>
    <t>S3/S5/S6 T3; J: derived residual = Revenue summary J42 (total NII: segments + Other) + J35 − J13 − J16, so NII (J38) = Revenue summary J42 by construction; not an independent balance × rate forecast (BS yields/averages only reallocate interest lines)</t>
  </si>
  <si>
    <t>Investment securities</t>
  </si>
  <si>
    <t>S3/S5/S6 T3</t>
  </si>
  <si>
    <t>Other (cash equivalents)</t>
  </si>
  <si>
    <t>Total interest income</t>
  </si>
  <si>
    <t>Interest expense</t>
  </si>
  <si>
    <t>Securitized debt obligations</t>
  </si>
  <si>
    <t>Senior and subordinated notes</t>
  </si>
  <si>
    <t>Other borrowings</t>
  </si>
  <si>
    <t>Total interest expense</t>
  </si>
  <si>
    <t>Check: NII – sum of segments</t>
  </si>
  <si>
    <t>Discount and interchange fees, net</t>
  </si>
  <si>
    <t>Service charges &amp; customer fees</t>
  </si>
  <si>
    <t>Other non-interest income</t>
  </si>
  <si>
    <t>Total net revenue (reported)</t>
  </si>
  <si>
    <t>S3/S6 T1</t>
  </si>
  <si>
    <t>Salaries and associate benefits</t>
  </si>
  <si>
    <t>Occupancy and equipment</t>
  </si>
  <si>
    <t>Marketing</t>
  </si>
  <si>
    <t>Professional services</t>
  </si>
  <si>
    <t>Communications and data processing</t>
  </si>
  <si>
    <t>Amortization of intangibles</t>
  </si>
  <si>
    <t>H: n/m – 1Q25 base pre-Discover acquisition</t>
  </si>
  <si>
    <t>Other non-interest expense</t>
  </si>
  <si>
    <t>Total non-interest expense</t>
  </si>
  <si>
    <t>Operating expense (excl. marketing)</t>
  </si>
  <si>
    <t>Pre-provision earnings</t>
  </si>
  <si>
    <t>Income before income taxes</t>
  </si>
  <si>
    <t>Effective tax rate</t>
  </si>
  <si>
    <t>Income tax provision</t>
  </si>
  <si>
    <t>Income from continuing operations</t>
  </si>
  <si>
    <t>Discontinued operations, net</t>
  </si>
  <si>
    <t>Net income</t>
  </si>
  <si>
    <t>Participating securities % of NI</t>
  </si>
  <si>
    <t>Participating securities</t>
  </si>
  <si>
    <t>S3/S5/S6 T3; G: issuer FY two-class allocation (-26), not sum of quarters (-79)</t>
  </si>
  <si>
    <t>Preferred stock dividends</t>
  </si>
  <si>
    <t>Discount on redeemed preferred</t>
  </si>
  <si>
    <t>Net income to common (GAAP)</t>
  </si>
  <si>
    <t>Basic weighted shares (M)</t>
  </si>
  <si>
    <t>Diluted weighted shares (M)</t>
  </si>
  <si>
    <t>Basic EPS (GAAP)</t>
  </si>
  <si>
    <t>Diluted EPS (GAAP)</t>
  </si>
  <si>
    <t>Diluted EPS (reported)</t>
  </si>
  <si>
    <t>Check: EPS vs reported (±$0.01)</t>
  </si>
  <si>
    <t>Margins and ratios</t>
  </si>
  <si>
    <t>Operating efficiency ratio</t>
  </si>
  <si>
    <t>NII % of revenue</t>
  </si>
  <si>
    <t>Provision % of revenue</t>
  </si>
  <si>
    <t>GAAP to adjusted (non-GAAP) bridge – pre-tax</t>
  </si>
  <si>
    <t>Acq. amortization – expense</t>
  </si>
  <si>
    <t>S3/S5/S6 T15</t>
  </si>
  <si>
    <t>Acq. amortization – revenue marks</t>
  </si>
  <si>
    <t>Acquisition amortization, total</t>
  </si>
  <si>
    <t>Discover integration expenses</t>
  </si>
  <si>
    <t>Brex integration expenses</t>
  </si>
  <si>
    <t>Initial allowance build – Discover</t>
  </si>
  <si>
    <t>Legal reserve activities</t>
  </si>
  <si>
    <t>Gain on sale of home loan portfolio</t>
  </si>
  <si>
    <t>FDIC special assessment</t>
  </si>
  <si>
    <t>Total pre-tax adjustments</t>
  </si>
  <si>
    <t>Tax rate on adjustments</t>
  </si>
  <si>
    <t>Income tax impacts</t>
  </si>
  <si>
    <t>Adjusted NI to common</t>
  </si>
  <si>
    <t>Adjusted diluted EPS (reported)</t>
  </si>
  <si>
    <t>Check: adj. EPS vs reported (±$0.01)</t>
  </si>
  <si>
    <t>EPS impact of adjustments</t>
  </si>
  <si>
    <t>Adjusted non-interest expense</t>
  </si>
  <si>
    <t>Adjusted operating expense</t>
  </si>
  <si>
    <t>Adjusted net revenue</t>
  </si>
  <si>
    <t>Issuer T15 basis: GAAP rev. + FV-mark amort. (r.191); gain on sale (r.209) not removed</t>
  </si>
  <si>
    <t>Adjusted efficiency ratio</t>
  </si>
  <si>
    <t>Issuer T15 basis (adj. NIE / adj. net revenue)</t>
  </si>
  <si>
    <t>Balance Sheet – period-end, average balances and net interest margin</t>
  </si>
  <si>
    <t>Assets (period-end)</t>
  </si>
  <si>
    <t>Cash and due from banks</t>
  </si>
  <si>
    <t>S3/S6 T4</t>
  </si>
  <si>
    <t>Interest-bearing deposits &amp; ST inv.</t>
  </si>
  <si>
    <t>S3/S6 T4; J: forecast balancing item (plug)</t>
  </si>
  <si>
    <t>Total cash and cash equivalents</t>
  </si>
  <si>
    <t>Restricted cash (securitization)</t>
  </si>
  <si>
    <t>Securities available for sale</t>
  </si>
  <si>
    <t>Securities held to maturity</t>
  </si>
  <si>
    <t>Total investment securities</t>
  </si>
  <si>
    <t>Unsecuritized loans HFI</t>
  </si>
  <si>
    <t>Loans in consolidated trusts</t>
  </si>
  <si>
    <t>Total loans held for investment</t>
  </si>
  <si>
    <t>Allowance for credit losses</t>
  </si>
  <si>
    <t>Net loans held for investment</t>
  </si>
  <si>
    <t>Loans held for sale</t>
  </si>
  <si>
    <t>Premises and equipment, net</t>
  </si>
  <si>
    <t>Interest receivable</t>
  </si>
  <si>
    <t>Goodwill</t>
  </si>
  <si>
    <t>Other intangible assets</t>
  </si>
  <si>
    <t>Other assets</t>
  </si>
  <si>
    <t>Assets of discontinued operations</t>
  </si>
  <si>
    <t>Total assets</t>
  </si>
  <si>
    <t>Total assets (reported)</t>
  </si>
  <si>
    <t>Liabilities (period-end)</t>
  </si>
  <si>
    <t>Interest payable</t>
  </si>
  <si>
    <t>Non-interest-bearing deposits</t>
  </si>
  <si>
    <t>Interest-bearing deposits</t>
  </si>
  <si>
    <t>Total deposits</t>
  </si>
  <si>
    <t>Fed funds purchased &amp; repos</t>
  </si>
  <si>
    <t>Total other debt</t>
  </si>
  <si>
    <t>Other liabilities</t>
  </si>
  <si>
    <t>Liabilities of discontinued ops</t>
  </si>
  <si>
    <t>Total liabilities</t>
  </si>
  <si>
    <t>Stockholders' equity (period-end)</t>
  </si>
  <si>
    <t>Preferred stock (par)</t>
  </si>
  <si>
    <t>Common stock</t>
  </si>
  <si>
    <t>Additional paid-in capital</t>
  </si>
  <si>
    <t>Retained earnings</t>
  </si>
  <si>
    <t>Accumulated OCI</t>
  </si>
  <si>
    <t>Treasury stock</t>
  </si>
  <si>
    <t>Total stockholders' equity</t>
  </si>
  <si>
    <t>Total liabilities and equity</t>
  </si>
  <si>
    <t>Check: assets – liabilities – equity</t>
  </si>
  <si>
    <t>Check: total assets vs reported</t>
  </si>
  <si>
    <t>Memo: period-end deposits by segment</t>
  </si>
  <si>
    <t>S3/S6 T13</t>
  </si>
  <si>
    <t>Total deposits by segment</t>
  </si>
  <si>
    <t>Check: segment deposits – total</t>
  </si>
  <si>
    <t>Check: loans – segment loans</t>
  </si>
  <si>
    <t>Average balances (interest-earning / bearing)</t>
  </si>
  <si>
    <t>Average loans HFI (segments)</t>
  </si>
  <si>
    <t>Average loans held for sale</t>
  </si>
  <si>
    <t>Average loans incl. HFS</t>
  </si>
  <si>
    <t>S3/S5/S6 T6</t>
  </si>
  <si>
    <t>Average investment securities</t>
  </si>
  <si>
    <t>Average cash equivalents &amp; other</t>
  </si>
  <si>
    <t>S3/S5/S6 T6; J: independent avg. assumption, not tied to (opening+closing)/2 – affects NIM only, not NII/EPS</t>
  </si>
  <si>
    <t>Average interest-earning assets</t>
  </si>
  <si>
    <t>Average interest-bearing deposits</t>
  </si>
  <si>
    <t>S3/S5/S6 T6; J: independent avg. assumption, not tied to period-end balances – rate reallocation only, not NII/EPS</t>
  </si>
  <si>
    <t>Average securitized debt</t>
  </si>
  <si>
    <t>S3/S5/S6 T6; J: independent avg. assumption, not tied to (opening+closing)/2 – rate reallocation only, not NII/EPS</t>
  </si>
  <si>
    <t>Average senior &amp; sub. notes</t>
  </si>
  <si>
    <t>S3/S5/S6 T6; J: independent avg. assumption (above both period-ends) – rate reallocation only, not NII/EPS</t>
  </si>
  <si>
    <t>Average other borrowings</t>
  </si>
  <si>
    <t>Average interest-bearing liabilities</t>
  </si>
  <si>
    <t>Yields and rates (annualised, day-count basis)</t>
  </si>
  <si>
    <t>Loan yield (implied in 3Q26E)</t>
  </si>
  <si>
    <t>Securities yield</t>
  </si>
  <si>
    <t>Cash &amp; other yield</t>
  </si>
  <si>
    <t>Interest-bearing deposit rate</t>
  </si>
  <si>
    <t>Securitized debt rate</t>
  </si>
  <si>
    <t>Senior &amp; sub. notes rate</t>
  </si>
  <si>
    <t>Other borrowings rate</t>
  </si>
  <si>
    <t>Net interest margin (reported basis)</t>
  </si>
  <si>
    <t>NIM (reported)</t>
  </si>
  <si>
    <t>S3/S6 T2</t>
  </si>
  <si>
    <t>Average deposits and assets</t>
  </si>
  <si>
    <t>Consumer Banking avg deposits</t>
  </si>
  <si>
    <t>Commercial Banking avg deposits</t>
  </si>
  <si>
    <t>Other avg deposits</t>
  </si>
  <si>
    <t>Average total deposits</t>
  </si>
  <si>
    <t>S3/S6 T1; J: sum of independent avg. assumptions (implied avg. non-int.-bearing ≈29.7k vs period-end ≈27.8k) – basis limit</t>
  </si>
  <si>
    <t>Average total assets</t>
  </si>
  <si>
    <t>Capital</t>
  </si>
  <si>
    <t>CET1 ratio (Basel III std.)</t>
  </si>
  <si>
    <t>S3/S6 T15</t>
  </si>
  <si>
    <t>Risk-weighted assets</t>
  </si>
  <si>
    <t>S3 T15</t>
  </si>
  <si>
    <t>Tangible book value per share</t>
  </si>
  <si>
    <t>Cash Flow Statement – quarterly (derived from reported YTD) and forecast</t>
  </si>
  <si>
    <t>Quarterly cash flow</t>
  </si>
  <si>
    <t>S7-S10 (YTD diff.)</t>
  </si>
  <si>
    <t>Depreciation and amortization, net</t>
  </si>
  <si>
    <t>S7-S10 (YTD diff.); J: intangibles amort. + P&amp;E dep. only – excl. other net amort./accretion</t>
  </si>
  <si>
    <t>Deferred tax provision (benefit)</t>
  </si>
  <si>
    <t>S7-S10 (YTD diff.); J: 0 – no deferred-tax driver</t>
  </si>
  <si>
    <t>Stock-based compensation</t>
  </si>
  <si>
    <t>Other operating items, net</t>
  </si>
  <si>
    <t>Net cash from operating activities</t>
  </si>
  <si>
    <t>S7-S10 (YTD diff.); J: limited confidence – not like-for-like with history (rows 12/13/15)</t>
  </si>
  <si>
    <t>Investing activities</t>
  </si>
  <si>
    <t>AFS securities – purchases</t>
  </si>
  <si>
    <t>AFS securities – paydowns/maturities</t>
  </si>
  <si>
    <t>AFS securities – sales</t>
  </si>
  <si>
    <t>HTM securities – purchases</t>
  </si>
  <si>
    <t>HTM securities – paydowns</t>
  </si>
  <si>
    <t>Net change in loans HFI</t>
  </si>
  <si>
    <t>Premises and equipment (capex)</t>
  </si>
  <si>
    <t>Acquisitions / divestitures, net</t>
  </si>
  <si>
    <t>Other investing, net</t>
  </si>
  <si>
    <t>Net cash from investing activities</t>
  </si>
  <si>
    <t>Financing activities</t>
  </si>
  <si>
    <t>Change in deposits</t>
  </si>
  <si>
    <t>Issuance of long-term debt</t>
  </si>
  <si>
    <t>Maturities/paydowns of LT debt</t>
  </si>
  <si>
    <t>Change in other borrowings</t>
  </si>
  <si>
    <t>Common dividends paid</t>
  </si>
  <si>
    <t>Preferred dividends paid</t>
  </si>
  <si>
    <t>S7-S10 (YTD diff.); J: = declared (IS J143); history shows ~1-qtr paid lag (lagged alt. −57; 16 cash/BS-only, no EPS effect) – caveat, not modelled</t>
  </si>
  <si>
    <t>Purchases of treasury stock</t>
  </si>
  <si>
    <t>Other financing, net</t>
  </si>
  <si>
    <t>Net cash from financing activities</t>
  </si>
  <si>
    <t>Net change in cash (incl. restr.)</t>
  </si>
  <si>
    <t>Cash, beginning of period</t>
  </si>
  <si>
    <t>S10 (31-Dec-24)</t>
  </si>
  <si>
    <t>Cash, end of period</t>
  </si>
  <si>
    <t>Balance sheet cash + restricted</t>
  </si>
  <si>
    <t>Check: CF cash – balance sheet cash</t>
  </si>
  <si>
    <t>J: structural tie only – BS cash (J11) is the balancing item</t>
  </si>
  <si>
    <t>Forecast assumptions and memo</t>
  </si>
  <si>
    <t>P&amp;E depreciation (assumption)</t>
  </si>
  <si>
    <t>Issuer-defined free cash flow</t>
  </si>
  <si>
    <t>n/a – no issuer-defined FCF identified in reviewed source cache (not an assertion that none exists); row 46 memo is not an issuer metric</t>
  </si>
  <si>
    <t>Memo: CFO less capex</t>
  </si>
  <si>
    <t>Reported year-to-date cash flow (inputs)</t>
  </si>
  <si>
    <t>YTD period (C=3M25, D=6M25, E=9M25, F=FY25, H=3M26, I=6M26, J=9M26E)</t>
  </si>
  <si>
    <t>Net income (YTD)</t>
  </si>
  <si>
    <t>Linked to IS (= 10-Q/10-K YTD)</t>
  </si>
  <si>
    <t>Provision for credit losses (YTD)</t>
  </si>
  <si>
    <t>D&amp;A, net (YTD)</t>
  </si>
  <si>
    <t>S8/S7/S9/S10/S8/S7</t>
  </si>
  <si>
    <t>Deferred tax (benefit) (YTD)</t>
  </si>
  <si>
    <t>Stock-based compensation (YTD)</t>
  </si>
  <si>
    <t>Other operating items, net (YTD)</t>
  </si>
  <si>
    <t>Operating cash flow (YTD)</t>
  </si>
  <si>
    <t>AFS securities – purchases (YTD)</t>
  </si>
  <si>
    <t>AFS paydowns/maturities (YTD)</t>
  </si>
  <si>
    <t>AFS securities – sales (YTD)</t>
  </si>
  <si>
    <t>HTM securities – purchases (YTD)</t>
  </si>
  <si>
    <t>HTM securities – paydowns (YTD)</t>
  </si>
  <si>
    <t>Net change in loans HFI (YTD)</t>
  </si>
  <si>
    <t>Premises and equipment (capex) (YTD)</t>
  </si>
  <si>
    <t>Acquisitions/divest., net (YTD)</t>
  </si>
  <si>
    <t>Other investing, net (YTD)</t>
  </si>
  <si>
    <t>Investing cash flow (YTD)</t>
  </si>
  <si>
    <t>Change in deposits (YTD)</t>
  </si>
  <si>
    <t>Issuance of long-term debt (YTD)</t>
  </si>
  <si>
    <t>Maturities/paydowns of LT debt (YTD)</t>
  </si>
  <si>
    <t>Change in other borrowings (YTD)</t>
  </si>
  <si>
    <t>Common dividends paid (YTD)</t>
  </si>
  <si>
    <t>Preferred dividends paid (YTD)</t>
  </si>
  <si>
    <t>Purchases of treasury stock (YTD)</t>
  </si>
  <si>
    <t>Other financing, net (YTD)</t>
  </si>
  <si>
    <t>Financing cash flow (YTD)</t>
  </si>
  <si>
    <t>Share Count – weighted shares, buybacks and the share count behind forecast EPS</t>
  </si>
  <si>
    <t>Period-end shares</t>
  </si>
  <si>
    <t>Common shares outstanding (M)</t>
  </si>
  <si>
    <t>Buybacks and issuance</t>
  </si>
  <si>
    <t>Share repurchases, cash ($M)</t>
  </si>
  <si>
    <t>CF stmt; J: assumption</t>
  </si>
  <si>
    <t>H:I n/m – pre-acquisition base</t>
  </si>
  <si>
    <t>Repurchases per press release ($M)</t>
  </si>
  <si>
    <t>S23; S4</t>
  </si>
  <si>
    <t>Average repurchase price ($)</t>
  </si>
  <si>
    <t>Shares repurchased (M)</t>
  </si>
  <si>
    <t>Shares issued / other (M)</t>
  </si>
  <si>
    <t>Weighted-average shares</t>
  </si>
  <si>
    <t>Dilutive securities (M)</t>
  </si>
  <si>
    <t>Dividends</t>
  </si>
  <si>
    <t>Dividends per common share ($)</t>
  </si>
  <si>
    <t>Common dividends ($M)</t>
  </si>
  <si>
    <t>CF stmt; J: DPS x avg shares</t>
  </si>
  <si>
    <t>EPS bridge</t>
  </si>
  <si>
    <t>Net income to common – GAAP</t>
  </si>
  <si>
    <t>Net income to common – adjusted</t>
  </si>
  <si>
    <t>Diluted EPS – GAAP</t>
  </si>
  <si>
    <t>Check: EPS = NI / diluted shares</t>
  </si>
  <si>
    <t>Share-count EPS accretion Q/Q</t>
  </si>
  <si>
    <t>Market data</t>
  </si>
  <si>
    <t>Share price at cutoff ($)</t>
  </si>
  <si>
    <t>S1</t>
  </si>
  <si>
    <t>Market cap ($bn, 2Q26 shares)</t>
  </si>
  <si>
    <t>Guidance – issuer guidance log and outcomes</t>
  </si>
  <si>
    <t>Date</t>
  </si>
  <si>
    <t>Metric</t>
  </si>
  <si>
    <t>Low</t>
  </si>
  <si>
    <t>High</t>
  </si>
  <si>
    <t>Midpoint</t>
  </si>
  <si>
    <t>Actual</t>
  </si>
  <si>
    <t>Beat/Miss</t>
  </si>
  <si>
    <t>Long term</t>
  </si>
  <si>
    <t>CET1 capital need (%)</t>
  </si>
  <si>
    <t>Met / above</t>
  </si>
  <si>
    <t>S22</t>
  </si>
  <si>
    <t>2Q26</t>
  </si>
  <si>
    <t>NIM proxy: 2H25 range (%)</t>
  </si>
  <si>
    <t>Below proxy</t>
  </si>
  <si>
    <t>S13</t>
  </si>
  <si>
    <t>3Q26</t>
  </si>
  <si>
    <t>Day-count NIM tailwind (bps)</t>
  </si>
  <si>
    <t>Through 2H27</t>
  </si>
  <si>
    <t>Discover synergies, total ($M)</t>
  </si>
  <si>
    <t>2H27 run-rate</t>
  </si>
  <si>
    <t>Discover opex synergies ($M)</t>
  </si>
  <si>
    <t>S14</t>
  </si>
  <si>
    <t>End-3Q26</t>
  </si>
  <si>
    <t>Discover front book on COF tech (%)</t>
  </si>
  <si>
    <t>Mid-2027</t>
  </si>
  <si>
    <t>Discover integration complete</t>
  </si>
  <si>
    <t>2H26</t>
  </si>
  <si>
    <t>Marketing seasonality</t>
  </si>
  <si>
    <t>Revenue / net income / EPS</t>
  </si>
  <si>
    <t>Sources</t>
  </si>
  <si>
    <t>ID</t>
  </si>
  <si>
    <t>Published</t>
  </si>
  <si>
    <t>Publisher</t>
  </si>
  <si>
    <t>URL or file</t>
  </si>
  <si>
    <t>Feeds</t>
  </si>
  <si>
    <t>Retrieved (UTC)</t>
  </si>
  <si>
    <t>S&amp;P Capital IQ (supplied)</t>
  </si>
  <si>
    <t>COF_consensus.json</t>
  </si>
  <si>
    <t>Consensus at cutoff (EPS 5.50 normalized, revenue $16,242.3m, GAAP EPS 4.66, NI, EBT, tax rate), last close, target manifest -&gt; Inputs, Cover</t>
  </si>
  <si>
    <t>supplied file</t>
  </si>
  <si>
    <t>S2</t>
  </si>
  <si>
    <t>COF_history.csv</t>
  </si>
  <si>
    <t>Six quarters of EPS/revenue actual vs consensus -&gt; Inputs, prior calibration</t>
  </si>
  <si>
    <t>S3</t>
  </si>
  <si>
    <t>Capital One (SEC 8-K Ex.99.2)</t>
  </si>
  <si>
    <t>https://www.sec.gov/Archives/edgar/data/927628/000092762826000083/ex992q22026earningsrelease.htm</t>
  </si>
  <si>
    <t>2Q26 financial supplement: IS, BS, average balances, loans, credit, segments, non-GAAP bridge (2Q25-2Q26 columns)</t>
  </si>
  <si>
    <t>19-Oct-2026 (web)</t>
  </si>
  <si>
    <t>S4</t>
  </si>
  <si>
    <t>Capital One (SEC 8-K Ex.99.1)</t>
  </si>
  <si>
    <t>https://www.sec.gov/Archives/edgar/data/927628/000092762826000083/ex991q22026earningsrelease.htm</t>
  </si>
  <si>
    <t>2Q26 earnings release: adjusting items, repurchases (14m shares / $2.7bn)</t>
  </si>
  <si>
    <t>S5</t>
  </si>
  <si>
    <t>https://www.sec.gov/Archives/edgar/data/927628/000092762826000039/ex992q12026earningsrelease.htm</t>
  </si>
  <si>
    <t>1Q26 supplement: 1Q25 average balance sheet (Table 6), 1Q26 detail</t>
  </si>
  <si>
    <t>S6</t>
  </si>
  <si>
    <t>https://www.sec.gov/Archives/edgar/data/927628/000119312526019444/d45426dex992.htm</t>
  </si>
  <si>
    <t>4Q25 supplement: 1Q25-4Q25 and FY25 IS, BS, segments, loans, credit, non-GAAP; 4Q24 openings</t>
  </si>
  <si>
    <t>S7</t>
  </si>
  <si>
    <t>Capital One 10-Q 2Q26 (SEC)</t>
  </si>
  <si>
    <t>https://www.sec.gov/Archives/edgar/data/927628/000092762826000089/R8.htm</t>
  </si>
  <si>
    <t>Cash flow statement 6M26 and 6M25 (YTD)</t>
  </si>
  <si>
    <t>S8</t>
  </si>
  <si>
    <t>Capital One 10-Q 1Q26 (SEC)</t>
  </si>
  <si>
    <t>https://www.sec.gov/Archives/edgar/data/927628/000092762826000048/R8.htm</t>
  </si>
  <si>
    <t>Cash flow statement 3M26 and 3M25 (YTD)</t>
  </si>
  <si>
    <t>S9</t>
  </si>
  <si>
    <t>Capital One 10-Q 3Q25 (SEC)</t>
  </si>
  <si>
    <t>https://www.sec.gov/Archives/edgar/data/927628/000092762825000276/R8.htm</t>
  </si>
  <si>
    <t>Cash flow statement 9M25 (YTD)</t>
  </si>
  <si>
    <t>S10</t>
  </si>
  <si>
    <t>Capital One 10-K FY25 (SEC)</t>
  </si>
  <si>
    <t>https://www.sec.gov/Archives/edgar/data/927628/000092762826000024/R9.htm</t>
  </si>
  <si>
    <t>Cash flow statement FY25; Note 18 segments (R27) checked for geographic revenue: none disclosed</t>
  </si>
  <si>
    <t>https://www.sec.gov/Archives/edgar/data/927628/000092762826000093/ex991july2026creditmetrics.htm</t>
  </si>
  <si>
    <t>Jul-26 domestic card and auto average/period-end loans, NCOs, delinquencies</t>
  </si>
  <si>
    <t>TradingView News (summary of COF 8-K 14-Sep-26)</t>
  </si>
  <si>
    <t>https://www.tradingview.com/news/tradingview:d1761c84fe2f6:0-capital-one-posts-august-2026-monthly-charge-off-and-delinquency-metrics/</t>
  </si>
  <si>
    <t>Aug-26 domestic card and auto loans, NCOs ($892m, 4.16%), delinquencies (3.57%)</t>
  </si>
  <si>
    <t>StockAnalysis (2Q26 call transcript)</t>
  </si>
  <si>
    <t>https://stockanalysis.com/stocks/cof/transcripts/652499-q2-2026/</t>
  </si>
  <si>
    <t>NIM guidance (2H25 proxy, 3Q cash catch-up, +9bp day count), marketing seasonality, synergies, brownout</t>
  </si>
  <si>
    <t>Investing.com (Barclays conference transcript)</t>
  </si>
  <si>
    <t>https://www.investing.com/news/transcripts/capital-one-at-barclays-conference-growth-bets-stay-on-track-93CH-4904188</t>
  </si>
  <si>
    <t>Credit "better than seasonal", auto growth, Discover front book migrated 1-Sep-26, opex synergy timing, incremental marketing</t>
  </si>
  <si>
    <t>S15</t>
  </si>
  <si>
    <t>Zacks via Yahoo Finance</t>
  </si>
  <si>
    <t>https://finance.yahoo.com/markets/stocks/articles/countdown-capital-one-cof-q3-121520570.html</t>
  </si>
  <si>
    <t>Newer/other consensus detail: EPS 5.45, revenue $16.11bn, NII $12.71bn, NIM 8.3%, NCO 2.9%, card NCO 4.1%, efficiency 56.4%, segment revenue</t>
  </si>
  <si>
    <t>S16</t>
  </si>
  <si>
    <t>https://finance.yahoo.com/markets/stocks/articles/weak-consumer-loan-demand-high-111400967.html</t>
  </si>
  <si>
    <t>Preview: report date 20-Oct, non-interest income consensus ($3.45bn; interchange $2.23bn), Fed hike, provisions risk</t>
  </si>
  <si>
    <t>S17</t>
  </si>
  <si>
    <t>Federal Reserve Board</t>
  </si>
  <si>
    <t>https://www.federalreserve.gov/newsevents/pressreleases/monetary20260916a.htm</t>
  </si>
  <si>
    <t>FOMC +25bp to 3.75-4.00% (IORB 3.90% eff. 17-Sep-26) -&gt; cash yield, deposit rate assumptions</t>
  </si>
  <si>
    <t>S18</t>
  </si>
  <si>
    <t>PYMNTS / MarketWatch (JPMorgan 3Q26)</t>
  </si>
  <si>
    <t>https://www.pymnts.com/earnings/2026/jpmorgan-card-spending-hits-539-billion-as-credit-improves/</t>
  </si>
  <si>
    <t>Peer read: card NCO 2.91% (down Q/Q and Y/Y), provision above NCOs (reserve build) -&gt; allowance assumption</t>
  </si>
  <si>
    <t>S19</t>
  </si>
  <si>
    <t>The Financial Wire / Citi 3Q26 presentation</t>
  </si>
  <si>
    <t>https://thefinancialwire.com/citigroups-u-s-card-losses-fell-to-1-7-billion-in-the-third-quarter/</t>
  </si>
  <si>
    <t>Peer read: Citi US cards NCLs -10% Q/Q, $208m card reserve build on macro outlook -&gt; allowance assumption</t>
  </si>
  <si>
    <t>S20</t>
  </si>
  <si>
    <t>FinHacker / Public.com</t>
  </si>
  <si>
    <t>https://www.finhacker.cz/en/stocks/capital-one-financial-market-cap/</t>
  </si>
  <si>
    <t>Market cap $123.76bn at 16-Oct-26 close -&gt; size bucket (large) in prior calibration</t>
  </si>
  <si>
    <t>S21</t>
  </si>
  <si>
    <t>Capital One via Nasdaq/Business Wire</t>
  </si>
  <si>
    <t>https://www.nasdaq.com/press-release/capital-one-financial-corporation-webcast-conference-call-third-quarter-2026-earnings</t>
  </si>
  <si>
    <t>Issuer report date: 20-Oct-26 ~4:05pm ET (supplied CapIQ date 22-Oct-26 kept separately)</t>
  </si>
  <si>
    <t>Stock Titan (COF 8-K) / Motley Fool transcript</t>
  </si>
  <si>
    <t>https://www.stocktitan.net/sec-filings/COF/8-k-capital-one-financial-corp-reports-material-event-3b95c0675f23.html</t>
  </si>
  <si>
    <t>$16bn repurchase authorisation; 11% long-term CET1 need</t>
  </si>
  <si>
    <t>S23</t>
  </si>
  <si>
    <t>MarketScreener (10-Q buyback tranche)</t>
  </si>
  <si>
    <t>https://www.marketscreener.com/news/tranche-update-on-capital-one-financial-corporation-s-equity-buyback-plan-announced-on-october-21-2-ce7f5fdbdc8ef227</t>
  </si>
  <si>
    <t>1Q26 repurchases 12,073,854 shares for $2,499.89m; 20.6m shares / $4.39bn under program to 31-Mar-26</t>
  </si>
  <si>
    <t>S24</t>
  </si>
  <si>
    <t>finanzen.ch</t>
  </si>
  <si>
    <t>https://www.finanzen.ch/nachrichten/aktien/ausblick-capital-one-financial-stellt-ergebnisse-des-abgelaufenen-quartals-vor-1036637632</t>
  </si>
  <si>
    <t>S&amp;P 500 membership ("S&amp;P 500-Papier Capital One Financial", 13-Oct-26 headline listed on page)</t>
  </si>
  <si>
    <t>S25</t>
  </si>
  <si>
    <t>Stock Titan (COF 8-K)</t>
  </si>
  <si>
    <t>https://www.stocktitan.net/sec-filings/COF/page-2.html</t>
  </si>
  <si>
    <t>EUR1.5bn senior notes (EUR750m 4.326% 2032s, EUR750m 4.832% 2037s) -&gt; 3Q26E debt issuance</t>
  </si>
  <si>
    <t>S26</t>
  </si>
  <si>
    <t>Shortcut (supplied)</t>
  </si>
  <si>
    <t>shortcut-logo.png</t>
  </si>
  <si>
    <t>Cover logo</t>
  </si>
  <si>
    <t>Omitted tabs: Geo - not built; FY2025 10-K (acc. 0000927628-26-000024, Note 18 segments) discloses no revenue by geography; UK/Canada card loans are 1.7% of total (one line on Revenue summary).</t>
  </si>
  <si>
    <t>Omitted tabs: "Segment - Other" - not built; "Other" is the issuer's reconciling category (treasury, TE offsets), folded into Revenue summary (2Q26 supplement Table 13 checked).</t>
  </si>
  <si>
    <t>Information cutoff 2026-10-18 21:34 UTC. All sources above were published before the cutoff; items dated 19-Oct-26 or later were excluded. Target-quarter (3Q26) results not seen.</t>
  </si>
  <si>
    <t>Retrieval: all web sources retrieved 2026-10-19 via web_fetch / web search; CapIQ files supplied with the task (snapshot 2026-10-18, date precision only).</t>
  </si>
  <si>
    <t>Source codes on statement tabs: "T#" refers to the table number in the cited financial supplement (e.g. S3 T7 = 2Q26 supplement Table 7).</t>
  </si>
  <si>
    <t>Inputs – raw S&amp;P Capital IQ snapshot (COF_consensus.json, COF_history.csv) and prior calibration</t>
  </si>
  <si>
    <t>Field (summary_row)</t>
  </si>
  <si>
    <t>Raw value</t>
  </si>
  <si>
    <t>Used in</t>
  </si>
  <si>
    <t>ticker</t>
  </si>
  <si>
    <t>COF</t>
  </si>
  <si>
    <t>company_name</t>
  </si>
  <si>
    <t>exchange_ticker</t>
  </si>
  <si>
    <t>NYSE:COF</t>
  </si>
  <si>
    <t>capiq_company_id</t>
  </si>
  <si>
    <t>currency_basis</t>
  </si>
  <si>
    <t>USD</t>
  </si>
  <si>
    <t>fiscal_year_end</t>
  </si>
  <si>
    <t>Dec-31</t>
  </si>
  <si>
    <t>fiscal_quarter</t>
  </si>
  <si>
    <t>FQ3 2026 - Sep 2026</t>
  </si>
  <si>
    <t>quarter_end_date</t>
  </si>
  <si>
    <t>expected_report_date</t>
  </si>
  <si>
    <t>Cover</t>
  </si>
  <si>
    <t>eps_basis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</si>
  <si>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</si>
  <si>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</si>
  <si>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</si>
  <si>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</si>
  <si>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</si>
  <si>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Cover consensus EPS</t>
  </si>
  <si>
    <t>eps_normalized_median</t>
  </si>
  <si>
    <t>eps_normalized_high</t>
  </si>
  <si>
    <t>eps_normalized_low</t>
  </si>
  <si>
    <t>eps_normalized_std_dev</t>
  </si>
  <si>
    <t>Cover memo</t>
  </si>
  <si>
    <t>eps_normalized_n_est</t>
  </si>
  <si>
    <t>Cover (contributors)</t>
  </si>
  <si>
    <t>eps_normalized_guidance</t>
  </si>
  <si>
    <t>eps_normalized_guidance_low</t>
  </si>
  <si>
    <t>eps_normalized_guidance_high</t>
  </si>
  <si>
    <t>eps_gaap_mean</t>
  </si>
  <si>
    <t>Cover consensus GAAP EPS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</si>
  <si>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</si>
  <si>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</si>
  <si>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</si>
  <si>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</si>
  <si>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</si>
  <si>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</si>
  <si>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</si>
  <si>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</si>
  <si>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</si>
  <si>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Cover consensus revenue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</si>
  <si>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</si>
  <si>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</si>
  <si>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</si>
  <si>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</si>
  <si>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</si>
  <si>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</si>
  <si>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</si>
  <si>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</si>
  <si>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</si>
  <si>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</si>
  <si>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</si>
  <si>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</si>
  <si>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Cover consensus pre-tax</t>
  </si>
  <si>
    <t>net_income_excl_excep</t>
  </si>
  <si>
    <t>Cover consensus adj. NI (CapIQ basis total vs common unverified)</t>
  </si>
  <si>
    <t>net_income_gaap</t>
  </si>
  <si>
    <t>Cover consensus GAAP NI (CapIQ basis total vs common unverified)</t>
  </si>
  <si>
    <t>gross_margin_pct</t>
  </si>
  <si>
    <t>Not used (raw, percentage points)</t>
  </si>
  <si>
    <t>effective_tax_rate_pct</t>
  </si>
  <si>
    <t>IS tax-rate note (raw, percentage points)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</si>
  <si>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</si>
  <si>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</si>
  <si>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</si>
  <si>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</si>
  <si>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</si>
  <si>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</si>
  <si>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</si>
  <si>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</si>
  <si>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</si>
  <si>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</si>
  <si>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</si>
  <si>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</si>
  <si>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</si>
  <si>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</si>
  <si>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</si>
  <si>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</si>
  <si>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</si>
  <si>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</si>
  <si>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Share Count market cap</t>
  </si>
  <si>
    <t>wk52_high_low</t>
  </si>
  <si>
    <t>259.64/174.24</t>
  </si>
  <si>
    <t>estimates_captured_at</t>
  </si>
  <si>
    <t>notes</t>
  </si>
  <si>
    <t>Jun-2025 GAAP is negative on both sides (-8.58 actual vs -7.02 consensus) from Discover acquisition charges; revenue step-up from Jun-2025 onward reflects the acquisition closing, so pre-merger and post-merger quarters are not comparable | a GAAP EPS "Guidance 0.80" value looks like a different line item and was excluded</t>
  </si>
  <si>
    <t>Top-level snapshot fields</t>
  </si>
  <si>
    <t>source</t>
  </si>
  <si>
    <t>S&amp;P Capital IQ</t>
  </si>
  <si>
    <t>as_of_date</t>
  </si>
  <si>
    <t>analyst_count</t>
  </si>
  <si>
    <t>consensus_eps</t>
  </si>
  <si>
    <t>consensus_revenue_m</t>
  </si>
  <si>
    <t>currency</t>
  </si>
  <si>
    <t>Normalized diluted EPS per ordinary/common share, USD; verify issuer adjustments and share identity</t>
  </si>
  <si>
    <t>captured_precision</t>
  </si>
  <si>
    <t>date only, user confirmed</t>
  </si>
  <si>
    <t>currency_units_status</t>
  </si>
  <si>
    <t>summary_sha256</t>
  </si>
  <si>
    <t>e59b846434f90c9b5de8c2ed951fd1b25c1f6d0217c680f72dea41992051a49d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</si>
  <si>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</si>
  <si>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</si>
  <si>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</si>
  <si>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</si>
  <si>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</si>
  <si>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</si>
  <si>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</si>
  <si>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</si>
  <si>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</si>
  <si>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</si>
  <si>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</si>
  <si>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</si>
  <si>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</si>
  <si>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</si>
  <si>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norm_surprise_$</t>
  </si>
  <si>
    <t>strict_beat</t>
  </si>
  <si>
    <t>Prior calibration (playbook v2)</t>
  </si>
  <si>
    <t>Value</t>
  </si>
  <si>
    <t>Basis / source</t>
  </si>
  <si>
    <t>Market cap ($bn, 16-Oct-26 close)</t>
  </si>
  <si>
    <t>S20 (FinHacker/Public.com); CapIQ market cap blank</t>
  </si>
  <si>
    <t>Size bucket</t>
  </si>
  <si>
    <t>Large (&gt;$10bn)</t>
  </si>
  <si>
    <t>Playbook thresholds</t>
  </si>
  <si>
    <t>S&amp;P 500 member</t>
  </si>
  <si>
    <t>Yes</t>
  </si>
  <si>
    <t>S24 (finanzen.ch "S&amp;P 500-Papier", 13-Oct-26)</t>
  </si>
  <si>
    <t>Cohort prior</t>
  </si>
  <si>
    <t>Large OR S&amp;P 500 (applied once)</t>
  </si>
  <si>
    <t>Strict beats b (normalized EPS)</t>
  </si>
  <si>
    <t>All six CapIQ pairs; same basis (company adjusted EPS)</t>
  </si>
  <si>
    <t>Valid pairs n</t>
  </si>
  <si>
    <t>No pairs excluded; explicit per-row count of numeric D/E pairs</t>
  </si>
  <si>
    <t>Pseudo-count</t>
  </si>
  <si>
    <t>Playbook fixed weight</t>
  </si>
  <si>
    <t>Starting probability</t>
  </si>
  <si>
    <t>(k x prior + b) / (k + n)</t>
  </si>
  <si>
    <t>Quarter-specific evidence adjustment</t>
  </si>
  <si>
    <t>Model mean adj. EPS ~$0.14 above consensus vs ~$0.35 model sd (~66% normal-approx. beat); offsets: peer 3Q26 reserve builds, GAAP below GAAP consensus</t>
  </si>
  <si>
    <t>Final P(beat consensus EPS)</t>
  </si>
  <si>
    <t>Starting probability + adjustment -&gt; Cover</t>
  </si>
  <si>
    <t>Mean historical surprise ($/share)</t>
  </si>
  <si>
    <t>Normalized EPS, six quarters</t>
  </si>
  <si>
    <t>Median historical surprise ($/share)</t>
  </si>
  <si>
    <t>Check: 0 ≤ P(beat) ≤ 1 (0 = OK)</t>
  </si>
  <si>
    <t>Flag only – probability not clamped; never an EPS 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</si>
</sst>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9651" formatCode="0.0%_);(0.0%);–_)"/>
    <numFmt numFmtId="19653" formatCode="#,##0.0_);(#,##0.0);–_)"/>
    <numFmt numFmtId="19654" formatCode="$0.00"/>
    <numFmt numFmtId="19662" formatCode="0.0%"/>
    <numFmt numFmtId="19663" formatCode="dd-mmm-yy"/>
    <numFmt numFmtId="19670" formatCode="#,##0_);(#,##0);–_)"/>
    <numFmt numFmtId="19704" formatCode="$0.00_);($0.00)"/>
  </numFmts>
  <fonts count="19">
    <font>
      <b val="0"/>
      <i val="0"/>
      <sz val="11"/>
      <color auto="1"/>
      <name val="Calibri"/>
    </font>
    <font>
      <b val="0"/>
      <i/>
      <sz val="10"/>
      <color rgb="FF000000"/>
      <name val="Arial"/>
    </font>
    <font>
      <b val="0"/>
      <i/>
      <sz val="10"/>
      <color rgb="FF006100"/>
      <name val="Arial"/>
    </font>
    <font>
      <b val="0"/>
      <i val="0"/>
      <sz val="10"/>
      <color rgb="FF000000"/>
      <name val="Arial"/>
    </font>
    <font>
      <b/>
      <i val="0"/>
      <sz val="10"/>
      <color rgb="FF000000"/>
      <name val="Arial"/>
    </font>
    <font>
      <b val="0"/>
      <i val="0"/>
      <sz val="10"/>
      <color rgb="FF006100"/>
      <name val="Arial"/>
    </font>
    <font>
      <b/>
      <i val="0"/>
      <sz val="10"/>
      <color rgb="FF006100"/>
      <name val="Arial"/>
    </font>
    <font>
      <b val="0"/>
      <i/>
      <sz val="10"/>
      <color rgb="FF0000FF"/>
      <name val="Arial"/>
    </font>
    <font>
      <b val="0"/>
      <i val="0"/>
      <sz val="10"/>
      <color rgb="FF0000FF"/>
      <name val="Arial"/>
    </font>
    <font>
      <b/>
      <i val="0"/>
      <sz val="11"/>
      <color rgb="FF000000"/>
      <name val="Arial"/>
    </font>
    <font>
      <b/>
      <i val="0"/>
      <sz val="12"/>
      <color rgb="FF000000"/>
      <name val="Arial"/>
    </font>
    <font>
      <b val="0"/>
      <i/>
      <sz val="9"/>
      <color rgb="FF000000"/>
      <name val="Arial"/>
    </font>
    <font>
      <b/>
      <i val="0"/>
      <u/>
      <sz val="10"/>
      <color rgb="FF000000"/>
      <name val="Arial"/>
    </font>
    <font>
      <b/>
      <i val="0"/>
      <sz val="10"/>
      <color rgb="FF0000FF"/>
      <name val="Arial"/>
    </font>
    <font>
      <b/>
      <i/>
      <sz val="10"/>
      <color rgb="FF006100"/>
      <name val="Arial"/>
    </font>
    <font>
      <b/>
      <i/>
      <sz val="10"/>
      <color rgb="FF000000"/>
      <name val="Arial"/>
    </font>
    <font>
      <b val="0"/>
      <i/>
      <sz val="10"/>
      <color rgb="FF000000"/>
      <name val="Calibri"/>
    </font>
    <font>
      <b val="0"/>
      <i/>
      <sz val="9"/>
      <color rgb="FF000000"/>
      <name val="Calibri"/>
    </font>
    <font>
      <b val="0"/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8F0FA"/>
      </patternFill>
    </fill>
  </fills>
  <borders count="8">
    <border>
      <left/>
      <right/>
      <top/>
      <bottom/>
    </border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1"/>
  </cellStyleXfs>
  <cellXfs count="100">
    <xf numFmtId="0" fontId="0" fillId="0" borderId="1" xfId="0"/>
    <xf numFmtId="0" fontId="10" fillId="0" borderId="1" xfId="0">
      <alignment horizontal="left" vertical="bottom"/>
    </xf>
    <xf numFmtId="0" fontId="9" fillId="0" borderId="1" xfId="0">
      <alignment horizontal="left" vertical="bottom"/>
    </xf>
    <xf numFmtId="0" fontId="3" fillId="0" borderId="1" xfId="0">
      <alignment horizontal="left" vertical="bottom"/>
    </xf>
    <xf numFmtId="0" fontId="4" fillId="0" borderId="1" xfId="0">
      <alignment horizontal="left" vertical="bottom"/>
    </xf>
    <xf numFmtId="0" fontId="4" fillId="2" borderId="5" xfId="0">
      <alignment horizontal="left" vertical="bottom"/>
    </xf>
    <xf numFmtId="0" fontId="4" fillId="2" borderId="5" xfId="0">
      <alignment horizontal="right" vertical="bottom"/>
    </xf>
    <xf numFmtId="19653" fontId="6" fillId="0" borderId="1" xfId="0">
      <alignment horizontal="right" vertical="bottom"/>
    </xf>
    <xf numFmtId="19653" fontId="5" fillId="0" borderId="1" xfId="0">
      <alignment horizontal="right" vertical="bottom"/>
    </xf>
    <xf numFmtId="19653" fontId="3" fillId="0" borderId="1" xfId="0">
      <alignment horizontal="right" vertical="bottom"/>
    </xf>
    <xf numFmtId="19651" fontId="1" fillId="0" borderId="1" xfId="0">
      <alignment horizontal="right" vertical="bottom"/>
    </xf>
    <xf numFmtId="0" fontId="5" fillId="0" borderId="1" xfId="0">
      <alignment horizontal="right" vertical="bottom"/>
    </xf>
    <xf numFmtId="19653" fontId="8" fillId="0" borderId="1" xfId="0">
      <alignment horizontal="right" vertical="bottom"/>
    </xf>
    <xf numFmtId="19704" fontId="6" fillId="0" borderId="1" xfId="0">
      <alignment horizontal="right" vertical="bottom"/>
    </xf>
    <xf numFmtId="19704" fontId="5" fillId="0" borderId="1" xfId="0">
      <alignment horizontal="right" vertical="bottom"/>
    </xf>
    <xf numFmtId="19704" fontId="3" fillId="0" borderId="1" xfId="0">
      <alignment horizontal="right" vertical="bottom"/>
    </xf>
    <xf numFmtId="19704" fontId="8" fillId="0" borderId="1" xfId="0">
      <alignment horizontal="right" vertical="bottom"/>
    </xf>
    <xf numFmtId="0" fontId="3" fillId="0" borderId="1" xfId="0">
      <alignment horizontal="right" vertical="bottom"/>
    </xf>
    <xf numFmtId="19651" fontId="2" fillId="0" borderId="1" xfId="0">
      <alignment horizontal="right" vertical="bottom"/>
    </xf>
    <xf numFmtId="0" fontId="1" fillId="0" borderId="1" xfId="0">
      <alignment horizontal="right" vertical="bottom"/>
    </xf>
    <xf numFmtId="19651" fontId="7" fillId="0" borderId="1" xfId="0">
      <alignment horizontal="right" vertical="bottom"/>
    </xf>
    <xf numFmtId="19662" fontId="6" fillId="0" borderId="1" xfId="0">
      <alignment horizontal="right" vertical="bottom"/>
    </xf>
    <xf numFmtId="0" fontId="4" fillId="0" borderId="1" xfId="0">
      <alignment horizontal="right" vertical="bottom"/>
    </xf>
    <xf numFmtId="0" fontId="16" fillId="0" borderId="1" xfId="0">
      <alignment horizontal="left" vertical="bottom"/>
    </xf>
    <xf numFmtId="0" fontId="3" fillId="0" borderId="1" xfId="0">
      <alignment horizontal="left" vertical="bottom" indent="1"/>
    </xf>
    <xf numFmtId="1" fontId="5" fillId="0" borderId="1" xfId="0">
      <alignment horizontal="right" vertical="bottom"/>
    </xf>
    <xf numFmtId="0" fontId="4" fillId="2" borderId="6" xfId="0">
      <alignment horizontal="left" vertical="bottom"/>
    </xf>
    <xf numFmtId="0" fontId="4" fillId="2" borderId="6" xfId="0">
      <alignment horizontal="right" vertical="bottom"/>
    </xf>
    <xf numFmtId="0" fontId="4" fillId="3" borderId="6" xfId="0">
      <alignment horizontal="right" vertical="bottom"/>
    </xf>
    <xf numFmtId="0" fontId="3" fillId="2" borderId="1" xfId="0">
      <alignment horizontal="left" vertical="bottom"/>
    </xf>
    <xf numFmtId="19663" fontId="8" fillId="2" borderId="1" xfId="0">
      <alignment horizontal="right" vertical="bottom"/>
    </xf>
    <xf numFmtId="19663" fontId="8" fillId="3" borderId="1" xfId="0">
      <alignment horizontal="right" vertical="bottom"/>
    </xf>
    <xf numFmtId="0" fontId="3" fillId="2" borderId="7" xfId="0">
      <alignment horizontal="left" vertical="bottom"/>
    </xf>
    <xf numFmtId="1" fontId="8" fillId="2" borderId="7" xfId="0">
      <alignment horizontal="right" vertical="bottom"/>
    </xf>
    <xf numFmtId="1" fontId="8" fillId="3" borderId="7" xfId="0">
      <alignment horizontal="right" vertical="bottom"/>
    </xf>
    <xf numFmtId="0" fontId="12" fillId="0" borderId="1" xfId="0">
      <alignment horizontal="left" vertical="bottom"/>
    </xf>
    <xf numFmtId="19653" fontId="5" fillId="3" borderId="1" xfId="0">
      <alignment horizontal="right" vertical="bottom"/>
    </xf>
    <xf numFmtId="0" fontId="1" fillId="0" borderId="1" xfId="0">
      <alignment horizontal="left" vertical="bottom" indent="2"/>
    </xf>
    <xf numFmtId="19651" fontId="1" fillId="3" borderId="1" xfId="0">
      <alignment horizontal="right" vertical="bottom"/>
    </xf>
    <xf numFmtId="19653" fontId="8" fillId="3" borderId="1" xfId="0">
      <alignment horizontal="right" vertical="bottom"/>
    </xf>
    <xf numFmtId="0" fontId="11" fillId="0" borderId="1" xfId="0">
      <alignment horizontal="left" vertical="bottom"/>
    </xf>
    <xf numFmtId="19653" fontId="4" fillId="0" borderId="6" xfId="0">
      <alignment horizontal="right" vertical="bottom"/>
    </xf>
    <xf numFmtId="19653" fontId="4" fillId="3" borderId="6" xfId="0">
      <alignment horizontal="right" vertical="bottom"/>
    </xf>
    <xf numFmtId="0" fontId="1" fillId="0" borderId="1" xfId="0">
      <alignment horizontal="left" vertical="bottom" indent="1"/>
    </xf>
    <xf numFmtId="0" fontId="17" fillId="0" borderId="1" xfId="0">
      <alignment horizontal="left" vertical="bottom"/>
    </xf>
    <xf numFmtId="0" fontId="4" fillId="0" borderId="1" xfId="0">
      <alignment horizontal="left" vertical="bottom" indent="1"/>
    </xf>
    <xf numFmtId="19653" fontId="6" fillId="0" borderId="6" xfId="0">
      <alignment horizontal="right" vertical="bottom"/>
    </xf>
    <xf numFmtId="19653" fontId="6" fillId="3" borderId="6" xfId="0">
      <alignment horizontal="right" vertical="bottom"/>
    </xf>
    <xf numFmtId="19653" fontId="2" fillId="0" borderId="1" xfId="0">
      <alignment horizontal="right" vertical="bottom"/>
    </xf>
    <xf numFmtId="19653" fontId="2" fillId="3" borderId="1" xfId="0">
      <alignment horizontal="right" vertical="bottom"/>
    </xf>
    <xf numFmtId="19653" fontId="1" fillId="0" borderId="1" xfId="0">
      <alignment horizontal="right" vertical="bottom"/>
    </xf>
    <xf numFmtId="19653" fontId="1" fillId="3" borderId="1" xfId="0">
      <alignment horizontal="right" vertical="bottom"/>
    </xf>
    <xf numFmtId="0" fontId="3" fillId="3" borderId="1" xfId="0"/>
    <xf numFmtId="0" fontId="11" fillId="0" borderId="1" xfId="0"/>
    <xf numFmtId="19653" fontId="3" fillId="3" borderId="1" xfId="0">
      <alignment horizontal="right" vertical="bottom"/>
    </xf>
    <xf numFmtId="0" fontId="3" fillId="0" borderId="1" xfId="0">
      <alignment horizontal="left" vertical="bottom" indent="2"/>
    </xf>
    <xf numFmtId="19651" fontId="7" fillId="3" borderId="1" xfId="0">
      <alignment horizontal="right" vertical="bottom"/>
    </xf>
    <xf numFmtId="0" fontId="1" fillId="0" borderId="1" xfId="0">
      <alignment horizontal="left" vertical="bottom" indent="3"/>
    </xf>
    <xf numFmtId="19670" fontId="1" fillId="0" borderId="1" xfId="0">
      <alignment horizontal="right" vertical="bottom"/>
    </xf>
    <xf numFmtId="19670" fontId="1" fillId="3" borderId="1" xfId="0">
      <alignment horizontal="right" vertical="bottom"/>
    </xf>
    <xf numFmtId="19653" fontId="13" fillId="0" borderId="6" xfId="0">
      <alignment horizontal="right" vertical="bottom"/>
    </xf>
    <xf numFmtId="19704" fontId="3" fillId="3" borderId="1" xfId="0">
      <alignment horizontal="right" vertical="bottom"/>
    </xf>
    <xf numFmtId="19704" fontId="1" fillId="0" borderId="1" xfId="0">
      <alignment horizontal="right" vertical="bottom"/>
    </xf>
    <xf numFmtId="19704" fontId="1" fillId="3" borderId="1" xfId="0">
      <alignment horizontal="right" vertical="bottom"/>
    </xf>
    <xf numFmtId="19704" fontId="4" fillId="0" borderId="6" xfId="0">
      <alignment horizontal="right" vertical="bottom"/>
    </xf>
    <xf numFmtId="19704" fontId="4" fillId="3" borderId="6" xfId="0">
      <alignment horizontal="right" vertical="bottom"/>
    </xf>
    <xf numFmtId="19651" fontId="2" fillId="3" borderId="1" xfId="0">
      <alignment horizontal="right" vertical="bottom"/>
    </xf>
    <xf numFmtId="0" fontId="18" fillId="0" borderId="1" xfId="0"/>
    <xf numFmtId="0" fontId="15" fillId="0" borderId="1" xfId="0">
      <alignment horizontal="left" vertical="bottom" indent="1"/>
    </xf>
    <xf numFmtId="19651" fontId="14" fillId="0" borderId="1" xfId="0">
      <alignment horizontal="right" vertical="bottom"/>
    </xf>
    <xf numFmtId="19651" fontId="14" fillId="3" borderId="1" xfId="0">
      <alignment horizontal="right" vertical="bottom"/>
    </xf>
    <xf numFmtId="0" fontId="1" fillId="0" borderId="1" xfId="0">
      <alignment horizontal="left" vertical="bottom"/>
    </xf>
    <xf numFmtId="19704" fontId="8" fillId="3" borderId="1" xfId="0">
      <alignment horizontal="right" vertical="bottom"/>
    </xf>
    <xf numFmtId="19704" fontId="2" fillId="0" borderId="1" xfId="0">
      <alignment horizontal="right" vertical="bottom"/>
    </xf>
    <xf numFmtId="19704" fontId="2" fillId="3" borderId="1" xfId="0">
      <alignment horizontal="right" vertical="bottom"/>
    </xf>
    <xf numFmtId="19704" fontId="5" fillId="3" borderId="1" xfId="0">
      <alignment horizontal="right" vertical="bottom"/>
    </xf>
    <xf numFmtId="0" fontId="4" fillId="2" borderId="5" xfId="0">
      <alignment horizontal="left" vertical="bottom" wrapText="1"/>
    </xf>
    <xf numFmtId="19663" fontId="8" fillId="0" borderId="1" xfId="0">
      <alignment horizontal="left" vertical="bottom"/>
    </xf>
    <xf numFmtId="19651" fontId="8" fillId="0" borderId="1" xfId="0">
      <alignment horizontal="right" vertical="bottom"/>
    </xf>
    <xf numFmtId="19651" fontId="3" fillId="0" borderId="1" xfId="0">
      <alignment horizontal="right" vertical="bottom"/>
    </xf>
    <xf numFmtId="19651" fontId="5" fillId="0" borderId="1" xfId="0">
      <alignment horizontal="right" vertical="bottom"/>
    </xf>
    <xf numFmtId="19651" fontId="3" fillId="0" borderId="1" xfId="0">
      <alignment horizontal="left" vertical="bottom" wrapText="1"/>
    </xf>
    <xf numFmtId="0" fontId="1" fillId="0" borderId="1" xfId="0">
      <alignment horizontal="left" vertical="bottom" wrapText="1"/>
    </xf>
    <xf numFmtId="0" fontId="3" fillId="0" borderId="1" xfId="0">
      <alignment horizontal="left" vertical="bottom" wrapText="1"/>
    </xf>
    <xf numFmtId="19670" fontId="8" fillId="0" borderId="1" xfId="0">
      <alignment horizontal="right" vertical="bottom"/>
    </xf>
    <xf numFmtId="19670" fontId="3" fillId="0" borderId="1" xfId="0">
      <alignment horizontal="right" vertical="bottom"/>
    </xf>
    <xf numFmtId="49" fontId="3" fillId="0" borderId="1" xfId="0">
      <alignment horizontal="right" vertical="bottom"/>
    </xf>
    <xf numFmtId="0" fontId="3" fillId="0" borderId="1" xfId="0">
      <alignment horizontal="left" vertical="top"/>
    </xf>
    <xf numFmtId="19663" fontId="8" fillId="0" borderId="1" xfId="0">
      <alignment horizontal="left" vertical="top"/>
    </xf>
    <xf numFmtId="0" fontId="3" fillId="0" borderId="1" xfId="0">
      <alignment horizontal="left" vertical="top" wrapText="1"/>
    </xf>
    <xf numFmtId="19663" fontId="3" fillId="0" borderId="1" xfId="0">
      <alignment horizontal="left" vertical="top"/>
    </xf>
    <xf numFmtId="49" fontId="8" fillId="0" borderId="1" xfId="0">
      <alignment horizontal="right" vertical="bottom"/>
    </xf>
    <xf numFmtId="49" fontId="8" fillId="0" borderId="1" xfId="0">
      <alignment horizontal="left" vertical="bottom"/>
    </xf>
    <xf numFmtId="19663" fontId="8" fillId="0" borderId="1" xfId="0">
      <alignment horizontal="right" vertical="bottom"/>
    </xf>
    <xf numFmtId="1" fontId="8" fillId="0" borderId="1" xfId="0">
      <alignment horizontal="right" vertical="bottom"/>
    </xf>
    <xf numFmtId="2" fontId="8" fillId="0" borderId="1" xfId="0">
      <alignment horizontal="right" vertical="bottom"/>
    </xf>
    <xf numFmtId="0" fontId="4" fillId="2" borderId="5" xfId="0">
      <alignment horizontal="right" vertical="top" wrapText="1"/>
    </xf>
    <xf numFmtId="1" fontId="3" fillId="0" borderId="1" xfId="0">
      <alignment horizontal="right" vertical="bottom"/>
    </xf>
    <xf numFmtId="19662" fontId="8" fillId="0" borderId="1" xfId="0">
      <alignment horizontal="right" vertical="bottom"/>
    </xf>
    <xf numFmtId="19662" fontId="3" fillId="0" borderId="1" xfId="0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9525</xdr:colOff>
      <xdr:row>3</xdr:row>
      <xdr:rowOff>38100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38100" y="38100"/>
          <a:ext cx="574675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7AC0988-CA89-1648-2D79-D9DCACC8C61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width="9.00390625" customWidth="1"/>
    <col min="2" max="2" width="34.00390625" customWidth="1"/>
    <col min="3" max="4" width="18.00390625" customWidth="1"/>
    <col min="5" max="6" width="12.00390625" customWidth="1"/>
    <col min="7" max="8" width="15.00390625" customWidth="1"/>
  </cols>
  <sheetData>
    <row r="1" ht="15" customHeight="1">
      <c r="B1" s="1" t="s">
        <v>0</v>
      </c>
    </row>
    <row r="2" ht="15" customHeight="1">
      <c r="B2" s="2" t="s">
        <v>1</v>
      </c>
    </row>
    <row r="3" ht="15" customHeight="1">
      <c r="B3" s="3" t="s">
        <v>2</v>
      </c>
    </row>
    <row r="5" ht="15" customHeight="1">
      <c r="B5" s="4" t="s">
        <v>3</v>
      </c>
      <c r="C5" s="3" t="s">
        <v>4</v>
      </c>
    </row>
    <row r="6" ht="15" customHeight="1">
      <c r="B6" s="4" t="s">
        <v>5</v>
      </c>
      <c r="C6" s="3" t="s">
        <v>6</v>
      </c>
    </row>
    <row r="7" ht="15" customHeight="1">
      <c r="B7" s="4" t="s">
        <v>7</v>
      </c>
      <c r="C7" s="3" t="s">
        <v>8</v>
      </c>
    </row>
    <row r="8" ht="15" customHeight="1">
      <c r="B8" s="4" t="s">
        <v>9</v>
      </c>
      <c r="C8" s="3" t="s">
        <v>10</v>
      </c>
    </row>
    <row r="9" ht="15" customHeight="1">
      <c r="B9" s="4" t="s">
        <v>11</v>
      </c>
      <c r="C9" s="3" t="s">
        <v>12</v>
      </c>
    </row>
    <row r="10" ht="15" customHeight="1">
      <c r="B10" s="4" t="s">
        <v>13</v>
      </c>
      <c r="C10" s="3" t="s">
        <v>14</v>
      </c>
    </row>
    <row r="11" ht="15" customHeight="1">
      <c r="B11" s="4" t="s">
        <v>15</v>
      </c>
      <c r="C11" s="3" t="s">
        <v>16</v>
      </c>
    </row>
    <row r="12" ht="15" customHeight="1">
      <c r="B12" s="4" t="s">
        <v>17</v>
      </c>
      <c r="C12" s="3" t="s">
        <v>18</v>
      </c>
    </row>
    <row r="13" ht="15" customHeight="1">
      <c r="B13" s="4" t="s">
        <v>19</v>
      </c>
      <c r="C13" s="3" t="s">
        <v>20</v>
      </c>
    </row>
    <row r="14" ht="15" customHeight="1">
      <c r="B14" s="4" t="s">
        <v>21</v>
      </c>
      <c r="C14" s="3" t="s">
        <v>22</v>
      </c>
    </row>
    <row r="16" ht="15" customHeight="1">
      <c r="B16" s="5" t="s">
        <v>23</v>
      </c>
      <c r="C16" s="6" t="s">
        <v>24</v>
      </c>
      <c r="D16" s="6" t="s">
        <v>25</v>
      </c>
      <c r="E16" s="6" t="s">
        <v>26</v>
      </c>
      <c r="F16" s="6" t="s">
        <v>27</v>
      </c>
      <c r="G16" s="6" t="s">
        <v>28</v>
      </c>
      <c r="H16" s="6" t="s">
        <v>29</v>
      </c>
    </row>
    <row r="17" ht="15" customHeight="1">
      <c r="B17" s="4" t="s">
        <v>30</v>
      </c>
      <c r="C17" s="7">
        <f>'Income Statement'!J75</f>
        <v>16266.599545785388</v>
      </c>
      <c r="D17" s="8">
        <f>Inputs!C37</f>
        <v>16242.3</v>
      </c>
      <c r="E17" s="9">
        <f t="shared" si="0" ref="E17:E22">C17-D17</f>
        <v>24.299545785388545</v>
      </c>
      <c r="F17" s="10">
        <f t="shared" si="1" ref="F17:F22">E17/D17</f>
        <v>0.001496065568631816</v>
      </c>
      <c r="G17" s="11" t="str">
        <f>Guidance!G15</f>
        <v>n/a</v>
      </c>
      <c r="H17" s="12">
        <v>16110</v>
      </c>
    </row>
    <row r="18" ht="15" customHeight="1">
      <c r="B18" s="3" t="s">
        <v>32</v>
      </c>
      <c r="C18" s="8">
        <f>'Income Statement'!J224</f>
        <v>3426.84628778907</v>
      </c>
      <c r="D18" s="8">
        <f>Inputs!C50</f>
        <v>3369.67</v>
      </c>
      <c r="E18" s="9">
        <f t="shared" si="0"/>
        <v>57.1762877890701</v>
      </c>
      <c r="F18" s="10">
        <f t="shared" si="1"/>
        <v>0.016967919051144503</v>
      </c>
      <c r="G18" s="11" t="str">
        <f>Guidance!G15</f>
        <v>n/a</v>
      </c>
      <c r="H18" s="9" t="s">
        <v>31</v>
      </c>
    </row>
    <row r="19" ht="15" customHeight="1">
      <c r="B19" s="3" t="s">
        <v>33</v>
      </c>
      <c r="C19" s="8">
        <f>'Income Statement'!J149</f>
        <v>2771.73628778907</v>
      </c>
      <c r="D19" s="8">
        <f>Inputs!C51</f>
        <v>2874.11</v>
      </c>
      <c r="E19" s="9">
        <f t="shared" si="0"/>
        <v>-102.37371221093008</v>
      </c>
      <c r="F19" s="10">
        <f t="shared" si="1"/>
        <v>-0.035619274213906246</v>
      </c>
      <c r="G19" s="11" t="str">
        <f>Guidance!G15</f>
        <v>n/a</v>
      </c>
      <c r="H19" s="9" t="s">
        <v>31</v>
      </c>
    </row>
    <row r="20" ht="15" customHeight="1">
      <c r="B20" s="4" t="s">
        <v>34</v>
      </c>
      <c r="C20" s="13">
        <f>'Income Statement'!J227</f>
        <v>5.634870159975451</v>
      </c>
      <c r="D20" s="14">
        <f>Inputs!C19</f>
        <v>5.5</v>
      </c>
      <c r="E20" s="15">
        <f t="shared" si="0"/>
        <v>0.13487015997545093</v>
      </c>
      <c r="F20" s="10">
        <f t="shared" si="1"/>
        <v>0.024521847268263806</v>
      </c>
      <c r="G20" s="11" t="str">
        <f>Guidance!G15</f>
        <v>n/a</v>
      </c>
      <c r="H20" s="16">
        <v>5.45</v>
      </c>
    </row>
    <row r="21" ht="15" customHeight="1">
      <c r="B21" s="3" t="s">
        <v>35</v>
      </c>
      <c r="C21" s="14">
        <f>'Income Statement'!J161</f>
        <v>4.557652368312209</v>
      </c>
      <c r="D21" s="14">
        <f>Inputs!C28</f>
        <v>4.66</v>
      </c>
      <c r="E21" s="15">
        <f t="shared" si="0"/>
        <v>-0.10234763168779093</v>
      </c>
      <c r="F21" s="10">
        <f t="shared" si="1"/>
        <v>-0.021963011091800627</v>
      </c>
      <c r="G21" s="11" t="str">
        <f>Guidance!G15</f>
        <v>n/a</v>
      </c>
      <c r="H21" s="15" t="s">
        <v>31</v>
      </c>
    </row>
    <row r="22" ht="15" customHeight="1">
      <c r="B22" s="3" t="s">
        <v>36</v>
      </c>
      <c r="C22" s="8">
        <f>'Income Statement'!J119</f>
        <v>3634.7350457853863</v>
      </c>
      <c r="D22" s="8">
        <f>Inputs!C49</f>
        <v>3713.63</v>
      </c>
      <c r="E22" s="9">
        <f t="shared" si="0"/>
        <v>-78.89495421461379</v>
      </c>
      <c r="F22" s="10">
        <f t="shared" si="1"/>
        <v>-0.021244699718230894</v>
      </c>
      <c r="G22" s="17" t="s">
        <v>31</v>
      </c>
      <c r="H22" s="9" t="s">
        <v>31</v>
      </c>
    </row>
    <row r="23" ht="15" customHeight="1">
      <c r="B23" s="3" t="s">
        <v>37</v>
      </c>
      <c r="C23" s="8">
        <f>'Income Statement'!J38</f>
        <v>12735.388812785388</v>
      </c>
      <c r="D23" s="17" t="s">
        <v>31</v>
      </c>
      <c r="E23" s="17" t="s">
        <v>31</v>
      </c>
      <c r="F23" s="17" t="s">
        <v>31</v>
      </c>
      <c r="G23" s="17" t="s">
        <v>31</v>
      </c>
      <c r="H23" s="12">
        <v>12710</v>
      </c>
    </row>
    <row r="24" ht="15" customHeight="1">
      <c r="B24" s="3" t="s">
        <v>38</v>
      </c>
      <c r="C24" s="18">
        <f>'Balance Sheet'!J124</f>
        <v>0.0830013989308368</v>
      </c>
      <c r="D24" s="19" t="s">
        <v>31</v>
      </c>
      <c r="E24" s="19" t="s">
        <v>31</v>
      </c>
      <c r="F24" s="19" t="s">
        <v>31</v>
      </c>
      <c r="G24" s="19" t="s">
        <v>31</v>
      </c>
      <c r="H24" s="20">
        <v>0.083</v>
      </c>
    </row>
    <row r="25" ht="15" customHeight="1">
      <c r="B25" s="3" t="s">
        <v>39</v>
      </c>
      <c r="C25" s="18">
        <f>'Income Statement'!J169</f>
        <v>0.5621949427266397</v>
      </c>
      <c r="D25" s="19" t="s">
        <v>31</v>
      </c>
      <c r="E25" s="19" t="s">
        <v>31</v>
      </c>
      <c r="F25" s="19" t="s">
        <v>31</v>
      </c>
      <c r="G25" s="19" t="s">
        <v>31</v>
      </c>
      <c r="H25" s="20">
        <v>0.564</v>
      </c>
    </row>
    <row r="26" ht="15" customHeight="1">
      <c r="B26" s="3" t="s">
        <v>40</v>
      </c>
      <c r="C26" s="8">
        <f>'Income Statement'!J85</f>
        <v>3486.8645000000006</v>
      </c>
      <c r="D26" s="17" t="s">
        <v>31</v>
      </c>
      <c r="E26" s="17" t="s">
        <v>31</v>
      </c>
      <c r="F26" s="17" t="s">
        <v>31</v>
      </c>
      <c r="G26" s="17" t="s">
        <v>31</v>
      </c>
      <c r="H26" s="9" t="s">
        <v>31</v>
      </c>
    </row>
    <row r="27" ht="15" customHeight="1">
      <c r="B27" s="4" t="s">
        <v>41</v>
      </c>
      <c r="C27" s="21">
        <f>Inputs!C109</f>
        <v>0.6714285714285715</v>
      </c>
    </row>
    <row r="28" ht="15" customHeight="1">
      <c r="B28" s="4" t="s">
        <v>42</v>
      </c>
      <c r="C28" s="22" t="s">
        <v>43</v>
      </c>
    </row>
    <row r="30" ht="15" customHeight="1">
      <c r="B30" s="4" t="s">
        <v>44</v>
      </c>
      <c r="C30" s="7" t="str">
        <f>IF(((SUMIF('Revenue summary'!C129:J129,"&gt;0")-SUMIF('Revenue summary'!C129:J129,"&lt;0"))+(SUMIF('Revenue summary'!C130:J130,"&gt;0")-SUMIF('Revenue summary'!C130:J130,"&lt;0"))+(SUMIF('Income Statement'!C45:J45,"&gt;0")-SUMIF('Income Statement'!C45:J45,"&lt;0"))+(SUMIF('Balance Sheet'!C59:J59,"&gt;0")-SUMIF('Balance Sheet'!C59:J59,"&lt;0"))+(SUMIF('Balance Sheet'!C66:J66,"&gt;0")-SUMIF('Balance Sheet'!C66:J66,"&lt;0"))+(SUMIF('Balance Sheet'!C67:J67,"&gt;0")-SUMIF('Balance Sheet'!C67:J67,"&lt;0"))+(SUMIF('Cash Flow Statement'!C42:J42,"&gt;0")-SUMIF('Cash Flow Statement'!C42:J42,"&lt;0"))+(SUMIF('Share Count'!C59:J59,"&gt;0")-SUMIF('Share Count'!C59:J59,"&lt;0"))+(SUMIF('Income Statement'!C167:I167,"&gt;0")-SUMIF('Income Statement'!C167:I167,"&lt;0"))+(SUMIF('Income Statement'!C233:I233,"&gt;0")-SUMIF('Income Statement'!C233:I233,"&lt;0"))+(SUMIF('Balance Sheet'!C60:I60,"&gt;0")-SUMIF('Balance Sheet'!C60:I60,"&lt;0"))+C31+Inputs!C112)&lt;0.02,"PASS","FAIL")</f>
        <v>PASS</v>
      </c>
      <c r="D30" s="23" t="s">
        <v>46</v>
      </c>
    </row>
    <row r="31" ht="15" customHeight="1">
      <c r="B31" s="24" t="s">
        <v>47</v>
      </c>
      <c r="C31" s="8">
        <f>ABS(C17-'Income Statement'!J75)+ABS(C20-'Income Statement'!J227)+ABS(C18-'Income Statement'!J224)+ABS(C21-'Income Statement'!J161)</f>
        <v>0</v>
      </c>
    </row>
    <row r="33" ht="15" customHeight="1">
      <c r="B33" s="3" t="s">
        <v>48</v>
      </c>
      <c r="C33" s="25">
        <f>Inputs!C24</f>
        <v>17</v>
      </c>
    </row>
    <row r="34" ht="15" customHeight="1">
      <c r="B34" s="3" t="s">
        <v>49</v>
      </c>
      <c r="C34" s="11" t="str">
        <f>TEXT(Inputs!C22,"0.00")&amp;" – "&amp;TEXT(Inputs!C21,"0.00")</f>
        <v>5.07 – 5.70</v>
      </c>
    </row>
    <row r="35" ht="15" customHeight="1">
      <c r="B35" s="3" t="s">
        <v>51</v>
      </c>
      <c r="C35" s="11" t="str">
        <f>TEXT(Inputs!C40,"#,##0")&amp;" – "&amp;TEXT(Inputs!C39,"#,##0")</f>
        <v>15,870 – 16,418</v>
      </c>
    </row>
    <row r="37" ht="15" customHeight="1">
      <c r="B37" s="23" t="s">
        <v>53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3"/>
  <legacyDrawing r:id="rId2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1A1F8D4-3DEC-FBC8-25C8-.337EA0DA33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10" width="12.00390625" customWidth="1"/>
    <col min="11" max="11" width="16.00390625" customWidth="1"/>
  </cols>
  <sheetData>
    <row r="1" ht="15" customHeight="1">
      <c r="B1" s="1" t="s">
        <v>0</v>
      </c>
    </row>
    <row r="2" ht="15" customHeight="1">
      <c r="B2" s="2" t="s">
        <v>54</v>
      </c>
    </row>
    <row r="3" ht="15" customHeight="1">
      <c r="B3" s="3" t="s">
        <v>2</v>
      </c>
    </row>
    <row r="5" ht="15" customHeight="1">
      <c r="B5" s="26" t="s">
        <v>55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7" t="s">
        <v>61</v>
      </c>
      <c r="I5" s="27" t="s">
        <v>62</v>
      </c>
      <c r="J5" s="28" t="s">
        <v>63</v>
      </c>
      <c r="K5" s="26" t="s">
        <v>64</v>
      </c>
    </row>
    <row r="6" ht="15" customHeight="1">
      <c r="B6" s="29" t="s">
        <v>65</v>
      </c>
      <c r="C6" s="30">
        <v>45747</v>
      </c>
      <c r="D6" s="30">
        <v>45838</v>
      </c>
      <c r="E6" s="30">
        <v>45930</v>
      </c>
      <c r="F6" s="30">
        <v>46022</v>
      </c>
      <c r="G6" s="30">
        <v>46022</v>
      </c>
      <c r="H6" s="30">
        <v>46112</v>
      </c>
      <c r="I6" s="30">
        <v>46203</v>
      </c>
      <c r="J6" s="31">
        <v>46295</v>
      </c>
      <c r="K6" s="29"/>
    </row>
    <row r="7" ht="15" customHeight="1">
      <c r="B7" s="32" t="s">
        <v>66</v>
      </c>
      <c r="C7" s="33">
        <v>90</v>
      </c>
      <c r="D7" s="33">
        <v>91</v>
      </c>
      <c r="E7" s="33">
        <v>92</v>
      </c>
      <c r="F7" s="33">
        <v>92</v>
      </c>
      <c r="G7" s="33">
        <v>365</v>
      </c>
      <c r="H7" s="33">
        <v>90</v>
      </c>
      <c r="I7" s="33">
        <v>91</v>
      </c>
      <c r="J7" s="34">
        <v>92</v>
      </c>
      <c r="K7" s="32"/>
    </row>
    <row r="9" ht="15" customHeight="1">
      <c r="B9" s="35" t="s">
        <v>67</v>
      </c>
    </row>
    <row r="10" ht="15" customHeight="1">
      <c r="B10" s="24" t="s">
        <v>68</v>
      </c>
      <c r="C10" s="8">
        <f>'Segment - Credit Card'!C87</f>
        <v>5654</v>
      </c>
      <c r="D10" s="8">
        <f>'Segment - Credit Card'!D87</f>
        <v>7293</v>
      </c>
      <c r="E10" s="8">
        <f>'Segment - Credit Card'!E87</f>
        <v>9396</v>
      </c>
      <c r="F10" s="8">
        <f>'Segment - Credit Card'!F87</f>
        <v>9479</v>
      </c>
      <c r="G10" s="8">
        <f>'Segment - Credit Card'!G87</f>
        <v>31822</v>
      </c>
      <c r="H10" s="8">
        <f>'Segment - Credit Card'!H87</f>
        <v>9236</v>
      </c>
      <c r="I10" s="8">
        <f>'Segment - Credit Card'!I87</f>
        <v>9252</v>
      </c>
      <c r="J10" s="36">
        <f>'Segment - Credit Card'!J87</f>
        <v>9543.077031963472</v>
      </c>
    </row>
    <row r="11" ht="15" customHeight="1">
      <c r="B11" s="37" t="s">
        <v>69</v>
      </c>
      <c r="C11" s="10" t="s">
        <v>31</v>
      </c>
      <c r="D11" s="10">
        <f t="shared" si="0" ref="D11:J83">IF(AND(ISNUMBER(D10),ISNUMBER(C10)),IF(C10&gt;0,D10/C10-1,"n/m"),"n/a")</f>
        <v>0.28988326848249035</v>
      </c>
      <c r="E11" s="10">
        <f t="shared" si="0"/>
        <v>0.28835870012340603</v>
      </c>
      <c r="F11" s="10">
        <f t="shared" si="0"/>
        <v>0.008833546189868091</v>
      </c>
      <c r="G11" s="10" t="s">
        <v>31</v>
      </c>
      <c r="H11" s="10">
        <f t="shared" si="5" ref="H11:H83">IF(AND(ISNUMBER(H10),ISNUMBER(F10)),IF(F10&gt;0,H10/F10-1,"n/m"),"n/a")</f>
        <v>-0.025635615571262815</v>
      </c>
      <c r="I11" s="10">
        <f t="shared" si="0"/>
        <v>0.0017323516673883876</v>
      </c>
      <c r="J11" s="38">
        <f t="shared" si="0"/>
        <v>0.03146098486418847</v>
      </c>
    </row>
    <row r="12" ht="15" customHeight="1">
      <c r="B12" s="37" t="s">
        <v>70</v>
      </c>
      <c r="C12" s="10">
        <f t="shared" si="1" ref="C12:J52">IF(AND(ISNUMBER(C10),C42&lt;&gt;0),C10/C42,"n/a")</f>
        <v>0.7056033944839636</v>
      </c>
      <c r="D12" s="10">
        <f t="shared" si="1"/>
        <v>0.729664832416208</v>
      </c>
      <c r="E12" s="10">
        <f t="shared" si="1"/>
        <v>0.7574975814253466</v>
      </c>
      <c r="F12" s="10">
        <f t="shared" si="1"/>
        <v>0.7603882560564736</v>
      </c>
      <c r="G12" s="10">
        <f t="shared" si="1"/>
        <v>0.7421521526190588</v>
      </c>
      <c r="H12" s="10">
        <f t="shared" si="1"/>
        <v>0.7604775627830382</v>
      </c>
      <c r="I12" s="10">
        <f t="shared" si="1"/>
        <v>0.747696783578471</v>
      </c>
      <c r="J12" s="38">
        <f t="shared" si="1"/>
        <v>0.7493353498860535</v>
      </c>
    </row>
    <row r="13" ht="15" customHeight="1">
      <c r="B13" s="37" t="s">
        <v>71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  <c r="H13" s="10">
        <f t="shared" si="2" ref="H13:J125">IF(AND(ISNUMBER(H10),ISNUMBER(C10)),IF(C10&gt;0,H10/C10-1,"n/m"),"n/a")</f>
        <v>0.6335337813937036</v>
      </c>
      <c r="I13" s="10">
        <f t="shared" si="2"/>
        <v>0.2686137392019745</v>
      </c>
      <c r="J13" s="38">
        <f t="shared" si="2"/>
        <v>0.015653153678530485</v>
      </c>
    </row>
    <row r="14" ht="15" customHeight="1">
      <c r="B14" s="37" t="s">
        <v>72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">
        <v>31</v>
      </c>
      <c r="I14" s="10" t="s">
        <v>31</v>
      </c>
      <c r="J14" s="38" t="s">
        <v>31</v>
      </c>
    </row>
    <row r="15" ht="15" customHeight="1">
      <c r="B15" s="37" t="s">
        <v>73</v>
      </c>
      <c r="C15" s="10" t="s">
        <v>31</v>
      </c>
      <c r="D15" s="10" t="s">
        <v>31</v>
      </c>
      <c r="E15" s="10" t="s">
        <v>31</v>
      </c>
      <c r="F15" s="10" t="s">
        <v>31</v>
      </c>
      <c r="G15" s="10" t="s">
        <v>31</v>
      </c>
      <c r="H15" s="10" t="s">
        <v>31</v>
      </c>
      <c r="I15" s="10" t="s">
        <v>31</v>
      </c>
      <c r="J15" s="38" t="s">
        <v>31</v>
      </c>
    </row>
    <row r="16" ht="15" customHeight="1">
      <c r="B16" s="37" t="s">
        <v>74</v>
      </c>
      <c r="C16" s="10" t="str">
        <f t="shared" si="3" ref="C16:J128">IF(AND(ISNUMBER(C13),ISNUMBER(C14),ISNUMBER(C15)),(1+C13)/((1+C14)*(1+C15))-1,"n/a")</f>
        <v>n/a</v>
      </c>
      <c r="D16" s="10" t="str">
        <f t="shared" si="3"/>
        <v>n/a</v>
      </c>
      <c r="E16" s="10" t="str">
        <f t="shared" si="3"/>
        <v>n/a</v>
      </c>
      <c r="F16" s="10" t="str">
        <f t="shared" si="3"/>
        <v>n/a</v>
      </c>
      <c r="G16" s="10" t="str">
        <f t="shared" si="3"/>
        <v>n/a</v>
      </c>
      <c r="H16" s="10" t="str">
        <f t="shared" si="3"/>
        <v>n/a</v>
      </c>
      <c r="I16" s="10" t="str">
        <f t="shared" si="3"/>
        <v>n/a</v>
      </c>
      <c r="J16" s="38" t="str">
        <f t="shared" si="3"/>
        <v>n/a</v>
      </c>
    </row>
    <row r="17" ht="15" customHeight="1">
      <c r="B17" s="37" t="s">
        <v>75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>
        <f t="shared" si="4" ref="H17:J81">IF(AND(ISNUMBER(H10),ISNUMBER(C10)),IF(C10&gt;0,H10/C10-1,"n/m"),"n/a")</f>
        <v>0.6335337813937036</v>
      </c>
      <c r="I17" s="10">
        <f t="shared" si="4"/>
        <v>0.2686137392019745</v>
      </c>
      <c r="J17" s="38">
        <f t="shared" si="4"/>
        <v>0.015653153678530485</v>
      </c>
    </row>
    <row r="18" ht="15" customHeight="1">
      <c r="B18" s="24" t="s">
        <v>76</v>
      </c>
      <c r="C18" s="8">
        <f>'Segment - Consumer Banking'!C69</f>
        <v>1943</v>
      </c>
      <c r="D18" s="8">
        <f>'Segment - Consumer Banking'!D69</f>
        <v>2162</v>
      </c>
      <c r="E18" s="8">
        <f>'Segment - Consumer Banking'!E69</f>
        <v>2357</v>
      </c>
      <c r="F18" s="8">
        <f>'Segment - Consumer Banking'!F69</f>
        <v>2296</v>
      </c>
      <c r="G18" s="8">
        <f>'Segment - Consumer Banking'!G69</f>
        <v>8758</v>
      </c>
      <c r="H18" s="8">
        <f>'Segment - Consumer Banking'!H69</f>
        <v>2229</v>
      </c>
      <c r="I18" s="8">
        <f>'Segment - Consumer Banking'!I69</f>
        <v>2431</v>
      </c>
      <c r="J18" s="36">
        <f>'Segment - Consumer Banking'!J69</f>
        <v>2478.328767123288</v>
      </c>
    </row>
    <row r="19" ht="15" customHeight="1">
      <c r="B19" s="37" t="s">
        <v>69</v>
      </c>
      <c r="C19" s="10" t="s">
        <v>31</v>
      </c>
      <c r="D19" s="10">
        <f t="shared" si="0"/>
        <v>0.1127123005661348</v>
      </c>
      <c r="E19" s="10">
        <f t="shared" si="0"/>
        <v>0.09019426456984281</v>
      </c>
      <c r="F19" s="10">
        <f t="shared" si="0"/>
        <v>-0.025880356385235448</v>
      </c>
      <c r="G19" s="10" t="s">
        <v>31</v>
      </c>
      <c r="H19" s="10">
        <f t="shared" si="5"/>
        <v>-0.029181184668989557</v>
      </c>
      <c r="I19" s="10">
        <f t="shared" si="0"/>
        <v>0.0906235980260206</v>
      </c>
      <c r="J19" s="38">
        <f t="shared" si="0"/>
        <v>0.0194688470272677</v>
      </c>
    </row>
    <row r="20" ht="15" customHeight="1">
      <c r="B20" s="37" t="s">
        <v>70</v>
      </c>
      <c r="C20" s="10">
        <f t="shared" si="6" ref="C20:J60">IF(AND(ISNUMBER(C18),C42&lt;&gt;0),C18/C42,"n/a")</f>
        <v>0.24248096842630726</v>
      </c>
      <c r="D20" s="10">
        <f t="shared" si="6"/>
        <v>0.21630815407703852</v>
      </c>
      <c r="E20" s="10">
        <f t="shared" si="6"/>
        <v>0.1900193485972267</v>
      </c>
      <c r="F20" s="10">
        <f t="shared" si="6"/>
        <v>0.18418097224450505</v>
      </c>
      <c r="G20" s="10">
        <f t="shared" si="6"/>
        <v>0.2042539297541863</v>
      </c>
      <c r="H20" s="10">
        <f t="shared" si="6"/>
        <v>0.18353231782626594</v>
      </c>
      <c r="I20" s="10">
        <f t="shared" si="6"/>
        <v>0.19646032002586067</v>
      </c>
      <c r="J20" s="38">
        <f t="shared" si="6"/>
        <v>0.19460173564824568</v>
      </c>
    </row>
    <row r="21" ht="15" customHeight="1">
      <c r="B21" s="37" t="s">
        <v>71</v>
      </c>
      <c r="C21" s="10" t="s">
        <v>31</v>
      </c>
      <c r="D21" s="10" t="s">
        <v>31</v>
      </c>
      <c r="E21" s="10" t="s">
        <v>31</v>
      </c>
      <c r="F21" s="10" t="s">
        <v>31</v>
      </c>
      <c r="G21" s="10" t="s">
        <v>31</v>
      </c>
      <c r="H21" s="10">
        <f t="shared" si="2"/>
        <v>0.14719505918682452</v>
      </c>
      <c r="I21" s="10">
        <f t="shared" si="2"/>
        <v>0.12442183163737286</v>
      </c>
      <c r="J21" s="38">
        <f t="shared" si="2"/>
        <v>0.0514759300480645</v>
      </c>
    </row>
    <row r="22" ht="15" customHeight="1">
      <c r="B22" s="37" t="s">
        <v>72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38" t="s">
        <v>31</v>
      </c>
    </row>
    <row r="23" ht="15" customHeight="1">
      <c r="B23" s="37" t="s">
        <v>73</v>
      </c>
      <c r="C23" s="10" t="s">
        <v>31</v>
      </c>
      <c r="D23" s="10" t="s">
        <v>31</v>
      </c>
      <c r="E23" s="10" t="s">
        <v>31</v>
      </c>
      <c r="F23" s="10" t="s">
        <v>31</v>
      </c>
      <c r="G23" s="10" t="s">
        <v>31</v>
      </c>
      <c r="H23" s="10" t="s">
        <v>31</v>
      </c>
      <c r="I23" s="10" t="s">
        <v>31</v>
      </c>
      <c r="J23" s="38" t="s">
        <v>31</v>
      </c>
    </row>
    <row r="24" ht="15" customHeight="1">
      <c r="B24" s="37" t="s">
        <v>74</v>
      </c>
      <c r="C24" s="10" t="str">
        <f t="shared" si="3"/>
        <v>n/a</v>
      </c>
      <c r="D24" s="10" t="str">
        <f t="shared" si="3"/>
        <v>n/a</v>
      </c>
      <c r="E24" s="10" t="str">
        <f t="shared" si="3"/>
        <v>n/a</v>
      </c>
      <c r="F24" s="10" t="str">
        <f t="shared" si="3"/>
        <v>n/a</v>
      </c>
      <c r="G24" s="10" t="str">
        <f t="shared" si="3"/>
        <v>n/a</v>
      </c>
      <c r="H24" s="10" t="str">
        <f t="shared" si="3"/>
        <v>n/a</v>
      </c>
      <c r="I24" s="10" t="str">
        <f t="shared" si="3"/>
        <v>n/a</v>
      </c>
      <c r="J24" s="38" t="str">
        <f t="shared" si="3"/>
        <v>n/a</v>
      </c>
    </row>
    <row r="25" ht="15" customHeight="1">
      <c r="B25" s="37" t="s">
        <v>75</v>
      </c>
      <c r="C25" s="10" t="s">
        <v>31</v>
      </c>
      <c r="D25" s="10" t="s">
        <v>31</v>
      </c>
      <c r="E25" s="10" t="s">
        <v>31</v>
      </c>
      <c r="F25" s="10" t="s">
        <v>31</v>
      </c>
      <c r="G25" s="10" t="s">
        <v>31</v>
      </c>
      <c r="H25" s="10">
        <f t="shared" si="4"/>
        <v>0.14719505918682452</v>
      </c>
      <c r="I25" s="10">
        <f t="shared" si="4"/>
        <v>0.12442183163737286</v>
      </c>
      <c r="J25" s="38">
        <f t="shared" si="4"/>
        <v>0.0514759300480645</v>
      </c>
    </row>
    <row r="26" ht="15" customHeight="1">
      <c r="B26" s="24" t="s">
        <v>77</v>
      </c>
      <c r="C26" s="8">
        <f>'Segment - Commercial Banking'!C54</f>
        <v>572</v>
      </c>
      <c r="D26" s="8">
        <f>'Segment - Commercial Banking'!D54</f>
        <v>602</v>
      </c>
      <c r="E26" s="8">
        <f>'Segment - Commercial Banking'!E54</f>
        <v>586</v>
      </c>
      <c r="F26" s="8">
        <f>'Segment - Commercial Banking'!F54</f>
        <v>574</v>
      </c>
      <c r="G26" s="8">
        <f>'Segment - Commercial Banking'!G54</f>
        <v>2334</v>
      </c>
      <c r="H26" s="8">
        <f>'Segment - Commercial Banking'!H54</f>
        <v>581</v>
      </c>
      <c r="I26" s="8">
        <f>'Segment - Commercial Banking'!I54</f>
        <v>585</v>
      </c>
      <c r="J26" s="36">
        <f>'Segment - Commercial Banking'!J54</f>
        <v>598.9830136986302</v>
      </c>
    </row>
    <row r="27" ht="15" customHeight="1">
      <c r="B27" s="37" t="s">
        <v>69</v>
      </c>
      <c r="C27" s="10" t="s">
        <v>31</v>
      </c>
      <c r="D27" s="10">
        <f t="shared" si="0"/>
        <v>0.0524475524475525</v>
      </c>
      <c r="E27" s="10">
        <f t="shared" si="0"/>
        <v>-0.02657807308970095</v>
      </c>
      <c r="F27" s="10">
        <f t="shared" si="0"/>
        <v>-0.020477815699658675</v>
      </c>
      <c r="G27" s="10" t="s">
        <v>31</v>
      </c>
      <c r="H27" s="10">
        <f t="shared" si="5"/>
        <v>0.012195121951219523</v>
      </c>
      <c r="I27" s="10">
        <f t="shared" si="0"/>
        <v>0.0068846815834766595</v>
      </c>
      <c r="J27" s="38">
        <f t="shared" si="0"/>
        <v>0.023902587519025964</v>
      </c>
    </row>
    <row r="28" ht="15" customHeight="1">
      <c r="B28" s="37" t="s">
        <v>70</v>
      </c>
      <c r="C28" s="10">
        <f t="shared" si="7" ref="C28:J68">IF(AND(ISNUMBER(C26),C42&lt;&gt;0),C26/C42,"n/a")</f>
        <v>0.07138400099837763</v>
      </c>
      <c r="D28" s="10">
        <f t="shared" si="7"/>
        <v>0.06023011505752877</v>
      </c>
      <c r="E28" s="10">
        <f t="shared" si="7"/>
        <v>0.0472428248951951</v>
      </c>
      <c r="F28" s="10">
        <f t="shared" si="7"/>
        <v>0.04604524306112626</v>
      </c>
      <c r="G28" s="10">
        <f t="shared" si="7"/>
        <v>0.054433509025607535</v>
      </c>
      <c r="H28" s="10">
        <f t="shared" si="7"/>
        <v>0.047838616714697406</v>
      </c>
      <c r="I28" s="10">
        <f t="shared" si="7"/>
        <v>0.04727654759980605</v>
      </c>
      <c r="J28" s="38">
        <f t="shared" si="7"/>
        <v>0.047032958514568124</v>
      </c>
    </row>
    <row r="29" ht="15" customHeight="1">
      <c r="B29" s="37" t="s">
        <v>71</v>
      </c>
      <c r="C29" s="10" t="s">
        <v>31</v>
      </c>
      <c r="D29" s="10" t="s">
        <v>31</v>
      </c>
      <c r="E29" s="10" t="s">
        <v>31</v>
      </c>
      <c r="F29" s="10" t="s">
        <v>31</v>
      </c>
      <c r="G29" s="10" t="s">
        <v>31</v>
      </c>
      <c r="H29" s="10">
        <f t="shared" si="2"/>
        <v>0.01573426573426584</v>
      </c>
      <c r="I29" s="10">
        <f t="shared" si="2"/>
        <v>-0.028239202657807327</v>
      </c>
      <c r="J29" s="38">
        <f t="shared" si="2"/>
        <v>0.022155313478891214</v>
      </c>
    </row>
    <row r="30" ht="15" customHeight="1">
      <c r="B30" s="37" t="s">
        <v>72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38" t="s">
        <v>31</v>
      </c>
    </row>
    <row r="31" ht="15" customHeight="1">
      <c r="B31" s="37" t="s">
        <v>73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 t="s">
        <v>31</v>
      </c>
      <c r="I31" s="10" t="s">
        <v>31</v>
      </c>
      <c r="J31" s="38" t="s">
        <v>31</v>
      </c>
    </row>
    <row r="32" ht="15" customHeight="1">
      <c r="B32" s="37" t="s">
        <v>74</v>
      </c>
      <c r="C32" s="10" t="str">
        <f t="shared" si="3"/>
        <v>n/a</v>
      </c>
      <c r="D32" s="10" t="str">
        <f t="shared" si="3"/>
        <v>n/a</v>
      </c>
      <c r="E32" s="10" t="str">
        <f t="shared" si="3"/>
        <v>n/a</v>
      </c>
      <c r="F32" s="10" t="str">
        <f t="shared" si="3"/>
        <v>n/a</v>
      </c>
      <c r="G32" s="10" t="str">
        <f t="shared" si="3"/>
        <v>n/a</v>
      </c>
      <c r="H32" s="10" t="str">
        <f t="shared" si="3"/>
        <v>n/a</v>
      </c>
      <c r="I32" s="10" t="str">
        <f t="shared" si="3"/>
        <v>n/a</v>
      </c>
      <c r="J32" s="38" t="str">
        <f t="shared" si="3"/>
        <v>n/a</v>
      </c>
    </row>
    <row r="33" ht="15" customHeight="1">
      <c r="B33" s="37" t="s">
        <v>75</v>
      </c>
      <c r="C33" s="10" t="s">
        <v>31</v>
      </c>
      <c r="D33" s="10" t="s">
        <v>31</v>
      </c>
      <c r="E33" s="10" t="s">
        <v>31</v>
      </c>
      <c r="F33" s="10" t="s">
        <v>31</v>
      </c>
      <c r="G33" s="10" t="s">
        <v>31</v>
      </c>
      <c r="H33" s="10">
        <f t="shared" si="4"/>
        <v>0.01573426573426584</v>
      </c>
      <c r="I33" s="10">
        <f t="shared" si="4"/>
        <v>-0.028239202657807327</v>
      </c>
      <c r="J33" s="38">
        <f t="shared" si="4"/>
        <v>0.022155313478891214</v>
      </c>
    </row>
    <row r="34" ht="15" customHeight="1">
      <c r="B34" s="24" t="s">
        <v>78</v>
      </c>
      <c r="C34" s="12">
        <v>-156</v>
      </c>
      <c r="D34" s="12">
        <v>-62</v>
      </c>
      <c r="E34" s="12">
        <v>65</v>
      </c>
      <c r="F34" s="12">
        <v>117</v>
      </c>
      <c r="G34" s="9">
        <f t="shared" si="12" ref="G34:G74">SUM(C34:F34)</f>
        <v>-36</v>
      </c>
      <c r="H34" s="12">
        <v>99</v>
      </c>
      <c r="I34" s="12">
        <v>106</v>
      </c>
      <c r="J34" s="39">
        <v>115</v>
      </c>
      <c r="K34" s="40" t="s">
        <v>79</v>
      </c>
    </row>
    <row r="35" ht="15" customHeight="1">
      <c r="B35" s="37" t="s">
        <v>69</v>
      </c>
      <c r="C35" s="10" t="s">
        <v>31</v>
      </c>
      <c r="D35" s="10" t="str">
        <f t="shared" si="0"/>
        <v>n/m</v>
      </c>
      <c r="E35" s="10" t="str">
        <f t="shared" si="0"/>
        <v>n/m</v>
      </c>
      <c r="F35" s="10">
        <f t="shared" si="0"/>
        <v>0.8</v>
      </c>
      <c r="G35" s="10" t="s">
        <v>31</v>
      </c>
      <c r="H35" s="10">
        <f t="shared" si="5"/>
        <v>-0.15384615384615385</v>
      </c>
      <c r="I35" s="10">
        <f t="shared" si="0"/>
        <v>0.07070707070707072</v>
      </c>
      <c r="J35" s="38">
        <f t="shared" si="0"/>
        <v>0.08490566037735858</v>
      </c>
    </row>
    <row r="36" ht="15" customHeight="1">
      <c r="B36" s="37" t="s">
        <v>70</v>
      </c>
      <c r="C36" s="10">
        <f t="shared" si="8" ref="C36:J76">IF(AND(ISNUMBER(C34),C42&lt;&gt;0),C34/C42,"n/a")</f>
        <v>-0.019468363908648447</v>
      </c>
      <c r="D36" s="10">
        <f t="shared" si="8"/>
        <v>-0.006203101550775388</v>
      </c>
      <c r="E36" s="10">
        <f t="shared" si="8"/>
        <v>0.0052402450822315386</v>
      </c>
      <c r="F36" s="10">
        <f t="shared" si="8"/>
        <v>0.009385528637895074</v>
      </c>
      <c r="G36" s="10">
        <f t="shared" si="8"/>
        <v>-0.0008395913988525584</v>
      </c>
      <c r="H36" s="10">
        <f t="shared" si="8"/>
        <v>0.008151502675998352</v>
      </c>
      <c r="I36" s="10">
        <f t="shared" si="8"/>
        <v>0.008566348795862292</v>
      </c>
      <c r="J36" s="38">
        <f t="shared" si="8"/>
        <v>0.00902995595113268</v>
      </c>
    </row>
    <row r="37" ht="15" customHeight="1">
      <c r="B37" s="37" t="s">
        <v>71</v>
      </c>
      <c r="C37" s="10" t="s">
        <v>31</v>
      </c>
      <c r="D37" s="10" t="s">
        <v>31</v>
      </c>
      <c r="E37" s="10" t="s">
        <v>31</v>
      </c>
      <c r="F37" s="10" t="s">
        <v>31</v>
      </c>
      <c r="G37" s="10" t="s">
        <v>31</v>
      </c>
      <c r="H37" s="10" t="str">
        <f t="shared" si="2"/>
        <v>n/m</v>
      </c>
      <c r="I37" s="10" t="str">
        <f t="shared" si="2"/>
        <v>n/m</v>
      </c>
      <c r="J37" s="38">
        <f t="shared" si="2"/>
        <v>0.7692307692307692</v>
      </c>
    </row>
    <row r="38" ht="15" customHeight="1">
      <c r="B38" s="37" t="s">
        <v>72</v>
      </c>
      <c r="C38" s="10" t="s">
        <v>31</v>
      </c>
      <c r="D38" s="10" t="s">
        <v>31</v>
      </c>
      <c r="E38" s="10" t="s">
        <v>31</v>
      </c>
      <c r="F38" s="10" t="s">
        <v>31</v>
      </c>
      <c r="G38" s="10" t="s">
        <v>31</v>
      </c>
      <c r="H38" s="10" t="s">
        <v>31</v>
      </c>
      <c r="I38" s="10" t="s">
        <v>31</v>
      </c>
      <c r="J38" s="38" t="s">
        <v>31</v>
      </c>
    </row>
    <row r="39" ht="15" customHeight="1">
      <c r="B39" s="37" t="s">
        <v>73</v>
      </c>
      <c r="C39" s="10" t="s">
        <v>31</v>
      </c>
      <c r="D39" s="10" t="s">
        <v>31</v>
      </c>
      <c r="E39" s="10" t="s">
        <v>31</v>
      </c>
      <c r="F39" s="10" t="s">
        <v>31</v>
      </c>
      <c r="G39" s="10" t="s">
        <v>31</v>
      </c>
      <c r="H39" s="10" t="s">
        <v>31</v>
      </c>
      <c r="I39" s="10" t="s">
        <v>31</v>
      </c>
      <c r="J39" s="38" t="s">
        <v>31</v>
      </c>
    </row>
    <row r="40" ht="15" customHeight="1">
      <c r="B40" s="37" t="s">
        <v>74</v>
      </c>
      <c r="C40" s="10" t="str">
        <f t="shared" si="3"/>
        <v>n/a</v>
      </c>
      <c r="D40" s="10" t="str">
        <f t="shared" si="3"/>
        <v>n/a</v>
      </c>
      <c r="E40" s="10" t="str">
        <f t="shared" si="3"/>
        <v>n/a</v>
      </c>
      <c r="F40" s="10" t="str">
        <f t="shared" si="3"/>
        <v>n/a</v>
      </c>
      <c r="G40" s="10" t="str">
        <f t="shared" si="3"/>
        <v>n/a</v>
      </c>
      <c r="H40" s="10" t="str">
        <f t="shared" si="3"/>
        <v>n/a</v>
      </c>
      <c r="I40" s="10" t="str">
        <f t="shared" si="3"/>
        <v>n/a</v>
      </c>
      <c r="J40" s="38" t="str">
        <f t="shared" si="3"/>
        <v>n/a</v>
      </c>
    </row>
    <row r="41" ht="15" customHeight="1">
      <c r="B41" s="37" t="s">
        <v>75</v>
      </c>
      <c r="C41" s="10" t="s">
        <v>31</v>
      </c>
      <c r="D41" s="10" t="s">
        <v>31</v>
      </c>
      <c r="E41" s="10" t="s">
        <v>31</v>
      </c>
      <c r="F41" s="10" t="s">
        <v>31</v>
      </c>
      <c r="G41" s="10" t="s">
        <v>31</v>
      </c>
      <c r="H41" s="10" t="str">
        <f t="shared" si="4"/>
        <v>n/m</v>
      </c>
      <c r="I41" s="10" t="str">
        <f t="shared" si="4"/>
        <v>n/m</v>
      </c>
      <c r="J41" s="38">
        <f t="shared" si="4"/>
        <v>0.7692307692307692</v>
      </c>
    </row>
    <row r="42" ht="15" customHeight="1">
      <c r="B42" s="4" t="s">
        <v>81</v>
      </c>
      <c r="C42" s="41">
        <f t="shared" si="9" ref="C42:J122">C10+C18+C26+C34</f>
        <v>8013</v>
      </c>
      <c r="D42" s="41">
        <f t="shared" si="9"/>
        <v>9995</v>
      </c>
      <c r="E42" s="41">
        <f t="shared" si="9"/>
        <v>12404</v>
      </c>
      <c r="F42" s="41">
        <f t="shared" si="9"/>
        <v>12466</v>
      </c>
      <c r="G42" s="41">
        <f t="shared" si="9"/>
        <v>42878</v>
      </c>
      <c r="H42" s="41">
        <f t="shared" si="9"/>
        <v>12145</v>
      </c>
      <c r="I42" s="41">
        <f t="shared" si="9"/>
        <v>12374</v>
      </c>
      <c r="J42" s="42">
        <f t="shared" si="9"/>
        <v>12735.38881278539</v>
      </c>
    </row>
    <row r="43" ht="15" customHeight="1">
      <c r="B43" s="37" t="s">
        <v>69</v>
      </c>
      <c r="C43" s="10" t="s">
        <v>31</v>
      </c>
      <c r="D43" s="10">
        <f t="shared" si="0"/>
        <v>0.24734805940346938</v>
      </c>
      <c r="E43" s="10">
        <f t="shared" si="0"/>
        <v>0.2410205102551275</v>
      </c>
      <c r="F43" s="10">
        <f t="shared" si="0"/>
        <v>0.004998387616897748</v>
      </c>
      <c r="G43" s="10" t="s">
        <v>31</v>
      </c>
      <c r="H43" s="10">
        <f t="shared" si="5"/>
        <v>-0.02575004010909676</v>
      </c>
      <c r="I43" s="10">
        <f t="shared" si="0"/>
        <v>0.01885549608892556</v>
      </c>
      <c r="J43" s="38">
        <f t="shared" si="0"/>
        <v>0.02920549642681336</v>
      </c>
    </row>
    <row r="44" ht="15" customHeight="1">
      <c r="B44" s="37" t="s">
        <v>71</v>
      </c>
      <c r="C44" s="10" t="s">
        <v>31</v>
      </c>
      <c r="D44" s="10" t="s">
        <v>31</v>
      </c>
      <c r="E44" s="10" t="s">
        <v>31</v>
      </c>
      <c r="F44" s="10" t="s">
        <v>31</v>
      </c>
      <c r="G44" s="10" t="s">
        <v>31</v>
      </c>
      <c r="H44" s="10">
        <f t="shared" si="10" ref="H44:J150">IF(AND(ISNUMBER(H42),ISNUMBER(C42)),IF(C42&gt;0,H42/C42-1,"n/m"),"n/a")</f>
        <v>0.5156620491700985</v>
      </c>
      <c r="I44" s="10">
        <f t="shared" si="10"/>
        <v>0.2380190095047523</v>
      </c>
      <c r="J44" s="38">
        <f t="shared" si="10"/>
        <v>0.02671628610007981</v>
      </c>
    </row>
    <row r="45" ht="15" customHeight="1">
      <c r="B45" s="37" t="s">
        <v>72</v>
      </c>
      <c r="C45" s="10" t="s">
        <v>31</v>
      </c>
      <c r="D45" s="10" t="s">
        <v>31</v>
      </c>
      <c r="E45" s="10" t="s">
        <v>31</v>
      </c>
      <c r="F45" s="10" t="s">
        <v>31</v>
      </c>
      <c r="G45" s="10" t="s">
        <v>31</v>
      </c>
      <c r="H45" s="10" t="s">
        <v>31</v>
      </c>
      <c r="I45" s="10" t="s">
        <v>31</v>
      </c>
      <c r="J45" s="38" t="s">
        <v>31</v>
      </c>
    </row>
    <row r="46" ht="15" customHeight="1">
      <c r="B46" s="37" t="s">
        <v>73</v>
      </c>
      <c r="C46" s="10" t="s">
        <v>31</v>
      </c>
      <c r="D46" s="10" t="s">
        <v>31</v>
      </c>
      <c r="E46" s="10" t="s">
        <v>31</v>
      </c>
      <c r="F46" s="10" t="s">
        <v>31</v>
      </c>
      <c r="G46" s="10" t="s">
        <v>31</v>
      </c>
      <c r="H46" s="10" t="s">
        <v>31</v>
      </c>
      <c r="I46" s="10" t="s">
        <v>31</v>
      </c>
      <c r="J46" s="38" t="s">
        <v>31</v>
      </c>
    </row>
    <row r="47" ht="15" customHeight="1">
      <c r="B47" s="37" t="s">
        <v>74</v>
      </c>
      <c r="C47" s="10" t="str">
        <f t="shared" si="3"/>
        <v>n/a</v>
      </c>
      <c r="D47" s="10" t="str">
        <f t="shared" si="3"/>
        <v>n/a</v>
      </c>
      <c r="E47" s="10" t="str">
        <f t="shared" si="3"/>
        <v>n/a</v>
      </c>
      <c r="F47" s="10" t="str">
        <f t="shared" si="3"/>
        <v>n/a</v>
      </c>
      <c r="G47" s="10" t="str">
        <f t="shared" si="3"/>
        <v>n/a</v>
      </c>
      <c r="H47" s="10" t="str">
        <f t="shared" si="3"/>
        <v>n/a</v>
      </c>
      <c r="I47" s="10" t="str">
        <f t="shared" si="3"/>
        <v>n/a</v>
      </c>
      <c r="J47" s="38" t="str">
        <f t="shared" si="3"/>
        <v>n/a</v>
      </c>
    </row>
    <row r="48" ht="15" customHeight="1">
      <c r="B48" s="43" t="s">
        <v>75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>
        <f t="shared" si="11" ref="H48:J88">IF(AND(ISNUMBER(H42),ISNUMBER(C42)),IF(C42&gt;0,H42/C42-1,"n/m"),"n/a")</f>
        <v>0.5156620491700985</v>
      </c>
      <c r="I48" s="10">
        <f t="shared" si="11"/>
        <v>0.2380190095047523</v>
      </c>
      <c r="J48" s="38">
        <f t="shared" si="11"/>
        <v>0.02671628610007981</v>
      </c>
    </row>
    <row r="49" ht="15" customHeight="1">
      <c r="B49" s="35" t="s">
        <v>82</v>
      </c>
    </row>
    <row r="50" ht="15" customHeight="1">
      <c r="B50" s="24" t="s">
        <v>68</v>
      </c>
      <c r="C50" s="8">
        <f>'Segment - Credit Card'!C118</f>
        <v>1511</v>
      </c>
      <c r="D50" s="8">
        <f>'Segment - Credit Card'!D118</f>
        <v>1802</v>
      </c>
      <c r="E50" s="8">
        <f>'Segment - Credit Card'!E118</f>
        <v>2211</v>
      </c>
      <c r="F50" s="8">
        <f>'Segment - Credit Card'!F118</f>
        <v>2214</v>
      </c>
      <c r="G50" s="8">
        <f>'Segment - Credit Card'!G118</f>
        <v>7738</v>
      </c>
      <c r="H50" s="8">
        <f>'Segment - Credit Card'!H118</f>
        <v>2153</v>
      </c>
      <c r="I50" s="8">
        <f>'Segment - Credit Card'!I118</f>
        <v>2513</v>
      </c>
      <c r="J50" s="36">
        <f>'Segment - Credit Card'!J118</f>
        <v>2530.244275</v>
      </c>
    </row>
    <row r="51" ht="15" customHeight="1">
      <c r="B51" s="37" t="s">
        <v>69</v>
      </c>
      <c r="C51" s="10" t="s">
        <v>31</v>
      </c>
      <c r="D51" s="10">
        <f t="shared" si="0"/>
        <v>0.19258769027134348</v>
      </c>
      <c r="E51" s="10">
        <f t="shared" si="0"/>
        <v>0.22697003329633736</v>
      </c>
      <c r="F51" s="10">
        <f t="shared" si="0"/>
        <v>0.0013568521031208647</v>
      </c>
      <c r="G51" s="10" t="s">
        <v>31</v>
      </c>
      <c r="H51" s="10">
        <f t="shared" si="5"/>
        <v>-0.027551942186088474</v>
      </c>
      <c r="I51" s="10">
        <f t="shared" si="0"/>
        <v>0.16720854621458425</v>
      </c>
      <c r="J51" s="38">
        <f t="shared" si="0"/>
        <v>0.006862027457222419</v>
      </c>
    </row>
    <row r="52" ht="15" customHeight="1">
      <c r="B52" s="37" t="s">
        <v>70</v>
      </c>
      <c r="C52" s="10">
        <f t="shared" si="1"/>
        <v>0.7604428787116255</v>
      </c>
      <c r="D52" s="10">
        <f t="shared" si="1"/>
        <v>0.7216659991990388</v>
      </c>
      <c r="E52" s="10">
        <f t="shared" si="1"/>
        <v>0.7482233502538072</v>
      </c>
      <c r="F52" s="10">
        <f t="shared" si="1"/>
        <v>0.710298363811357</v>
      </c>
      <c r="G52" s="10">
        <f t="shared" si="1"/>
        <v>0.7330428192497158</v>
      </c>
      <c r="H52" s="10">
        <f t="shared" si="1"/>
        <v>0.6976668826960467</v>
      </c>
      <c r="I52" s="10">
        <f t="shared" si="1"/>
        <v>0.7229574223245109</v>
      </c>
      <c r="J52" s="38">
        <f t="shared" si="1"/>
        <v>0.7165373200059313</v>
      </c>
    </row>
    <row r="53" ht="15" customHeight="1">
      <c r="B53" s="37" t="s">
        <v>71</v>
      </c>
      <c r="C53" s="10" t="s">
        <v>31</v>
      </c>
      <c r="D53" s="10" t="s">
        <v>31</v>
      </c>
      <c r="E53" s="10" t="s">
        <v>31</v>
      </c>
      <c r="F53" s="10" t="s">
        <v>31</v>
      </c>
      <c r="G53" s="10" t="s">
        <v>31</v>
      </c>
      <c r="H53" s="10">
        <f t="shared" si="2"/>
        <v>0.42488418266048966</v>
      </c>
      <c r="I53" s="10">
        <f t="shared" si="2"/>
        <v>0.39456159822419523</v>
      </c>
      <c r="J53" s="38">
        <f t="shared" si="2"/>
        <v>0.14438908864767064</v>
      </c>
    </row>
    <row r="54" ht="15" customHeight="1">
      <c r="B54" s="37" t="s">
        <v>72</v>
      </c>
      <c r="C54" s="10" t="s">
        <v>31</v>
      </c>
      <c r="D54" s="10" t="s">
        <v>31</v>
      </c>
      <c r="E54" s="10" t="s">
        <v>31</v>
      </c>
      <c r="F54" s="10" t="s">
        <v>31</v>
      </c>
      <c r="G54" s="10" t="s">
        <v>31</v>
      </c>
      <c r="H54" s="10" t="s">
        <v>31</v>
      </c>
      <c r="I54" s="10" t="s">
        <v>31</v>
      </c>
      <c r="J54" s="38" t="s">
        <v>31</v>
      </c>
    </row>
    <row r="55" ht="15" customHeight="1">
      <c r="B55" s="37" t="s">
        <v>73</v>
      </c>
      <c r="C55" s="10" t="s">
        <v>31</v>
      </c>
      <c r="D55" s="10" t="s">
        <v>31</v>
      </c>
      <c r="E55" s="10" t="s">
        <v>31</v>
      </c>
      <c r="F55" s="10" t="s">
        <v>31</v>
      </c>
      <c r="G55" s="10" t="s">
        <v>31</v>
      </c>
      <c r="H55" s="10" t="s">
        <v>31</v>
      </c>
      <c r="I55" s="10" t="s">
        <v>31</v>
      </c>
      <c r="J55" s="38" t="s">
        <v>31</v>
      </c>
    </row>
    <row r="56" ht="15" customHeight="1">
      <c r="B56" s="37" t="s">
        <v>74</v>
      </c>
      <c r="C56" s="10" t="str">
        <f t="shared" si="3"/>
        <v>n/a</v>
      </c>
      <c r="D56" s="10" t="str">
        <f t="shared" si="3"/>
        <v>n/a</v>
      </c>
      <c r="E56" s="10" t="str">
        <f t="shared" si="3"/>
        <v>n/a</v>
      </c>
      <c r="F56" s="10" t="str">
        <f t="shared" si="3"/>
        <v>n/a</v>
      </c>
      <c r="G56" s="10" t="str">
        <f t="shared" si="3"/>
        <v>n/a</v>
      </c>
      <c r="H56" s="10" t="str">
        <f t="shared" si="3"/>
        <v>n/a</v>
      </c>
      <c r="I56" s="10" t="str">
        <f t="shared" si="3"/>
        <v>n/a</v>
      </c>
      <c r="J56" s="38" t="str">
        <f t="shared" si="3"/>
        <v>n/a</v>
      </c>
    </row>
    <row r="57" ht="15" customHeight="1">
      <c r="B57" s="37" t="s">
        <v>75</v>
      </c>
      <c r="C57" s="10" t="s">
        <v>31</v>
      </c>
      <c r="D57" s="10" t="s">
        <v>31</v>
      </c>
      <c r="E57" s="10" t="s">
        <v>31</v>
      </c>
      <c r="F57" s="10" t="s">
        <v>31</v>
      </c>
      <c r="G57" s="10" t="s">
        <v>31</v>
      </c>
      <c r="H57" s="10">
        <f t="shared" si="4"/>
        <v>0.42488418266048966</v>
      </c>
      <c r="I57" s="10">
        <f t="shared" si="4"/>
        <v>0.39456159822419523</v>
      </c>
      <c r="J57" s="38">
        <f t="shared" si="4"/>
        <v>0.14438908864767064</v>
      </c>
    </row>
    <row r="58" ht="15" customHeight="1">
      <c r="B58" s="24" t="s">
        <v>76</v>
      </c>
      <c r="C58" s="8">
        <f>'Segment - Consumer Banking'!C89</f>
        <v>183</v>
      </c>
      <c r="D58" s="8">
        <f>'Segment - Consumer Banking'!D89</f>
        <v>394</v>
      </c>
      <c r="E58" s="8">
        <f>'Segment - Consumer Banking'!E89</f>
        <v>475</v>
      </c>
      <c r="F58" s="8">
        <f>'Segment - Consumer Banking'!F89</f>
        <v>623</v>
      </c>
      <c r="G58" s="8">
        <f>'Segment - Consumer Banking'!G89</f>
        <v>1675</v>
      </c>
      <c r="H58" s="8">
        <f>'Segment - Consumer Banking'!H89</f>
        <v>683</v>
      </c>
      <c r="I58" s="8">
        <f>'Segment - Consumer Banking'!I89</f>
        <v>778</v>
      </c>
      <c r="J58" s="36">
        <f>'Segment - Consumer Banking'!J89</f>
        <v>790.9664580000001</v>
      </c>
    </row>
    <row r="59" ht="15" customHeight="1">
      <c r="B59" s="37" t="s">
        <v>69</v>
      </c>
      <c r="C59" s="10" t="s">
        <v>31</v>
      </c>
      <c r="D59" s="10">
        <f t="shared" si="0"/>
        <v>1.1530054644808745</v>
      </c>
      <c r="E59" s="10">
        <f t="shared" si="0"/>
        <v>0.20558375634517767</v>
      </c>
      <c r="F59" s="10">
        <f t="shared" si="0"/>
        <v>0.31157894736842096</v>
      </c>
      <c r="G59" s="10" t="s">
        <v>31</v>
      </c>
      <c r="H59" s="10">
        <f t="shared" si="5"/>
        <v>0.0963081861958266</v>
      </c>
      <c r="I59" s="10">
        <f t="shared" si="0"/>
        <v>0.1390922401171304</v>
      </c>
      <c r="J59" s="38">
        <f t="shared" si="0"/>
        <v>0.016666398457583664</v>
      </c>
      <c r="K59" s="44" t="s">
        <v>83</v>
      </c>
    </row>
    <row r="60" ht="15" customHeight="1">
      <c r="B60" s="37" t="s">
        <v>70</v>
      </c>
      <c r="C60" s="10">
        <f t="shared" si="6"/>
        <v>0.09209864116758933</v>
      </c>
      <c r="D60" s="10">
        <f t="shared" si="6"/>
        <v>0.15778934721666</v>
      </c>
      <c r="E60" s="10">
        <f t="shared" si="6"/>
        <v>0.16074450084602368</v>
      </c>
      <c r="F60" s="10">
        <f t="shared" si="6"/>
        <v>0.1998716714789862</v>
      </c>
      <c r="G60" s="10">
        <f t="shared" si="6"/>
        <v>0.15867752936718454</v>
      </c>
      <c r="H60" s="10">
        <f t="shared" si="6"/>
        <v>0.22132209980557355</v>
      </c>
      <c r="I60" s="10">
        <f t="shared" si="6"/>
        <v>0.2238204833141542</v>
      </c>
      <c r="J60" s="38">
        <f t="shared" si="6"/>
        <v>0.22399299215088792</v>
      </c>
    </row>
    <row r="61" ht="15" customHeight="1">
      <c r="B61" s="37" t="s">
        <v>71</v>
      </c>
      <c r="C61" s="10" t="s">
        <v>31</v>
      </c>
      <c r="D61" s="10" t="s">
        <v>31</v>
      </c>
      <c r="E61" s="10" t="s">
        <v>31</v>
      </c>
      <c r="F61" s="10" t="s">
        <v>31</v>
      </c>
      <c r="G61" s="10" t="s">
        <v>31</v>
      </c>
      <c r="H61" s="10">
        <f t="shared" si="2"/>
        <v>2.73224043715847</v>
      </c>
      <c r="I61" s="10">
        <f t="shared" si="2"/>
        <v>0.9746192893401016</v>
      </c>
      <c r="J61" s="38">
        <f t="shared" si="2"/>
        <v>0.6651925431578949</v>
      </c>
    </row>
    <row r="62" ht="15" customHeight="1">
      <c r="B62" s="37" t="s">
        <v>72</v>
      </c>
      <c r="C62" s="10" t="s">
        <v>31</v>
      </c>
      <c r="D62" s="10" t="s">
        <v>31</v>
      </c>
      <c r="E62" s="10" t="s">
        <v>31</v>
      </c>
      <c r="F62" s="10" t="s">
        <v>31</v>
      </c>
      <c r="G62" s="10" t="s">
        <v>31</v>
      </c>
      <c r="H62" s="10" t="s">
        <v>31</v>
      </c>
      <c r="I62" s="10" t="s">
        <v>31</v>
      </c>
      <c r="J62" s="38" t="s">
        <v>31</v>
      </c>
    </row>
    <row r="63" ht="15" customHeight="1">
      <c r="B63" s="37" t="s">
        <v>73</v>
      </c>
      <c r="C63" s="10" t="s">
        <v>31</v>
      </c>
      <c r="D63" s="10" t="s">
        <v>31</v>
      </c>
      <c r="E63" s="10" t="s">
        <v>31</v>
      </c>
      <c r="F63" s="10" t="s">
        <v>31</v>
      </c>
      <c r="G63" s="10" t="s">
        <v>31</v>
      </c>
      <c r="H63" s="10" t="s">
        <v>31</v>
      </c>
      <c r="I63" s="10" t="s">
        <v>31</v>
      </c>
      <c r="J63" s="38" t="s">
        <v>31</v>
      </c>
    </row>
    <row r="64" ht="15" customHeight="1">
      <c r="B64" s="37" t="s">
        <v>74</v>
      </c>
      <c r="C64" s="10" t="str">
        <f t="shared" si="3"/>
        <v>n/a</v>
      </c>
      <c r="D64" s="10" t="str">
        <f t="shared" si="3"/>
        <v>n/a</v>
      </c>
      <c r="E64" s="10" t="str">
        <f t="shared" si="3"/>
        <v>n/a</v>
      </c>
      <c r="F64" s="10" t="str">
        <f t="shared" si="3"/>
        <v>n/a</v>
      </c>
      <c r="G64" s="10" t="str">
        <f t="shared" si="3"/>
        <v>n/a</v>
      </c>
      <c r="H64" s="10" t="str">
        <f t="shared" si="3"/>
        <v>n/a</v>
      </c>
      <c r="I64" s="10" t="str">
        <f t="shared" si="3"/>
        <v>n/a</v>
      </c>
      <c r="J64" s="38" t="str">
        <f t="shared" si="3"/>
        <v>n/a</v>
      </c>
    </row>
    <row r="65" ht="15" customHeight="1">
      <c r="B65" s="37" t="s">
        <v>75</v>
      </c>
      <c r="C65" s="10" t="s">
        <v>31</v>
      </c>
      <c r="D65" s="10" t="s">
        <v>31</v>
      </c>
      <c r="E65" s="10" t="s">
        <v>31</v>
      </c>
      <c r="F65" s="10" t="s">
        <v>31</v>
      </c>
      <c r="G65" s="10" t="s">
        <v>31</v>
      </c>
      <c r="H65" s="10">
        <f t="shared" si="4"/>
        <v>2.73224043715847</v>
      </c>
      <c r="I65" s="10">
        <f t="shared" si="4"/>
        <v>0.9746192893401016</v>
      </c>
      <c r="J65" s="38">
        <f t="shared" si="4"/>
        <v>0.6651925431578949</v>
      </c>
    </row>
    <row r="66" ht="15" customHeight="1">
      <c r="B66" s="24" t="s">
        <v>77</v>
      </c>
      <c r="C66" s="8">
        <f>'Segment - Commercial Banking'!C66</f>
        <v>312</v>
      </c>
      <c r="D66" s="8">
        <f>'Segment - Commercial Banking'!D66</f>
        <v>335</v>
      </c>
      <c r="E66" s="8">
        <f>'Segment - Commercial Banking'!E66</f>
        <v>318</v>
      </c>
      <c r="F66" s="8">
        <f>'Segment - Commercial Banking'!F66</f>
        <v>356</v>
      </c>
      <c r="G66" s="8">
        <f>'Segment - Commercial Banking'!G66</f>
        <v>1321</v>
      </c>
      <c r="H66" s="8">
        <f>'Segment - Commercial Banking'!H66</f>
        <v>328</v>
      </c>
      <c r="I66" s="8">
        <f>'Segment - Commercial Banking'!I66</f>
        <v>265</v>
      </c>
      <c r="J66" s="36">
        <f>'Segment - Commercial Banking'!J66</f>
        <v>290</v>
      </c>
    </row>
    <row r="67" ht="15" customHeight="1">
      <c r="B67" s="37" t="s">
        <v>69</v>
      </c>
      <c r="C67" s="10" t="s">
        <v>31</v>
      </c>
      <c r="D67" s="10">
        <f t="shared" si="0"/>
        <v>0.07371794871794868</v>
      </c>
      <c r="E67" s="10">
        <f t="shared" si="0"/>
        <v>-0.05074626865671639</v>
      </c>
      <c r="F67" s="10">
        <f t="shared" si="0"/>
        <v>0.11949685534591192</v>
      </c>
      <c r="G67" s="10" t="s">
        <v>31</v>
      </c>
      <c r="H67" s="10">
        <f t="shared" si="5"/>
        <v>-0.0786516853932584</v>
      </c>
      <c r="I67" s="10">
        <f t="shared" si="0"/>
        <v>-0.19207317073170727</v>
      </c>
      <c r="J67" s="38">
        <f t="shared" si="0"/>
        <v>0.09433962264150941</v>
      </c>
    </row>
    <row r="68" ht="15" customHeight="1">
      <c r="B68" s="37" t="s">
        <v>70</v>
      </c>
      <c r="C68" s="10">
        <f t="shared" si="7"/>
        <v>0.15702063412179165</v>
      </c>
      <c r="D68" s="10">
        <f t="shared" si="7"/>
        <v>0.1341609931918302</v>
      </c>
      <c r="E68" s="10">
        <f t="shared" si="7"/>
        <v>0.10761421319796954</v>
      </c>
      <c r="F68" s="10">
        <f t="shared" si="7"/>
        <v>0.11421238370227783</v>
      </c>
      <c r="G68" s="10">
        <f t="shared" si="7"/>
        <v>0.1251420992800303</v>
      </c>
      <c r="H68" s="10">
        <f t="shared" si="7"/>
        <v>0.10628645495787427</v>
      </c>
      <c r="I68" s="10">
        <f t="shared" si="7"/>
        <v>0.07623705408515535</v>
      </c>
      <c r="J68" s="38">
        <f t="shared" si="7"/>
        <v>0.08212480702153553</v>
      </c>
    </row>
    <row r="69" ht="15" customHeight="1">
      <c r="B69" s="37" t="s">
        <v>71</v>
      </c>
      <c r="C69" s="10" t="s">
        <v>31</v>
      </c>
      <c r="D69" s="10" t="s">
        <v>31</v>
      </c>
      <c r="E69" s="10" t="s">
        <v>31</v>
      </c>
      <c r="F69" s="10" t="s">
        <v>31</v>
      </c>
      <c r="G69" s="10" t="s">
        <v>31</v>
      </c>
      <c r="H69" s="10">
        <f t="shared" si="2"/>
        <v>0.05128205128205132</v>
      </c>
      <c r="I69" s="10">
        <f t="shared" si="2"/>
        <v>-0.20895522388059706</v>
      </c>
      <c r="J69" s="38">
        <f t="shared" si="2"/>
        <v>-0.08805031446540879</v>
      </c>
    </row>
    <row r="70" ht="15" customHeight="1">
      <c r="B70" s="37" t="s">
        <v>72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 t="s">
        <v>31</v>
      </c>
      <c r="I70" s="10" t="s">
        <v>31</v>
      </c>
      <c r="J70" s="38" t="s">
        <v>31</v>
      </c>
    </row>
    <row r="71" ht="15" customHeight="1">
      <c r="B71" s="37" t="s">
        <v>73</v>
      </c>
      <c r="C71" s="10" t="s">
        <v>31</v>
      </c>
      <c r="D71" s="10" t="s">
        <v>31</v>
      </c>
      <c r="E71" s="10" t="s">
        <v>31</v>
      </c>
      <c r="F71" s="10" t="s">
        <v>31</v>
      </c>
      <c r="G71" s="10" t="s">
        <v>31</v>
      </c>
      <c r="H71" s="10" t="s">
        <v>31</v>
      </c>
      <c r="I71" s="10" t="s">
        <v>31</v>
      </c>
      <c r="J71" s="38" t="s">
        <v>31</v>
      </c>
    </row>
    <row r="72" ht="15" customHeight="1">
      <c r="B72" s="37" t="s">
        <v>74</v>
      </c>
      <c r="C72" s="10" t="str">
        <f t="shared" si="3"/>
        <v>n/a</v>
      </c>
      <c r="D72" s="10" t="str">
        <f t="shared" si="3"/>
        <v>n/a</v>
      </c>
      <c r="E72" s="10" t="str">
        <f t="shared" si="3"/>
        <v>n/a</v>
      </c>
      <c r="F72" s="10" t="str">
        <f t="shared" si="3"/>
        <v>n/a</v>
      </c>
      <c r="G72" s="10" t="str">
        <f t="shared" si="3"/>
        <v>n/a</v>
      </c>
      <c r="H72" s="10" t="str">
        <f t="shared" si="3"/>
        <v>n/a</v>
      </c>
      <c r="I72" s="10" t="str">
        <f t="shared" si="3"/>
        <v>n/a</v>
      </c>
      <c r="J72" s="38" t="str">
        <f t="shared" si="3"/>
        <v>n/a</v>
      </c>
    </row>
    <row r="73" ht="15" customHeight="1">
      <c r="B73" s="37" t="s">
        <v>75</v>
      </c>
      <c r="C73" s="10" t="s">
        <v>31</v>
      </c>
      <c r="D73" s="10" t="s">
        <v>31</v>
      </c>
      <c r="E73" s="10" t="s">
        <v>31</v>
      </c>
      <c r="F73" s="10" t="s">
        <v>31</v>
      </c>
      <c r="G73" s="10" t="s">
        <v>31</v>
      </c>
      <c r="H73" s="10">
        <f t="shared" si="4"/>
        <v>0.05128205128205132</v>
      </c>
      <c r="I73" s="10">
        <f t="shared" si="4"/>
        <v>-0.20895522388059706</v>
      </c>
      <c r="J73" s="38">
        <f t="shared" si="4"/>
        <v>-0.08805031446540879</v>
      </c>
    </row>
    <row r="74" ht="15" customHeight="1">
      <c r="B74" s="24" t="s">
        <v>84</v>
      </c>
      <c r="C74" s="12">
        <v>-19</v>
      </c>
      <c r="D74" s="12">
        <v>-34</v>
      </c>
      <c r="E74" s="12">
        <v>-49</v>
      </c>
      <c r="F74" s="12">
        <v>-76</v>
      </c>
      <c r="G74" s="9">
        <f t="shared" si="12"/>
        <v>-178</v>
      </c>
      <c r="H74" s="12">
        <v>-78</v>
      </c>
      <c r="I74" s="12">
        <v>-80</v>
      </c>
      <c r="J74" s="39">
        <v>-80</v>
      </c>
      <c r="K74" s="40" t="s">
        <v>85</v>
      </c>
    </row>
    <row r="75" ht="15" customHeight="1">
      <c r="B75" s="37" t="s">
        <v>69</v>
      </c>
      <c r="C75" s="10" t="s">
        <v>31</v>
      </c>
      <c r="D75" s="10" t="str">
        <f t="shared" si="0"/>
        <v>n/m</v>
      </c>
      <c r="E75" s="10" t="str">
        <f t="shared" si="0"/>
        <v>n/m</v>
      </c>
      <c r="F75" s="10" t="str">
        <f t="shared" si="0"/>
        <v>n/m</v>
      </c>
      <c r="G75" s="10" t="s">
        <v>31</v>
      </c>
      <c r="H75" s="10" t="str">
        <f t="shared" si="5"/>
        <v>n/m</v>
      </c>
      <c r="I75" s="10" t="str">
        <f t="shared" si="0"/>
        <v>n/m</v>
      </c>
      <c r="J75" s="38" t="str">
        <f t="shared" si="0"/>
        <v>n/m</v>
      </c>
    </row>
    <row r="76" ht="15" customHeight="1">
      <c r="B76" s="37" t="s">
        <v>70</v>
      </c>
      <c r="C76" s="10">
        <f t="shared" si="8"/>
        <v>-0.009562154001006542</v>
      </c>
      <c r="D76" s="10">
        <f t="shared" si="8"/>
        <v>-0.013616339607529036</v>
      </c>
      <c r="E76" s="10">
        <f t="shared" si="8"/>
        <v>-0.016582064297800337</v>
      </c>
      <c r="F76" s="10">
        <f t="shared" si="8"/>
        <v>-0.02438241899262111</v>
      </c>
      <c r="G76" s="10">
        <f t="shared" si="8"/>
        <v>-0.016862447896930654</v>
      </c>
      <c r="H76" s="10">
        <f t="shared" si="8"/>
        <v>-0.025275437459494492</v>
      </c>
      <c r="I76" s="10">
        <f t="shared" si="8"/>
        <v>-0.023014959723820484</v>
      </c>
      <c r="J76" s="38">
        <f t="shared" si="8"/>
        <v>-0.022655119178354628</v>
      </c>
    </row>
    <row r="77" ht="15" customHeight="1">
      <c r="B77" s="37" t="s">
        <v>71</v>
      </c>
      <c r="C77" s="10" t="s">
        <v>31</v>
      </c>
      <c r="D77" s="10" t="s">
        <v>31</v>
      </c>
      <c r="E77" s="10" t="s">
        <v>31</v>
      </c>
      <c r="F77" s="10" t="s">
        <v>31</v>
      </c>
      <c r="G77" s="10" t="s">
        <v>31</v>
      </c>
      <c r="H77" s="10" t="str">
        <f t="shared" si="2"/>
        <v>n/m</v>
      </c>
      <c r="I77" s="10" t="str">
        <f t="shared" si="2"/>
        <v>n/m</v>
      </c>
      <c r="J77" s="38" t="str">
        <f t="shared" si="2"/>
        <v>n/m</v>
      </c>
    </row>
    <row r="78" ht="15" customHeight="1">
      <c r="B78" s="37" t="s">
        <v>72</v>
      </c>
      <c r="C78" s="10" t="s">
        <v>31</v>
      </c>
      <c r="D78" s="10" t="s">
        <v>31</v>
      </c>
      <c r="E78" s="10" t="s">
        <v>31</v>
      </c>
      <c r="F78" s="10" t="s">
        <v>31</v>
      </c>
      <c r="G78" s="10" t="s">
        <v>31</v>
      </c>
      <c r="H78" s="10" t="s">
        <v>31</v>
      </c>
      <c r="I78" s="10" t="s">
        <v>31</v>
      </c>
      <c r="J78" s="38" t="s">
        <v>31</v>
      </c>
    </row>
    <row r="79" ht="15" customHeight="1">
      <c r="B79" s="37" t="s">
        <v>73</v>
      </c>
      <c r="C79" s="10" t="s">
        <v>31</v>
      </c>
      <c r="D79" s="10" t="s">
        <v>31</v>
      </c>
      <c r="E79" s="10" t="s">
        <v>31</v>
      </c>
      <c r="F79" s="10" t="s">
        <v>31</v>
      </c>
      <c r="G79" s="10" t="s">
        <v>31</v>
      </c>
      <c r="H79" s="10" t="s">
        <v>31</v>
      </c>
      <c r="I79" s="10" t="s">
        <v>31</v>
      </c>
      <c r="J79" s="38" t="s">
        <v>31</v>
      </c>
    </row>
    <row r="80" ht="15" customHeight="1">
      <c r="B80" s="37" t="s">
        <v>74</v>
      </c>
      <c r="C80" s="10" t="str">
        <f t="shared" si="3"/>
        <v>n/a</v>
      </c>
      <c r="D80" s="10" t="str">
        <f t="shared" si="3"/>
        <v>n/a</v>
      </c>
      <c r="E80" s="10" t="str">
        <f t="shared" si="3"/>
        <v>n/a</v>
      </c>
      <c r="F80" s="10" t="str">
        <f t="shared" si="3"/>
        <v>n/a</v>
      </c>
      <c r="G80" s="10" t="str">
        <f t="shared" si="3"/>
        <v>n/a</v>
      </c>
      <c r="H80" s="10" t="str">
        <f t="shared" si="3"/>
        <v>n/a</v>
      </c>
      <c r="I80" s="10" t="str">
        <f t="shared" si="3"/>
        <v>n/a</v>
      </c>
      <c r="J80" s="38" t="str">
        <f t="shared" si="3"/>
        <v>n/a</v>
      </c>
    </row>
    <row r="81" ht="15" customHeight="1">
      <c r="B81" s="37" t="s">
        <v>75</v>
      </c>
      <c r="C81" s="10" t="s">
        <v>31</v>
      </c>
      <c r="D81" s="10" t="s">
        <v>31</v>
      </c>
      <c r="E81" s="10" t="s">
        <v>31</v>
      </c>
      <c r="F81" s="10" t="s">
        <v>31</v>
      </c>
      <c r="G81" s="10" t="s">
        <v>31</v>
      </c>
      <c r="H81" s="10" t="str">
        <f t="shared" si="4"/>
        <v>n/m</v>
      </c>
      <c r="I81" s="10" t="str">
        <f t="shared" si="4"/>
        <v>n/m</v>
      </c>
      <c r="J81" s="38" t="str">
        <f t="shared" si="4"/>
        <v>n/m</v>
      </c>
    </row>
    <row r="82" ht="15" customHeight="1">
      <c r="B82" s="4" t="s">
        <v>86</v>
      </c>
      <c r="C82" s="41">
        <f t="shared" si="9"/>
        <v>1987</v>
      </c>
      <c r="D82" s="41">
        <f t="shared" si="9"/>
        <v>2497</v>
      </c>
      <c r="E82" s="41">
        <f t="shared" si="9"/>
        <v>2955</v>
      </c>
      <c r="F82" s="41">
        <f t="shared" si="9"/>
        <v>3117</v>
      </c>
      <c r="G82" s="41">
        <f t="shared" si="9"/>
        <v>10556</v>
      </c>
      <c r="H82" s="41">
        <f t="shared" si="9"/>
        <v>3086</v>
      </c>
      <c r="I82" s="41">
        <f t="shared" si="9"/>
        <v>3476</v>
      </c>
      <c r="J82" s="42">
        <f t="shared" si="9"/>
        <v>3531.210733</v>
      </c>
    </row>
    <row r="83" ht="15" customHeight="1">
      <c r="B83" s="37" t="s">
        <v>69</v>
      </c>
      <c r="C83" s="10" t="s">
        <v>31</v>
      </c>
      <c r="D83" s="10">
        <f t="shared" si="0"/>
        <v>0.25666834423754414</v>
      </c>
      <c r="E83" s="10">
        <f t="shared" si="0"/>
        <v>0.1834201041249499</v>
      </c>
      <c r="F83" s="10">
        <f t="shared" si="0"/>
        <v>0.0548223350253807</v>
      </c>
      <c r="G83" s="10" t="s">
        <v>31</v>
      </c>
      <c r="H83" s="10">
        <f t="shared" si="5"/>
        <v>-0.009945460378569138</v>
      </c>
      <c r="I83" s="10">
        <f t="shared" si="0"/>
        <v>0.12637718729747238</v>
      </c>
      <c r="J83" s="38">
        <f t="shared" si="0"/>
        <v>0.015883409953969974</v>
      </c>
    </row>
    <row r="84" ht="15" customHeight="1">
      <c r="B84" s="37" t="s">
        <v>71</v>
      </c>
      <c r="C84" s="10" t="s">
        <v>31</v>
      </c>
      <c r="D84" s="10" t="s">
        <v>31</v>
      </c>
      <c r="E84" s="10" t="s">
        <v>31</v>
      </c>
      <c r="F84" s="10" t="s">
        <v>31</v>
      </c>
      <c r="G84" s="10" t="s">
        <v>31</v>
      </c>
      <c r="H84" s="10">
        <f t="shared" si="10"/>
        <v>0.5530951182687469</v>
      </c>
      <c r="I84" s="10">
        <f t="shared" si="10"/>
        <v>0.39207048458149774</v>
      </c>
      <c r="J84" s="38">
        <f t="shared" si="10"/>
        <v>0.19499517191201354</v>
      </c>
    </row>
    <row r="85" ht="15" customHeight="1">
      <c r="B85" s="37" t="s">
        <v>72</v>
      </c>
      <c r="C85" s="10" t="s">
        <v>31</v>
      </c>
      <c r="D85" s="10" t="s">
        <v>31</v>
      </c>
      <c r="E85" s="10" t="s">
        <v>31</v>
      </c>
      <c r="F85" s="10" t="s">
        <v>31</v>
      </c>
      <c r="G85" s="10" t="s">
        <v>31</v>
      </c>
      <c r="H85" s="10" t="s">
        <v>31</v>
      </c>
      <c r="I85" s="10" t="s">
        <v>31</v>
      </c>
      <c r="J85" s="38" t="s">
        <v>31</v>
      </c>
    </row>
    <row r="86" ht="15" customHeight="1">
      <c r="B86" s="37" t="s">
        <v>73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 t="s">
        <v>31</v>
      </c>
      <c r="I86" s="10" t="s">
        <v>31</v>
      </c>
      <c r="J86" s="38" t="s">
        <v>31</v>
      </c>
    </row>
    <row r="87" ht="15" customHeight="1">
      <c r="B87" s="37" t="s">
        <v>74</v>
      </c>
      <c r="C87" s="10" t="str">
        <f t="shared" si="3"/>
        <v>n/a</v>
      </c>
      <c r="D87" s="10" t="str">
        <f t="shared" si="3"/>
        <v>n/a</v>
      </c>
      <c r="E87" s="10" t="str">
        <f t="shared" si="3"/>
        <v>n/a</v>
      </c>
      <c r="F87" s="10" t="str">
        <f t="shared" si="3"/>
        <v>n/a</v>
      </c>
      <c r="G87" s="10" t="str">
        <f t="shared" si="3"/>
        <v>n/a</v>
      </c>
      <c r="H87" s="10" t="str">
        <f t="shared" si="3"/>
        <v>n/a</v>
      </c>
      <c r="I87" s="10" t="str">
        <f t="shared" si="3"/>
        <v>n/a</v>
      </c>
      <c r="J87" s="38" t="str">
        <f t="shared" si="3"/>
        <v>n/a</v>
      </c>
    </row>
    <row r="88" ht="15" customHeight="1">
      <c r="B88" s="43" t="s">
        <v>75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>
        <f t="shared" si="11"/>
        <v>0.5530951182687469</v>
      </c>
      <c r="I88" s="10">
        <f t="shared" si="11"/>
        <v>0.39207048458149774</v>
      </c>
      <c r="J88" s="38">
        <f t="shared" si="11"/>
        <v>0.19499517191201354</v>
      </c>
    </row>
    <row r="89" ht="15" customHeight="1">
      <c r="B89" s="35" t="s">
        <v>87</v>
      </c>
    </row>
    <row r="90" ht="15" customHeight="1">
      <c r="B90" s="45" t="s">
        <v>68</v>
      </c>
      <c r="C90" s="46">
        <f>'Segment - Credit Card'!C140</f>
        <v>7165</v>
      </c>
      <c r="D90" s="46">
        <f>'Segment - Credit Card'!D140</f>
        <v>9095</v>
      </c>
      <c r="E90" s="46">
        <f>'Segment - Credit Card'!E140</f>
        <v>11607</v>
      </c>
      <c r="F90" s="46">
        <f>'Segment - Credit Card'!F140</f>
        <v>11693</v>
      </c>
      <c r="G90" s="46">
        <f>'Segment - Credit Card'!G140</f>
        <v>39560</v>
      </c>
      <c r="H90" s="46">
        <f>'Segment - Credit Card'!H140</f>
        <v>11389</v>
      </c>
      <c r="I90" s="46">
        <f>'Segment - Credit Card'!I140</f>
        <v>11765</v>
      </c>
      <c r="J90" s="47">
        <f>'Segment - Credit Card'!J140</f>
        <v>12073.321306963473</v>
      </c>
    </row>
    <row r="91" ht="15" customHeight="1">
      <c r="B91" s="37" t="s">
        <v>75</v>
      </c>
      <c r="C91" s="10" t="s">
        <v>31</v>
      </c>
      <c r="D91" s="10" t="s">
        <v>31</v>
      </c>
      <c r="E91" s="10" t="s">
        <v>31</v>
      </c>
      <c r="F91" s="10" t="s">
        <v>31</v>
      </c>
      <c r="G91" s="10" t="s">
        <v>31</v>
      </c>
      <c r="H91" s="10">
        <f t="shared" si="13" ref="H91:J145">IF(AND(ISNUMBER(H90),ISNUMBER(C90)),IF(C90&gt;0,H90/C90-1,"n/m"),"n/a")</f>
        <v>0.5895324494068388</v>
      </c>
      <c r="I91" s="10">
        <f t="shared" si="13"/>
        <v>0.29356789444749865</v>
      </c>
      <c r="J91" s="38">
        <f t="shared" si="13"/>
        <v>0.04017586861062061</v>
      </c>
    </row>
    <row r="92" ht="15" customHeight="1">
      <c r="B92" s="37" t="s">
        <v>69</v>
      </c>
      <c r="C92" s="10" t="s">
        <v>31</v>
      </c>
      <c r="D92" s="10">
        <f t="shared" si="14" ref="D92:J124">IF(AND(ISNUMBER(D90),ISNUMBER(C90)),IF(C90&gt;0,D90/C90-1,"n/m"),"n/a")</f>
        <v>0.26936496859734826</v>
      </c>
      <c r="E92" s="10">
        <f t="shared" si="14"/>
        <v>0.27619571192963166</v>
      </c>
      <c r="F92" s="10">
        <f t="shared" si="14"/>
        <v>0.007409321960885729</v>
      </c>
      <c r="G92" s="10" t="s">
        <v>31</v>
      </c>
      <c r="H92" s="10">
        <f t="shared" si="17" ref="H92:H124">IF(AND(ISNUMBER(H90),ISNUMBER(F90)),IF(F90&gt;0,H90/F90-1,"n/m"),"n/a")</f>
        <v>-0.02599846061746347</v>
      </c>
      <c r="I92" s="10">
        <f t="shared" si="14"/>
        <v>0.03301431205549221</v>
      </c>
      <c r="J92" s="38">
        <f t="shared" si="14"/>
        <v>0.02620665592549698</v>
      </c>
    </row>
    <row r="93" ht="15" customHeight="1">
      <c r="B93" s="37" t="s">
        <v>70</v>
      </c>
      <c r="C93" s="10">
        <f t="shared" si="15" ref="C93:J93">IF(AND(ISNUMBER(C90),C122&lt;&gt;0),C90/C122,"n/a")</f>
        <v>0.7165</v>
      </c>
      <c r="D93" s="10">
        <f t="shared" si="15"/>
        <v>0.7280659622158181</v>
      </c>
      <c r="E93" s="10">
        <f t="shared" si="15"/>
        <v>0.7557132625821994</v>
      </c>
      <c r="F93" s="10">
        <f t="shared" si="15"/>
        <v>0.7503689918500931</v>
      </c>
      <c r="G93" s="10">
        <f t="shared" si="15"/>
        <v>0.7403525844967623</v>
      </c>
      <c r="H93" s="10">
        <f t="shared" si="15"/>
        <v>0.7477512966975248</v>
      </c>
      <c r="I93" s="10">
        <f t="shared" si="15"/>
        <v>0.7422712933753943</v>
      </c>
      <c r="J93" s="38">
        <f t="shared" si="15"/>
        <v>0.7422154380195349</v>
      </c>
    </row>
    <row r="94" ht="15" customHeight="1">
      <c r="B94" s="37" t="s">
        <v>71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>
        <f t="shared" si="16" ref="H94:J118">IF(AND(ISNUMBER(H90),ISNUMBER(C90)),IF(C90&gt;0,H90/C90-1,"n/m"),"n/a")</f>
        <v>0.5895324494068388</v>
      </c>
      <c r="I94" s="10">
        <f t="shared" si="16"/>
        <v>0.29356789444749865</v>
      </c>
      <c r="J94" s="38">
        <f t="shared" si="16"/>
        <v>0.04017586861062061</v>
      </c>
    </row>
    <row r="95" ht="15" customHeight="1">
      <c r="B95" s="37" t="s">
        <v>72</v>
      </c>
      <c r="C95" s="10" t="s">
        <v>31</v>
      </c>
      <c r="D95" s="10" t="s">
        <v>31</v>
      </c>
      <c r="E95" s="10" t="s">
        <v>31</v>
      </c>
      <c r="F95" s="10" t="s">
        <v>31</v>
      </c>
      <c r="G95" s="10" t="s">
        <v>31</v>
      </c>
      <c r="H95" s="10" t="s">
        <v>31</v>
      </c>
      <c r="I95" s="10" t="s">
        <v>31</v>
      </c>
      <c r="J95" s="38" t="s">
        <v>31</v>
      </c>
    </row>
    <row r="96" ht="15" customHeight="1">
      <c r="B96" s="37" t="s">
        <v>73</v>
      </c>
      <c r="C96" s="10" t="s">
        <v>31</v>
      </c>
      <c r="D96" s="10" t="s">
        <v>31</v>
      </c>
      <c r="E96" s="10" t="s">
        <v>31</v>
      </c>
      <c r="F96" s="10" t="s">
        <v>31</v>
      </c>
      <c r="G96" s="10" t="s">
        <v>31</v>
      </c>
      <c r="H96" s="10" t="s">
        <v>31</v>
      </c>
      <c r="I96" s="10" t="s">
        <v>31</v>
      </c>
      <c r="J96" s="38" t="s">
        <v>31</v>
      </c>
    </row>
    <row r="97" ht="15" customHeight="1">
      <c r="B97" s="37" t="s">
        <v>74</v>
      </c>
      <c r="C97" s="10" t="str">
        <f t="shared" si="3"/>
        <v>n/a</v>
      </c>
      <c r="D97" s="10" t="str">
        <f t="shared" si="3"/>
        <v>n/a</v>
      </c>
      <c r="E97" s="10" t="str">
        <f t="shared" si="3"/>
        <v>n/a</v>
      </c>
      <c r="F97" s="10" t="str">
        <f t="shared" si="3"/>
        <v>n/a</v>
      </c>
      <c r="G97" s="10" t="str">
        <f t="shared" si="3"/>
        <v>n/a</v>
      </c>
      <c r="H97" s="10" t="str">
        <f t="shared" si="3"/>
        <v>n/a</v>
      </c>
      <c r="I97" s="10" t="str">
        <f t="shared" si="3"/>
        <v>n/a</v>
      </c>
      <c r="J97" s="38" t="str">
        <f t="shared" si="3"/>
        <v>n/a</v>
      </c>
    </row>
    <row r="98" ht="15" customHeight="1">
      <c r="B98" s="45" t="s">
        <v>76</v>
      </c>
      <c r="C98" s="46">
        <f>'Segment - Consumer Banking'!C101</f>
        <v>2126</v>
      </c>
      <c r="D98" s="46">
        <f>'Segment - Consumer Banking'!D101</f>
        <v>2556</v>
      </c>
      <c r="E98" s="46">
        <f>'Segment - Consumer Banking'!E101</f>
        <v>2832</v>
      </c>
      <c r="F98" s="46">
        <f>'Segment - Consumer Banking'!F101</f>
        <v>2919</v>
      </c>
      <c r="G98" s="46">
        <f>'Segment - Consumer Banking'!G101</f>
        <v>10433</v>
      </c>
      <c r="H98" s="46">
        <f>'Segment - Consumer Banking'!H101</f>
        <v>2912</v>
      </c>
      <c r="I98" s="46">
        <f>'Segment - Consumer Banking'!I101</f>
        <v>3209</v>
      </c>
      <c r="J98" s="47">
        <f>'Segment - Consumer Banking'!J101</f>
        <v>3269.295225123288</v>
      </c>
    </row>
    <row r="99" ht="15" customHeight="1">
      <c r="B99" s="37" t="s">
        <v>75</v>
      </c>
      <c r="C99" s="10" t="s">
        <v>31</v>
      </c>
      <c r="D99" s="10" t="s">
        <v>31</v>
      </c>
      <c r="E99" s="10" t="s">
        <v>31</v>
      </c>
      <c r="F99" s="10" t="s">
        <v>31</v>
      </c>
      <c r="G99" s="10" t="s">
        <v>31</v>
      </c>
      <c r="H99" s="10">
        <f t="shared" si="13"/>
        <v>0.36970837253057387</v>
      </c>
      <c r="I99" s="10">
        <f t="shared" si="13"/>
        <v>0.25547730829420967</v>
      </c>
      <c r="J99" s="38">
        <f t="shared" si="13"/>
        <v>0.1544121557638729</v>
      </c>
    </row>
    <row r="100" ht="15" customHeight="1">
      <c r="B100" s="37" t="s">
        <v>69</v>
      </c>
      <c r="C100" s="10" t="s">
        <v>31</v>
      </c>
      <c r="D100" s="10">
        <f t="shared" si="14"/>
        <v>0.2022577610536218</v>
      </c>
      <c r="E100" s="10">
        <f t="shared" si="14"/>
        <v>0.107981220657277</v>
      </c>
      <c r="F100" s="10">
        <f t="shared" si="14"/>
        <v>0.03072033898305082</v>
      </c>
      <c r="G100" s="10" t="s">
        <v>31</v>
      </c>
      <c r="H100" s="10">
        <f t="shared" si="17"/>
        <v>-0.0023980815347721673</v>
      </c>
      <c r="I100" s="10">
        <f t="shared" si="14"/>
        <v>0.10199175824175821</v>
      </c>
      <c r="J100" s="38">
        <f t="shared" si="14"/>
        <v>0.01878941262801126</v>
      </c>
    </row>
    <row r="101" ht="15" customHeight="1">
      <c r="B101" s="37" t="s">
        <v>70</v>
      </c>
      <c r="C101" s="10">
        <f t="shared" si="18" ref="C101:J101">IF(AND(ISNUMBER(C98),C122&lt;&gt;0),C98/C122,"n/a")</f>
        <v>0.2126</v>
      </c>
      <c r="D101" s="10">
        <f t="shared" si="18"/>
        <v>0.20461095100864554</v>
      </c>
      <c r="E101" s="10">
        <f t="shared" si="18"/>
        <v>0.18438700436226316</v>
      </c>
      <c r="F101" s="10">
        <f t="shared" si="18"/>
        <v>0.18731951485593273</v>
      </c>
      <c r="G101" s="10">
        <f t="shared" si="18"/>
        <v>0.19525021521877456</v>
      </c>
      <c r="H101" s="10">
        <f t="shared" si="18"/>
        <v>0.19118902238854968</v>
      </c>
      <c r="I101" s="10">
        <f t="shared" si="18"/>
        <v>0.20246056782334385</v>
      </c>
      <c r="J101" s="38">
        <f t="shared" si="18"/>
        <v>0.20098209314867832</v>
      </c>
    </row>
    <row r="102" ht="15" customHeight="1">
      <c r="B102" s="37" t="s">
        <v>71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>
        <f t="shared" si="16"/>
        <v>0.36970837253057387</v>
      </c>
      <c r="I102" s="10">
        <f t="shared" si="16"/>
        <v>0.25547730829420967</v>
      </c>
      <c r="J102" s="38">
        <f t="shared" si="16"/>
        <v>0.1544121557638729</v>
      </c>
    </row>
    <row r="103" ht="15" customHeight="1">
      <c r="B103" s="37" t="s">
        <v>72</v>
      </c>
      <c r="C103" s="10" t="s">
        <v>31</v>
      </c>
      <c r="D103" s="10" t="s">
        <v>31</v>
      </c>
      <c r="E103" s="10" t="s">
        <v>31</v>
      </c>
      <c r="F103" s="10" t="s">
        <v>31</v>
      </c>
      <c r="G103" s="10" t="s">
        <v>31</v>
      </c>
      <c r="H103" s="10" t="s">
        <v>31</v>
      </c>
      <c r="I103" s="10" t="s">
        <v>31</v>
      </c>
      <c r="J103" s="38" t="s">
        <v>31</v>
      </c>
    </row>
    <row r="104" ht="15" customHeight="1">
      <c r="B104" s="37" t="s">
        <v>73</v>
      </c>
      <c r="C104" s="10" t="s">
        <v>31</v>
      </c>
      <c r="D104" s="10" t="s">
        <v>31</v>
      </c>
      <c r="E104" s="10" t="s">
        <v>31</v>
      </c>
      <c r="F104" s="10" t="s">
        <v>31</v>
      </c>
      <c r="G104" s="10" t="s">
        <v>31</v>
      </c>
      <c r="H104" s="10" t="s">
        <v>31</v>
      </c>
      <c r="I104" s="10" t="s">
        <v>31</v>
      </c>
      <c r="J104" s="38" t="s">
        <v>31</v>
      </c>
    </row>
    <row r="105" ht="15" customHeight="1">
      <c r="B105" s="37" t="s">
        <v>74</v>
      </c>
      <c r="C105" s="10" t="str">
        <f t="shared" si="3"/>
        <v>n/a</v>
      </c>
      <c r="D105" s="10" t="str">
        <f t="shared" si="3"/>
        <v>n/a</v>
      </c>
      <c r="E105" s="10" t="str">
        <f t="shared" si="3"/>
        <v>n/a</v>
      </c>
      <c r="F105" s="10" t="str">
        <f t="shared" si="3"/>
        <v>n/a</v>
      </c>
      <c r="G105" s="10" t="str">
        <f t="shared" si="3"/>
        <v>n/a</v>
      </c>
      <c r="H105" s="10" t="str">
        <f t="shared" si="3"/>
        <v>n/a</v>
      </c>
      <c r="I105" s="10" t="str">
        <f t="shared" si="3"/>
        <v>n/a</v>
      </c>
      <c r="J105" s="38" t="str">
        <f t="shared" si="3"/>
        <v>n/a</v>
      </c>
    </row>
    <row r="106" ht="15" customHeight="1">
      <c r="B106" s="45" t="s">
        <v>77</v>
      </c>
      <c r="C106" s="46">
        <f>'Segment - Commercial Banking'!C73</f>
        <v>884</v>
      </c>
      <c r="D106" s="46">
        <f>'Segment - Commercial Banking'!D73</f>
        <v>937</v>
      </c>
      <c r="E106" s="46">
        <f>'Segment - Commercial Banking'!E73</f>
        <v>904</v>
      </c>
      <c r="F106" s="46">
        <f>'Segment - Commercial Banking'!F73</f>
        <v>930</v>
      </c>
      <c r="G106" s="46">
        <f>'Segment - Commercial Banking'!G73</f>
        <v>3655</v>
      </c>
      <c r="H106" s="46">
        <f>'Segment - Commercial Banking'!H73</f>
        <v>909</v>
      </c>
      <c r="I106" s="46">
        <f>'Segment - Commercial Banking'!I73</f>
        <v>850</v>
      </c>
      <c r="J106" s="47">
        <f>'Segment - Commercial Banking'!J73</f>
        <v>888.9830136986302</v>
      </c>
    </row>
    <row r="107" ht="15" customHeight="1">
      <c r="B107" s="37" t="s">
        <v>75</v>
      </c>
      <c r="C107" s="10" t="s">
        <v>31</v>
      </c>
      <c r="D107" s="10" t="s">
        <v>31</v>
      </c>
      <c r="E107" s="10" t="s">
        <v>31</v>
      </c>
      <c r="F107" s="10" t="s">
        <v>31</v>
      </c>
      <c r="G107" s="10" t="s">
        <v>31</v>
      </c>
      <c r="H107" s="10">
        <f t="shared" si="13"/>
        <v>0.02828054298642524</v>
      </c>
      <c r="I107" s="10">
        <f t="shared" si="13"/>
        <v>-0.09284951974386335</v>
      </c>
      <c r="J107" s="38">
        <f t="shared" si="13"/>
        <v>-0.016611710510364808</v>
      </c>
    </row>
    <row r="108" ht="15" customHeight="1">
      <c r="B108" s="37" t="s">
        <v>69</v>
      </c>
      <c r="C108" s="10" t="s">
        <v>31</v>
      </c>
      <c r="D108" s="10">
        <f t="shared" si="14"/>
        <v>0.05995475113122173</v>
      </c>
      <c r="E108" s="10">
        <f t="shared" si="14"/>
        <v>-0.03521878335112061</v>
      </c>
      <c r="F108" s="10">
        <f t="shared" si="14"/>
        <v>0.028761061946902755</v>
      </c>
      <c r="G108" s="10" t="s">
        <v>31</v>
      </c>
      <c r="H108" s="10">
        <f t="shared" si="17"/>
        <v>-0.022580645161290325</v>
      </c>
      <c r="I108" s="10">
        <f t="shared" si="14"/>
        <v>-0.06490649064906495</v>
      </c>
      <c r="J108" s="38">
        <f t="shared" si="14"/>
        <v>0.04586236905721197</v>
      </c>
    </row>
    <row r="109" ht="15" customHeight="1">
      <c r="B109" s="37" t="s">
        <v>70</v>
      </c>
      <c r="C109" s="10">
        <f t="shared" si="19" ref="C109:J109">IF(AND(ISNUMBER(C106),C122&lt;&gt;0),C106/C122,"n/a")</f>
        <v>0.0884</v>
      </c>
      <c r="D109" s="10">
        <f t="shared" si="19"/>
        <v>0.0750080051232789</v>
      </c>
      <c r="E109" s="10">
        <f t="shared" si="19"/>
        <v>0.05885799856761508</v>
      </c>
      <c r="F109" s="10">
        <f t="shared" si="19"/>
        <v>0.059680420971571585</v>
      </c>
      <c r="G109" s="10">
        <f t="shared" si="19"/>
        <v>0.06840214095894</v>
      </c>
      <c r="H109" s="10">
        <f t="shared" si="19"/>
        <v>0.059680913925546586</v>
      </c>
      <c r="I109" s="10">
        <f t="shared" si="19"/>
        <v>0.05362776025236593</v>
      </c>
      <c r="J109" s="38">
        <f t="shared" si="19"/>
        <v>0.05465082060921343</v>
      </c>
    </row>
    <row r="110" ht="15" customHeight="1">
      <c r="B110" s="37" t="s">
        <v>71</v>
      </c>
      <c r="C110" s="10" t="s">
        <v>31</v>
      </c>
      <c r="D110" s="10" t="s">
        <v>31</v>
      </c>
      <c r="E110" s="10" t="s">
        <v>31</v>
      </c>
      <c r="F110" s="10" t="s">
        <v>31</v>
      </c>
      <c r="G110" s="10" t="s">
        <v>31</v>
      </c>
      <c r="H110" s="10">
        <f t="shared" si="16"/>
        <v>0.02828054298642524</v>
      </c>
      <c r="I110" s="10">
        <f t="shared" si="16"/>
        <v>-0.09284951974386335</v>
      </c>
      <c r="J110" s="38">
        <f t="shared" si="16"/>
        <v>-0.016611710510364808</v>
      </c>
    </row>
    <row r="111" ht="15" customHeight="1">
      <c r="B111" s="37" t="s">
        <v>72</v>
      </c>
      <c r="C111" s="10" t="s">
        <v>31</v>
      </c>
      <c r="D111" s="10" t="s">
        <v>31</v>
      </c>
      <c r="E111" s="10" t="s">
        <v>31</v>
      </c>
      <c r="F111" s="10" t="s">
        <v>31</v>
      </c>
      <c r="G111" s="10" t="s">
        <v>31</v>
      </c>
      <c r="H111" s="10" t="s">
        <v>31</v>
      </c>
      <c r="I111" s="10" t="s">
        <v>31</v>
      </c>
      <c r="J111" s="38" t="s">
        <v>31</v>
      </c>
    </row>
    <row r="112" ht="15" customHeight="1">
      <c r="B112" s="37" t="s">
        <v>73</v>
      </c>
      <c r="C112" s="10" t="s">
        <v>31</v>
      </c>
      <c r="D112" s="10" t="s">
        <v>31</v>
      </c>
      <c r="E112" s="10" t="s">
        <v>31</v>
      </c>
      <c r="F112" s="10" t="s">
        <v>31</v>
      </c>
      <c r="G112" s="10" t="s">
        <v>31</v>
      </c>
      <c r="H112" s="10" t="s">
        <v>31</v>
      </c>
      <c r="I112" s="10" t="s">
        <v>31</v>
      </c>
      <c r="J112" s="38" t="s">
        <v>31</v>
      </c>
    </row>
    <row r="113" ht="15" customHeight="1">
      <c r="B113" s="37" t="s">
        <v>74</v>
      </c>
      <c r="C113" s="10" t="str">
        <f t="shared" si="3"/>
        <v>n/a</v>
      </c>
      <c r="D113" s="10" t="str">
        <f t="shared" si="3"/>
        <v>n/a</v>
      </c>
      <c r="E113" s="10" t="str">
        <f t="shared" si="3"/>
        <v>n/a</v>
      </c>
      <c r="F113" s="10" t="str">
        <f t="shared" si="3"/>
        <v>n/a</v>
      </c>
      <c r="G113" s="10" t="str">
        <f t="shared" si="3"/>
        <v>n/a</v>
      </c>
      <c r="H113" s="10" t="str">
        <f t="shared" si="3"/>
        <v>n/a</v>
      </c>
      <c r="I113" s="10" t="str">
        <f t="shared" si="3"/>
        <v>n/a</v>
      </c>
      <c r="J113" s="38" t="str">
        <f t="shared" si="3"/>
        <v>n/a</v>
      </c>
    </row>
    <row r="114" ht="15" customHeight="1">
      <c r="B114" s="45" t="s">
        <v>84</v>
      </c>
      <c r="C114" s="41">
        <f t="shared" si="20" ref="C114:J114">C34+C74</f>
        <v>-175</v>
      </c>
      <c r="D114" s="41">
        <f t="shared" si="20"/>
        <v>-96</v>
      </c>
      <c r="E114" s="41">
        <f t="shared" si="20"/>
        <v>16</v>
      </c>
      <c r="F114" s="41">
        <f t="shared" si="20"/>
        <v>41</v>
      </c>
      <c r="G114" s="41">
        <f t="shared" si="20"/>
        <v>-214</v>
      </c>
      <c r="H114" s="41">
        <f t="shared" si="20"/>
        <v>21</v>
      </c>
      <c r="I114" s="41">
        <f t="shared" si="20"/>
        <v>26</v>
      </c>
      <c r="J114" s="42">
        <f t="shared" si="20"/>
        <v>35</v>
      </c>
    </row>
    <row r="115" ht="15" customHeight="1">
      <c r="B115" s="37" t="s">
        <v>75</v>
      </c>
      <c r="C115" s="10" t="s">
        <v>31</v>
      </c>
      <c r="D115" s="10" t="s">
        <v>31</v>
      </c>
      <c r="E115" s="10" t="s">
        <v>31</v>
      </c>
      <c r="F115" s="10" t="s">
        <v>31</v>
      </c>
      <c r="G115" s="10" t="s">
        <v>31</v>
      </c>
      <c r="H115" s="10" t="str">
        <f t="shared" si="13"/>
        <v>n/m</v>
      </c>
      <c r="I115" s="10" t="str">
        <f t="shared" si="13"/>
        <v>n/m</v>
      </c>
      <c r="J115" s="38">
        <f t="shared" si="13"/>
        <v>1.1875</v>
      </c>
    </row>
    <row r="116" ht="15" customHeight="1">
      <c r="B116" s="37" t="s">
        <v>69</v>
      </c>
      <c r="C116" s="10" t="s">
        <v>31</v>
      </c>
      <c r="D116" s="10" t="str">
        <f t="shared" si="14"/>
        <v>n/m</v>
      </c>
      <c r="E116" s="10" t="str">
        <f t="shared" si="14"/>
        <v>n/m</v>
      </c>
      <c r="F116" s="10">
        <f t="shared" si="14"/>
        <v>1.5625</v>
      </c>
      <c r="G116" s="10" t="s">
        <v>31</v>
      </c>
      <c r="H116" s="10">
        <f t="shared" si="17"/>
        <v>-0.4878048780487805</v>
      </c>
      <c r="I116" s="10">
        <f t="shared" si="14"/>
        <v>0.23809523809523814</v>
      </c>
      <c r="J116" s="38">
        <f t="shared" si="14"/>
        <v>0.34615384615384626</v>
      </c>
    </row>
    <row r="117" ht="15" customHeight="1">
      <c r="B117" s="37" t="s">
        <v>70</v>
      </c>
      <c r="C117" s="10">
        <f t="shared" si="21" ref="C117:J117">IF(AND(ISNUMBER(C114),C122&lt;&gt;0),C114/C122,"n/a")</f>
        <v>-0.0175</v>
      </c>
      <c r="D117" s="10">
        <f t="shared" si="21"/>
        <v>-0.007684918347742555</v>
      </c>
      <c r="E117" s="10">
        <f t="shared" si="21"/>
        <v>0.0010417344879223907</v>
      </c>
      <c r="F117" s="10">
        <f t="shared" si="21"/>
        <v>0.0026310723224026184</v>
      </c>
      <c r="G117" s="10">
        <f t="shared" si="21"/>
        <v>-0.004004940674476925</v>
      </c>
      <c r="H117" s="10">
        <f t="shared" si="21"/>
        <v>0.001378766988378964</v>
      </c>
      <c r="I117" s="10">
        <f t="shared" si="21"/>
        <v>0.001640378548895899</v>
      </c>
      <c r="J117" s="38">
        <f t="shared" si="21"/>
        <v>0.0021516482225732514</v>
      </c>
    </row>
    <row r="118" ht="15" customHeight="1">
      <c r="B118" s="37" t="s">
        <v>71</v>
      </c>
      <c r="C118" s="10" t="s">
        <v>31</v>
      </c>
      <c r="D118" s="10" t="s">
        <v>31</v>
      </c>
      <c r="E118" s="10" t="s">
        <v>31</v>
      </c>
      <c r="F118" s="10" t="s">
        <v>31</v>
      </c>
      <c r="G118" s="10" t="s">
        <v>31</v>
      </c>
      <c r="H118" s="10" t="str">
        <f t="shared" si="16"/>
        <v>n/m</v>
      </c>
      <c r="I118" s="10" t="str">
        <f t="shared" si="16"/>
        <v>n/m</v>
      </c>
      <c r="J118" s="38">
        <f t="shared" si="16"/>
        <v>1.1875</v>
      </c>
    </row>
    <row r="119" ht="15" customHeight="1">
      <c r="B119" s="37" t="s">
        <v>72</v>
      </c>
      <c r="C119" s="10" t="s">
        <v>31</v>
      </c>
      <c r="D119" s="10" t="s">
        <v>31</v>
      </c>
      <c r="E119" s="10" t="s">
        <v>31</v>
      </c>
      <c r="F119" s="10" t="s">
        <v>31</v>
      </c>
      <c r="G119" s="10" t="s">
        <v>31</v>
      </c>
      <c r="H119" s="10" t="s">
        <v>31</v>
      </c>
      <c r="I119" s="10" t="s">
        <v>31</v>
      </c>
      <c r="J119" s="38" t="s">
        <v>31</v>
      </c>
    </row>
    <row r="120" ht="15" customHeight="1">
      <c r="B120" s="37" t="s">
        <v>73</v>
      </c>
      <c r="C120" s="10" t="s">
        <v>31</v>
      </c>
      <c r="D120" s="10" t="s">
        <v>31</v>
      </c>
      <c r="E120" s="10" t="s">
        <v>31</v>
      </c>
      <c r="F120" s="10" t="s">
        <v>31</v>
      </c>
      <c r="G120" s="10" t="s">
        <v>31</v>
      </c>
      <c r="H120" s="10" t="s">
        <v>31</v>
      </c>
      <c r="I120" s="10" t="s">
        <v>31</v>
      </c>
      <c r="J120" s="38" t="s">
        <v>31</v>
      </c>
    </row>
    <row r="121" ht="15" customHeight="1">
      <c r="B121" s="37" t="s">
        <v>74</v>
      </c>
      <c r="C121" s="10" t="str">
        <f t="shared" si="3"/>
        <v>n/a</v>
      </c>
      <c r="D121" s="10" t="str">
        <f t="shared" si="3"/>
        <v>n/a</v>
      </c>
      <c r="E121" s="10" t="str">
        <f t="shared" si="3"/>
        <v>n/a</v>
      </c>
      <c r="F121" s="10" t="str">
        <f t="shared" si="3"/>
        <v>n/a</v>
      </c>
      <c r="G121" s="10" t="str">
        <f t="shared" si="3"/>
        <v>n/a</v>
      </c>
      <c r="H121" s="10" t="str">
        <f t="shared" si="3"/>
        <v>n/a</v>
      </c>
      <c r="I121" s="10" t="str">
        <f t="shared" si="3"/>
        <v>n/a</v>
      </c>
      <c r="J121" s="38" t="str">
        <f t="shared" si="3"/>
        <v>n/a</v>
      </c>
    </row>
    <row r="122" ht="15" customHeight="1">
      <c r="B122" s="4" t="s">
        <v>88</v>
      </c>
      <c r="C122" s="41">
        <f t="shared" si="9"/>
        <v>10000</v>
      </c>
      <c r="D122" s="41">
        <f t="shared" si="9"/>
        <v>12492</v>
      </c>
      <c r="E122" s="41">
        <f t="shared" si="9"/>
        <v>15359</v>
      </c>
      <c r="F122" s="41">
        <f t="shared" si="9"/>
        <v>15583</v>
      </c>
      <c r="G122" s="41">
        <f t="shared" si="9"/>
        <v>53434</v>
      </c>
      <c r="H122" s="41">
        <f t="shared" si="9"/>
        <v>15231</v>
      </c>
      <c r="I122" s="41">
        <f t="shared" si="9"/>
        <v>15850</v>
      </c>
      <c r="J122" s="42">
        <f t="shared" si="9"/>
        <v>16266.599545785393</v>
      </c>
    </row>
    <row r="123" ht="15" customHeight="1">
      <c r="B123" s="37" t="s">
        <v>75</v>
      </c>
      <c r="C123" s="10" t="s">
        <v>31</v>
      </c>
      <c r="D123" s="10" t="s">
        <v>31</v>
      </c>
      <c r="E123" s="10" t="s">
        <v>31</v>
      </c>
      <c r="F123" s="10" t="s">
        <v>31</v>
      </c>
      <c r="G123" s="10" t="s">
        <v>31</v>
      </c>
      <c r="H123" s="10">
        <f t="shared" si="13"/>
        <v>0.5230999999999999</v>
      </c>
      <c r="I123" s="10">
        <f t="shared" si="13"/>
        <v>0.26881203970541145</v>
      </c>
      <c r="J123" s="38">
        <f t="shared" si="13"/>
        <v>0.05909235925420875</v>
      </c>
    </row>
    <row r="124" ht="15" customHeight="1">
      <c r="B124" s="37" t="s">
        <v>69</v>
      </c>
      <c r="C124" s="10" t="s">
        <v>31</v>
      </c>
      <c r="D124" s="10">
        <f t="shared" si="14"/>
        <v>0.2492000000000001</v>
      </c>
      <c r="E124" s="10">
        <f t="shared" si="14"/>
        <v>0.22950688440601996</v>
      </c>
      <c r="F124" s="10">
        <f t="shared" si="14"/>
        <v>0.014584282830913509</v>
      </c>
      <c r="G124" s="10" t="s">
        <v>31</v>
      </c>
      <c r="H124" s="10">
        <f t="shared" si="17"/>
        <v>-0.02258871847526145</v>
      </c>
      <c r="I124" s="10">
        <f t="shared" si="14"/>
        <v>0.04064079837174184</v>
      </c>
      <c r="J124" s="38">
        <f t="shared" si="14"/>
        <v>0.026283883014851295</v>
      </c>
    </row>
    <row r="125" ht="15" customHeight="1">
      <c r="B125" s="37" t="s">
        <v>71</v>
      </c>
      <c r="C125" s="10" t="s">
        <v>31</v>
      </c>
      <c r="D125" s="10" t="s">
        <v>31</v>
      </c>
      <c r="E125" s="10" t="s">
        <v>31</v>
      </c>
      <c r="F125" s="10" t="s">
        <v>31</v>
      </c>
      <c r="G125" s="10" t="s">
        <v>31</v>
      </c>
      <c r="H125" s="10">
        <f t="shared" si="2"/>
        <v>0.5230999999999999</v>
      </c>
      <c r="I125" s="10">
        <f t="shared" si="2"/>
        <v>0.26881203970541145</v>
      </c>
      <c r="J125" s="38">
        <f t="shared" si="2"/>
        <v>0.05909235925420875</v>
      </c>
    </row>
    <row r="126" ht="15" customHeight="1">
      <c r="B126" s="37" t="s">
        <v>72</v>
      </c>
      <c r="C126" s="10" t="s">
        <v>31</v>
      </c>
      <c r="D126" s="10" t="s">
        <v>31</v>
      </c>
      <c r="E126" s="10" t="s">
        <v>31</v>
      </c>
      <c r="F126" s="10" t="s">
        <v>31</v>
      </c>
      <c r="G126" s="10" t="s">
        <v>31</v>
      </c>
      <c r="H126" s="10" t="s">
        <v>31</v>
      </c>
      <c r="I126" s="10" t="s">
        <v>31</v>
      </c>
      <c r="J126" s="38" t="s">
        <v>31</v>
      </c>
    </row>
    <row r="127" ht="15" customHeight="1">
      <c r="B127" s="37" t="s">
        <v>73</v>
      </c>
      <c r="C127" s="10" t="s">
        <v>31</v>
      </c>
      <c r="D127" s="10" t="s">
        <v>31</v>
      </c>
      <c r="E127" s="10" t="s">
        <v>31</v>
      </c>
      <c r="F127" s="10" t="s">
        <v>31</v>
      </c>
      <c r="G127" s="10" t="s">
        <v>31</v>
      </c>
      <c r="H127" s="10" t="s">
        <v>31</v>
      </c>
      <c r="I127" s="10" t="s">
        <v>31</v>
      </c>
      <c r="J127" s="38" t="s">
        <v>31</v>
      </c>
    </row>
    <row r="128" ht="15" customHeight="1">
      <c r="B128" s="37" t="s">
        <v>74</v>
      </c>
      <c r="C128" s="10" t="str">
        <f t="shared" si="3"/>
        <v>n/a</v>
      </c>
      <c r="D128" s="10" t="str">
        <f t="shared" si="3"/>
        <v>n/a</v>
      </c>
      <c r="E128" s="10" t="str">
        <f t="shared" si="3"/>
        <v>n/a</v>
      </c>
      <c r="F128" s="10" t="str">
        <f t="shared" si="3"/>
        <v>n/a</v>
      </c>
      <c r="G128" s="10" t="str">
        <f t="shared" si="3"/>
        <v>n/a</v>
      </c>
      <c r="H128" s="10" t="str">
        <f t="shared" si="3"/>
        <v>n/a</v>
      </c>
      <c r="I128" s="10" t="str">
        <f t="shared" si="3"/>
        <v>n/a</v>
      </c>
      <c r="J128" s="38" t="str">
        <f t="shared" si="3"/>
        <v>n/a</v>
      </c>
    </row>
    <row r="129" ht="15" customHeight="1">
      <c r="B129" s="43" t="s">
        <v>89</v>
      </c>
      <c r="C129" s="48">
        <f>C122-'Income Statement'!C75</f>
        <v>0</v>
      </c>
      <c r="D129" s="48">
        <f>D122-'Income Statement'!D75</f>
        <v>0</v>
      </c>
      <c r="E129" s="48">
        <f>E122-'Income Statement'!E75</f>
        <v>0</v>
      </c>
      <c r="F129" s="48">
        <f>F122-'Income Statement'!F75</f>
        <v>0</v>
      </c>
      <c r="G129" s="48">
        <f>G122-'Income Statement'!G75</f>
        <v>0</v>
      </c>
      <c r="H129" s="48">
        <f>H122-'Income Statement'!H75</f>
        <v>0</v>
      </c>
      <c r="I129" s="48">
        <f>I122-'Income Statement'!I75</f>
        <v>0</v>
      </c>
      <c r="J129" s="49">
        <f>J122-'Income Statement'!J75</f>
        <v>0</v>
      </c>
    </row>
    <row r="130" ht="15" customHeight="1">
      <c r="B130" s="43" t="s">
        <v>90</v>
      </c>
      <c r="C130" s="50">
        <f t="shared" si="22" ref="C130:J130">C42+C82-C122</f>
        <v>0</v>
      </c>
      <c r="D130" s="50">
        <f t="shared" si="22"/>
        <v>0</v>
      </c>
      <c r="E130" s="50">
        <f t="shared" si="22"/>
        <v>0</v>
      </c>
      <c r="F130" s="50">
        <f t="shared" si="22"/>
        <v>0</v>
      </c>
      <c r="G130" s="50">
        <f t="shared" si="22"/>
        <v>0</v>
      </c>
      <c r="H130" s="50">
        <f t="shared" si="22"/>
        <v>0</v>
      </c>
      <c r="I130" s="50">
        <f t="shared" si="22"/>
        <v>0</v>
      </c>
      <c r="J130" s="51">
        <f t="shared" si="22"/>
        <v>0</v>
      </c>
    </row>
    <row r="131" ht="15" customHeight="1">
      <c r="B131" s="35" t="s">
        <v>91</v>
      </c>
    </row>
    <row r="132" ht="15" customHeight="1">
      <c r="B132" s="24" t="s">
        <v>68</v>
      </c>
      <c r="C132" s="8">
        <f>'Segment - Credit Card'!C239</f>
        <v>1601</v>
      </c>
      <c r="D132" s="8">
        <f>'Segment - Credit Card'!D239</f>
        <v>-6450</v>
      </c>
      <c r="E132" s="8">
        <f>'Segment - Credit Card'!E239</f>
        <v>3834</v>
      </c>
      <c r="F132" s="8">
        <f>'Segment - Credit Card'!F239</f>
        <v>1868</v>
      </c>
      <c r="G132" s="8">
        <f>'Segment - Credit Card'!G239</f>
        <v>853</v>
      </c>
      <c r="H132" s="8">
        <f>'Segment - Credit Card'!H239</f>
        <v>2477</v>
      </c>
      <c r="I132" s="8">
        <f>'Segment - Credit Card'!I239</f>
        <v>3193</v>
      </c>
      <c r="J132" s="36">
        <f>'Segment - Credit Card'!J239</f>
        <v>2995.6363069634726</v>
      </c>
    </row>
    <row r="133" ht="15" customHeight="1">
      <c r="B133" s="37" t="s">
        <v>75</v>
      </c>
      <c r="C133" s="10" t="s">
        <v>31</v>
      </c>
      <c r="D133" s="10" t="s">
        <v>31</v>
      </c>
      <c r="E133" s="10" t="s">
        <v>31</v>
      </c>
      <c r="F133" s="10" t="s">
        <v>31</v>
      </c>
      <c r="G133" s="10" t="s">
        <v>31</v>
      </c>
      <c r="H133" s="10">
        <f t="shared" si="13"/>
        <v>0.547158026233604</v>
      </c>
      <c r="I133" s="10" t="str">
        <f t="shared" si="13"/>
        <v>n/m</v>
      </c>
      <c r="J133" s="38">
        <f t="shared" si="13"/>
        <v>-0.21866554330634513</v>
      </c>
    </row>
    <row r="134" ht="15" customHeight="1">
      <c r="B134" s="37" t="s">
        <v>92</v>
      </c>
      <c r="C134" s="50" t="s">
        <v>31</v>
      </c>
      <c r="D134" s="50">
        <f t="shared" si="23" ref="D134:J146">IF(AND(ISNUMBER(D132),ISNUMBER(C132)),D132-C132,"n/a")</f>
        <v>-8051</v>
      </c>
      <c r="E134" s="50">
        <f t="shared" si="23"/>
        <v>10284</v>
      </c>
      <c r="F134" s="50">
        <f t="shared" si="23"/>
        <v>-1966</v>
      </c>
      <c r="G134" s="50" t="s">
        <v>31</v>
      </c>
      <c r="H134" s="50">
        <f t="shared" si="24" ref="H134:H146">IF(AND(ISNUMBER(H132),ISNUMBER(F132)),H132-F132,"n/a")</f>
        <v>609</v>
      </c>
      <c r="I134" s="50">
        <f t="shared" si="23"/>
        <v>716</v>
      </c>
      <c r="J134" s="51">
        <f t="shared" si="23"/>
        <v>-197.36369303652737</v>
      </c>
    </row>
    <row r="135" ht="15" customHeight="1">
      <c r="B135" s="24" t="s">
        <v>76</v>
      </c>
      <c r="C135" s="8">
        <f>'Segment - Consumer Banking'!C176</f>
        <v>244</v>
      </c>
      <c r="D135" s="8">
        <f>'Segment - Consumer Banking'!D176</f>
        <v>591</v>
      </c>
      <c r="E135" s="8">
        <f>'Segment - Consumer Banking'!E176</f>
        <v>551</v>
      </c>
      <c r="F135" s="8">
        <f>'Segment - Consumer Banking'!F176</f>
        <v>221</v>
      </c>
      <c r="G135" s="8">
        <f>'Segment - Consumer Banking'!G176</f>
        <v>1607</v>
      </c>
      <c r="H135" s="8">
        <f>'Segment - Consumer Banking'!H176</f>
        <v>395</v>
      </c>
      <c r="I135" s="8">
        <f>'Segment - Consumer Banking'!I176</f>
        <v>644</v>
      </c>
      <c r="J135" s="36">
        <f>'Segment - Consumer Banking'!J176</f>
        <v>641.3457251232885</v>
      </c>
    </row>
    <row r="136" ht="15" customHeight="1">
      <c r="B136" s="37" t="s">
        <v>75</v>
      </c>
      <c r="C136" s="10" t="s">
        <v>31</v>
      </c>
      <c r="D136" s="10" t="s">
        <v>31</v>
      </c>
      <c r="E136" s="10" t="s">
        <v>31</v>
      </c>
      <c r="F136" s="10" t="s">
        <v>31</v>
      </c>
      <c r="G136" s="10" t="s">
        <v>31</v>
      </c>
      <c r="H136" s="10">
        <f t="shared" si="13"/>
        <v>0.6188524590163935</v>
      </c>
      <c r="I136" s="10">
        <f t="shared" si="13"/>
        <v>0.08967851099830804</v>
      </c>
      <c r="J136" s="38">
        <f t="shared" si="13"/>
        <v>0.16396683325460715</v>
      </c>
    </row>
    <row r="137" ht="15" customHeight="1">
      <c r="B137" s="37" t="s">
        <v>92</v>
      </c>
      <c r="C137" s="50" t="s">
        <v>31</v>
      </c>
      <c r="D137" s="50">
        <f t="shared" si="23"/>
        <v>347</v>
      </c>
      <c r="E137" s="50">
        <f t="shared" si="23"/>
        <v>-40</v>
      </c>
      <c r="F137" s="50">
        <f t="shared" si="23"/>
        <v>-330</v>
      </c>
      <c r="G137" s="50" t="s">
        <v>31</v>
      </c>
      <c r="H137" s="50">
        <f t="shared" si="24"/>
        <v>174</v>
      </c>
      <c r="I137" s="50">
        <f t="shared" si="23"/>
        <v>249</v>
      </c>
      <c r="J137" s="51">
        <f t="shared" si="23"/>
        <v>-2.654274876711497</v>
      </c>
    </row>
    <row r="138" ht="15" customHeight="1">
      <c r="B138" s="24" t="s">
        <v>77</v>
      </c>
      <c r="C138" s="8">
        <f>'Segment - Commercial Banking'!C149</f>
        <v>256</v>
      </c>
      <c r="D138" s="8">
        <f>'Segment - Commercial Banking'!D149</f>
        <v>367</v>
      </c>
      <c r="E138" s="8">
        <f>'Segment - Commercial Banking'!E149</f>
        <v>375</v>
      </c>
      <c r="F138" s="8">
        <f>'Segment - Commercial Banking'!F149</f>
        <v>371</v>
      </c>
      <c r="G138" s="8">
        <f>'Segment - Commercial Banking'!G149</f>
        <v>1369</v>
      </c>
      <c r="H138" s="8">
        <f>'Segment - Commercial Banking'!H149</f>
        <v>273</v>
      </c>
      <c r="I138" s="8">
        <f>'Segment - Commercial Banking'!I149</f>
        <v>317</v>
      </c>
      <c r="J138" s="36">
        <f>'Segment - Commercial Banking'!J149</f>
        <v>324.7180136986302</v>
      </c>
    </row>
    <row r="139" ht="15" customHeight="1">
      <c r="B139" s="37" t="s">
        <v>75</v>
      </c>
      <c r="C139" s="10" t="s">
        <v>31</v>
      </c>
      <c r="D139" s="10" t="s">
        <v>31</v>
      </c>
      <c r="E139" s="10" t="s">
        <v>31</v>
      </c>
      <c r="F139" s="10" t="s">
        <v>31</v>
      </c>
      <c r="G139" s="10" t="s">
        <v>31</v>
      </c>
      <c r="H139" s="10">
        <f t="shared" si="13"/>
        <v>0.06640625</v>
      </c>
      <c r="I139" s="10">
        <f t="shared" si="13"/>
        <v>-0.1362397820163488</v>
      </c>
      <c r="J139" s="38">
        <f t="shared" si="13"/>
        <v>-0.13408529680365278</v>
      </c>
    </row>
    <row r="140" ht="15" customHeight="1">
      <c r="B140" s="37" t="s">
        <v>92</v>
      </c>
      <c r="C140" s="50" t="s">
        <v>31</v>
      </c>
      <c r="D140" s="50">
        <f t="shared" si="23"/>
        <v>111</v>
      </c>
      <c r="E140" s="50">
        <f t="shared" si="23"/>
        <v>8</v>
      </c>
      <c r="F140" s="50">
        <f t="shared" si="23"/>
        <v>-4</v>
      </c>
      <c r="G140" s="50" t="s">
        <v>31</v>
      </c>
      <c r="H140" s="50">
        <f t="shared" si="24"/>
        <v>-98</v>
      </c>
      <c r="I140" s="50">
        <f t="shared" si="23"/>
        <v>44</v>
      </c>
      <c r="J140" s="51">
        <f t="shared" si="23"/>
        <v>7.718013698630216</v>
      </c>
    </row>
    <row r="141" ht="15" customHeight="1">
      <c r="B141" s="24" t="s">
        <v>93</v>
      </c>
      <c r="C141" s="8">
        <f>'Income Statement'!C119-C132-C135-C138</f>
        <v>-372</v>
      </c>
      <c r="D141" s="8">
        <f>'Income Statement'!D119-D132-D135-D138</f>
        <v>-437</v>
      </c>
      <c r="E141" s="8">
        <f>'Income Statement'!E119-E132-E135-E138</f>
        <v>-378</v>
      </c>
      <c r="F141" s="8">
        <f>'Income Statement'!F119-F132-F135-F138</f>
        <v>-361</v>
      </c>
      <c r="G141" s="8">
        <f>'Income Statement'!G119-G132-G135-G138</f>
        <v>-1548</v>
      </c>
      <c r="H141" s="8">
        <f>'Income Statement'!H119-H132-H135-H138</f>
        <v>-446</v>
      </c>
      <c r="I141" s="8">
        <f>'Income Statement'!I119-I132-I135-I138</f>
        <v>-336</v>
      </c>
      <c r="J141" s="36">
        <f>'Income Statement'!J119-J132-J135-J138</f>
        <v>-326.96500000000503</v>
      </c>
    </row>
    <row r="142" ht="15" customHeight="1">
      <c r="B142" s="37" t="s">
        <v>75</v>
      </c>
      <c r="C142" s="10" t="s">
        <v>31</v>
      </c>
      <c r="D142" s="10" t="s">
        <v>31</v>
      </c>
      <c r="E142" s="10" t="s">
        <v>31</v>
      </c>
      <c r="F142" s="10" t="s">
        <v>31</v>
      </c>
      <c r="G142" s="10" t="s">
        <v>31</v>
      </c>
      <c r="H142" s="10" t="str">
        <f t="shared" si="13"/>
        <v>n/m</v>
      </c>
      <c r="I142" s="10" t="str">
        <f t="shared" si="13"/>
        <v>n/m</v>
      </c>
      <c r="J142" s="38" t="str">
        <f t="shared" si="13"/>
        <v>n/m</v>
      </c>
    </row>
    <row r="143" ht="15" customHeight="1">
      <c r="B143" s="37" t="s">
        <v>92</v>
      </c>
      <c r="C143" s="50" t="s">
        <v>31</v>
      </c>
      <c r="D143" s="50">
        <f t="shared" si="23"/>
        <v>-65</v>
      </c>
      <c r="E143" s="50">
        <f t="shared" si="23"/>
        <v>59</v>
      </c>
      <c r="F143" s="50">
        <f t="shared" si="23"/>
        <v>17</v>
      </c>
      <c r="G143" s="50" t="s">
        <v>31</v>
      </c>
      <c r="H143" s="50">
        <f t="shared" si="24"/>
        <v>-85</v>
      </c>
      <c r="I143" s="50">
        <f t="shared" si="23"/>
        <v>110</v>
      </c>
      <c r="J143" s="51">
        <f t="shared" si="23"/>
        <v>9.034999999994966</v>
      </c>
    </row>
    <row r="144" ht="15" customHeight="1">
      <c r="B144" s="4" t="s">
        <v>94</v>
      </c>
      <c r="C144" s="41">
        <f t="shared" si="25" ref="C144:J144">C132+C135+C138+C141</f>
        <v>1729</v>
      </c>
      <c r="D144" s="41">
        <f t="shared" si="25"/>
        <v>-5929</v>
      </c>
      <c r="E144" s="41">
        <f t="shared" si="25"/>
        <v>4382</v>
      </c>
      <c r="F144" s="41">
        <f t="shared" si="25"/>
        <v>2099</v>
      </c>
      <c r="G144" s="41">
        <f t="shared" si="25"/>
        <v>2281</v>
      </c>
      <c r="H144" s="41">
        <f t="shared" si="25"/>
        <v>2699</v>
      </c>
      <c r="I144" s="41">
        <f t="shared" si="25"/>
        <v>3818</v>
      </c>
      <c r="J144" s="42">
        <f t="shared" si="25"/>
        <v>3634.7350457853863</v>
      </c>
    </row>
    <row r="145" ht="15" customHeight="1">
      <c r="B145" s="43" t="s">
        <v>75</v>
      </c>
      <c r="C145" s="10" t="s">
        <v>31</v>
      </c>
      <c r="D145" s="10" t="s">
        <v>31</v>
      </c>
      <c r="E145" s="10" t="s">
        <v>31</v>
      </c>
      <c r="F145" s="10" t="s">
        <v>31</v>
      </c>
      <c r="G145" s="10" t="s">
        <v>31</v>
      </c>
      <c r="H145" s="10">
        <f t="shared" si="13"/>
        <v>0.5610179294389821</v>
      </c>
      <c r="I145" s="10" t="str">
        <f t="shared" si="13"/>
        <v>n/m</v>
      </c>
      <c r="J145" s="38">
        <f t="shared" si="13"/>
        <v>-0.1705305691954846</v>
      </c>
    </row>
    <row r="146" ht="15" customHeight="1">
      <c r="B146" s="43" t="s">
        <v>92</v>
      </c>
      <c r="C146" s="50" t="s">
        <v>31</v>
      </c>
      <c r="D146" s="50">
        <f t="shared" si="23"/>
        <v>-7658</v>
      </c>
      <c r="E146" s="50">
        <f t="shared" si="23"/>
        <v>10311</v>
      </c>
      <c r="F146" s="50">
        <f t="shared" si="23"/>
        <v>-2283</v>
      </c>
      <c r="G146" s="50" t="s">
        <v>31</v>
      </c>
      <c r="H146" s="50">
        <f t="shared" si="24"/>
        <v>600</v>
      </c>
      <c r="I146" s="50">
        <f t="shared" si="23"/>
        <v>1119</v>
      </c>
      <c r="J146" s="51">
        <f t="shared" si="23"/>
        <v>-183.26495421461368</v>
      </c>
    </row>
    <row r="147" ht="15" customHeight="1">
      <c r="B147" s="35" t="s">
        <v>95</v>
      </c>
    </row>
    <row r="148" ht="15" customHeight="1">
      <c r="B148" s="24" t="s">
        <v>96</v>
      </c>
      <c r="C148" s="8">
        <f>'Segment - Credit Card'!C126</f>
        <v>6803</v>
      </c>
      <c r="D148" s="8">
        <f>'Segment - Credit Card'!D126</f>
        <v>8571</v>
      </c>
      <c r="E148" s="8">
        <f>'Segment - Credit Card'!E126</f>
        <v>10926</v>
      </c>
      <c r="F148" s="8">
        <f>'Segment - Credit Card'!F126</f>
        <v>11022</v>
      </c>
      <c r="G148" s="8">
        <f>'Segment - Credit Card'!G126</f>
        <v>37322</v>
      </c>
      <c r="H148" s="8">
        <f>'Segment - Credit Card'!H126</f>
        <v>10725</v>
      </c>
      <c r="I148" s="8">
        <f>'Segment - Credit Card'!I126</f>
        <v>11103</v>
      </c>
      <c r="J148" s="36">
        <f>'Segment - Credit Card'!J126</f>
        <v>11421.07801929224</v>
      </c>
    </row>
    <row r="149" ht="15" customHeight="1">
      <c r="B149" s="37" t="s">
        <v>97</v>
      </c>
      <c r="C149" s="10">
        <f t="shared" si="26" ref="C149:J149">IF(AND(ISNUMBER(C148),C122&lt;&gt;0),C148/C122,"n/a")</f>
        <v>0.6803</v>
      </c>
      <c r="D149" s="10">
        <f t="shared" si="26"/>
        <v>0.68611911623439</v>
      </c>
      <c r="E149" s="10">
        <f t="shared" si="26"/>
        <v>0.7113744384400026</v>
      </c>
      <c r="F149" s="10">
        <f t="shared" si="26"/>
        <v>0.7073092472566258</v>
      </c>
      <c r="G149" s="10">
        <f t="shared" si="26"/>
        <v>0.6984691394991953</v>
      </c>
      <c r="H149" s="10">
        <f t="shared" si="26"/>
        <v>0.7041559976363995</v>
      </c>
      <c r="I149" s="10">
        <f t="shared" si="26"/>
        <v>0.7005047318611988</v>
      </c>
      <c r="J149" s="38">
        <f t="shared" si="26"/>
        <v>0.7021183491451594</v>
      </c>
    </row>
    <row r="150" ht="15" customHeight="1">
      <c r="B150" s="37" t="s">
        <v>75</v>
      </c>
      <c r="C150" s="10" t="s">
        <v>31</v>
      </c>
      <c r="D150" s="10" t="s">
        <v>31</v>
      </c>
      <c r="E150" s="10" t="s">
        <v>31</v>
      </c>
      <c r="F150" s="10" t="s">
        <v>31</v>
      </c>
      <c r="G150" s="10" t="s">
        <v>31</v>
      </c>
      <c r="H150" s="10">
        <f t="shared" si="10"/>
        <v>0.5765103630751138</v>
      </c>
      <c r="I150" s="10">
        <f t="shared" si="10"/>
        <v>0.29541477073853684</v>
      </c>
      <c r="J150" s="38">
        <f t="shared" si="10"/>
        <v>0.04531191829509784</v>
      </c>
    </row>
    <row r="151" ht="15" customHeight="1">
      <c r="B151" s="37" t="s">
        <v>92</v>
      </c>
      <c r="C151" s="50" t="s">
        <v>31</v>
      </c>
      <c r="D151" s="50">
        <f t="shared" si="27" ref="D151:J151">IF(AND(ISNUMBER(D148),ISNUMBER(C148)),D148-C148,"n/a")</f>
        <v>1768</v>
      </c>
      <c r="E151" s="50">
        <f t="shared" si="27"/>
        <v>2355</v>
      </c>
      <c r="F151" s="50">
        <f t="shared" si="27"/>
        <v>96</v>
      </c>
      <c r="G151" s="50" t="s">
        <v>31</v>
      </c>
      <c r="H151" s="50">
        <f>IF(AND(ISNUMBER(H148),ISNUMBER(F148)),H148-F148,"n/a")</f>
        <v>-297</v>
      </c>
      <c r="I151" s="50">
        <f t="shared" si="27"/>
        <v>378</v>
      </c>
      <c r="J151" s="51">
        <f t="shared" si="27"/>
        <v>318.07801929223933</v>
      </c>
    </row>
    <row r="152" ht="15" customHeight="1">
      <c r="B152" s="24" t="s">
        <v>98</v>
      </c>
      <c r="J152" s="52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8F67F29-E098-9933-601A-87510ED4A60E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10" width="12.00390625" customWidth="1"/>
    <col min="11" max="11" width="16.00390625" customWidth="1"/>
  </cols>
  <sheetData>
    <row r="1" ht="15" customHeight="1">
      <c r="B1" s="1" t="s">
        <v>0</v>
      </c>
    </row>
    <row r="2" ht="15" customHeight="1">
      <c r="B2" s="2" t="s">
        <v>99</v>
      </c>
    </row>
    <row r="3" ht="15" customHeight="1">
      <c r="B3" s="3" t="s">
        <v>2</v>
      </c>
    </row>
    <row r="4" ht="15" customHeight="1">
      <c r="B4" s="53" t="s">
        <v>100</v>
      </c>
    </row>
    <row r="5" ht="15" customHeight="1">
      <c r="B5" s="26" t="s">
        <v>55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7" t="s">
        <v>61</v>
      </c>
      <c r="I5" s="27" t="s">
        <v>62</v>
      </c>
      <c r="J5" s="28" t="s">
        <v>63</v>
      </c>
      <c r="K5" s="26" t="s">
        <v>64</v>
      </c>
    </row>
    <row r="6" ht="15" customHeight="1">
      <c r="B6" s="29" t="s">
        <v>65</v>
      </c>
      <c r="C6" s="30">
        <v>45747</v>
      </c>
      <c r="D6" s="30">
        <v>45838</v>
      </c>
      <c r="E6" s="30">
        <v>45930</v>
      </c>
      <c r="F6" s="30">
        <v>46022</v>
      </c>
      <c r="G6" s="30">
        <v>46022</v>
      </c>
      <c r="H6" s="30">
        <v>46112</v>
      </c>
      <c r="I6" s="30">
        <v>46203</v>
      </c>
      <c r="J6" s="31">
        <v>46295</v>
      </c>
      <c r="K6" s="29"/>
    </row>
    <row r="7" ht="15" customHeight="1">
      <c r="B7" s="32" t="s">
        <v>66</v>
      </c>
      <c r="C7" s="33">
        <v>90</v>
      </c>
      <c r="D7" s="33">
        <v>91</v>
      </c>
      <c r="E7" s="33">
        <v>92</v>
      </c>
      <c r="F7" s="33">
        <v>92</v>
      </c>
      <c r="G7" s="33">
        <v>365</v>
      </c>
      <c r="H7" s="33">
        <v>90</v>
      </c>
      <c r="I7" s="33">
        <v>91</v>
      </c>
      <c r="J7" s="34">
        <v>92</v>
      </c>
      <c r="K7" s="32"/>
    </row>
    <row r="9" ht="15" customHeight="1">
      <c r="B9" s="35" t="s">
        <v>101</v>
      </c>
    </row>
    <row r="10" ht="15" customHeight="1">
      <c r="B10" s="24" t="s">
        <v>102</v>
      </c>
      <c r="C10" s="12">
        <v>150309</v>
      </c>
      <c r="D10" s="12">
        <v>252481</v>
      </c>
      <c r="E10" s="12">
        <v>253951</v>
      </c>
      <c r="F10" s="12">
        <v>262403</v>
      </c>
      <c r="G10" s="9">
        <f t="shared" si="2" ref="G10:G197">F10</f>
        <v>262403</v>
      </c>
      <c r="H10" s="12">
        <v>254028</v>
      </c>
      <c r="I10" s="12">
        <v>259005</v>
      </c>
      <c r="J10" s="39">
        <v>262400</v>
      </c>
      <c r="K10" s="40" t="s">
        <v>103</v>
      </c>
    </row>
    <row r="11" ht="15" customHeight="1">
      <c r="B11" s="37" t="s">
        <v>75</v>
      </c>
      <c r="C11" s="10" t="s">
        <v>31</v>
      </c>
      <c r="D11" s="10" t="s">
        <v>31</v>
      </c>
      <c r="E11" s="10" t="s">
        <v>31</v>
      </c>
      <c r="F11" s="10" t="s">
        <v>31</v>
      </c>
      <c r="G11" s="10" t="s">
        <v>31</v>
      </c>
      <c r="H11" s="10">
        <f t="shared" si="0" ref="H11:J268">IF(AND(ISNUMBER(H10),ISNUMBER(C10)),IF(C10&gt;0,H10/C10-1,"n/m"),"n/a")</f>
        <v>0.6900385206474662</v>
      </c>
      <c r="I11" s="10">
        <f t="shared" si="0"/>
        <v>0.025839568125918477</v>
      </c>
      <c r="J11" s="38">
        <f t="shared" si="0"/>
        <v>0.033270197794062595</v>
      </c>
      <c r="K11" s="53" t="s">
        <v>104</v>
      </c>
    </row>
    <row r="12" ht="15" customHeight="1">
      <c r="B12" s="37" t="s">
        <v>92</v>
      </c>
      <c r="C12" s="50" t="s">
        <v>31</v>
      </c>
      <c r="D12" s="50">
        <f t="shared" si="1" ref="D12:J269">IF(AND(ISNUMBER(D10),ISNUMBER(C10)),D10-C10,"n/a")</f>
        <v>102172</v>
      </c>
      <c r="E12" s="50">
        <f t="shared" si="1"/>
        <v>1470</v>
      </c>
      <c r="F12" s="50">
        <f t="shared" si="1"/>
        <v>8452</v>
      </c>
      <c r="G12" s="50" t="s">
        <v>31</v>
      </c>
      <c r="H12" s="50">
        <f t="shared" si="3" ref="H12:H269">IF(AND(ISNUMBER(H10),ISNUMBER(F10)),H10-F10,"n/a")</f>
        <v>-8375</v>
      </c>
      <c r="I12" s="50">
        <f t="shared" si="1"/>
        <v>4977</v>
      </c>
      <c r="J12" s="51">
        <f t="shared" si="1"/>
        <v>3395</v>
      </c>
    </row>
    <row r="13" ht="15" customHeight="1">
      <c r="B13" s="24" t="s">
        <v>105</v>
      </c>
      <c r="C13" s="12">
        <v>0</v>
      </c>
      <c r="D13" s="12">
        <v>9788</v>
      </c>
      <c r="E13" s="12">
        <v>9646</v>
      </c>
      <c r="F13" s="12">
        <v>9499</v>
      </c>
      <c r="G13" s="9">
        <f t="shared" si="2"/>
        <v>9499</v>
      </c>
      <c r="H13" s="12">
        <v>9070</v>
      </c>
      <c r="I13" s="12">
        <v>8619</v>
      </c>
      <c r="J13" s="39">
        <v>8200</v>
      </c>
      <c r="K13" s="40" t="s">
        <v>106</v>
      </c>
    </row>
    <row r="14" ht="15" customHeight="1">
      <c r="B14" s="37" t="s">
        <v>75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 t="str">
        <f t="shared" si="0"/>
        <v>n/m</v>
      </c>
      <c r="I14" s="10">
        <f t="shared" si="0"/>
        <v>-0.11943195749897839</v>
      </c>
      <c r="J14" s="38">
        <f t="shared" si="0"/>
        <v>-0.1499066970765084</v>
      </c>
    </row>
    <row r="15" ht="15" customHeight="1">
      <c r="B15" s="37" t="s">
        <v>92</v>
      </c>
      <c r="C15" s="50" t="s">
        <v>31</v>
      </c>
      <c r="D15" s="50">
        <f t="shared" si="1"/>
        <v>9788</v>
      </c>
      <c r="E15" s="50">
        <f t="shared" si="1"/>
        <v>-142</v>
      </c>
      <c r="F15" s="50">
        <f t="shared" si="1"/>
        <v>-147</v>
      </c>
      <c r="G15" s="50" t="s">
        <v>31</v>
      </c>
      <c r="H15" s="50">
        <f t="shared" si="3"/>
        <v>-429</v>
      </c>
      <c r="I15" s="50">
        <f t="shared" si="1"/>
        <v>-451</v>
      </c>
      <c r="J15" s="51">
        <f t="shared" si="1"/>
        <v>-419</v>
      </c>
    </row>
    <row r="16" ht="15" customHeight="1">
      <c r="B16" s="24" t="s">
        <v>107</v>
      </c>
      <c r="C16" s="12">
        <v>6880</v>
      </c>
      <c r="D16" s="12">
        <v>7440</v>
      </c>
      <c r="E16" s="12">
        <v>7440</v>
      </c>
      <c r="F16" s="12">
        <v>7668</v>
      </c>
      <c r="G16" s="9">
        <f t="shared" si="2"/>
        <v>7668</v>
      </c>
      <c r="H16" s="12">
        <v>7460</v>
      </c>
      <c r="I16" s="12">
        <v>7784</v>
      </c>
      <c r="J16" s="39">
        <v>7850</v>
      </c>
      <c r="K16" s="40" t="s">
        <v>106</v>
      </c>
    </row>
    <row r="17" ht="15" customHeight="1">
      <c r="B17" s="37" t="s">
        <v>75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>
        <f t="shared" si="0"/>
        <v>0.08430232558139528</v>
      </c>
      <c r="I17" s="10">
        <f t="shared" si="0"/>
        <v>0.04623655913978486</v>
      </c>
      <c r="J17" s="38">
        <f t="shared" si="0"/>
        <v>0.05510752688172049</v>
      </c>
    </row>
    <row r="18" ht="15" customHeight="1">
      <c r="B18" s="37" t="s">
        <v>92</v>
      </c>
      <c r="C18" s="50" t="s">
        <v>31</v>
      </c>
      <c r="D18" s="50">
        <f t="shared" si="1"/>
        <v>560</v>
      </c>
      <c r="E18" s="50">
        <f t="shared" si="1"/>
        <v>0</v>
      </c>
      <c r="F18" s="50">
        <f t="shared" si="1"/>
        <v>228</v>
      </c>
      <c r="G18" s="50" t="s">
        <v>31</v>
      </c>
      <c r="H18" s="50">
        <f t="shared" si="3"/>
        <v>-208</v>
      </c>
      <c r="I18" s="50">
        <f t="shared" si="1"/>
        <v>324</v>
      </c>
      <c r="J18" s="51">
        <f t="shared" si="1"/>
        <v>66</v>
      </c>
    </row>
    <row r="19" ht="15" customHeight="1">
      <c r="B19" s="4" t="s">
        <v>108</v>
      </c>
      <c r="C19" s="41">
        <f t="shared" si="4" ref="C19:J19">SUM(C10,C13,C16)</f>
        <v>157189</v>
      </c>
      <c r="D19" s="41">
        <f t="shared" si="4"/>
        <v>269709</v>
      </c>
      <c r="E19" s="41">
        <f t="shared" si="4"/>
        <v>271037</v>
      </c>
      <c r="F19" s="41">
        <f t="shared" si="4"/>
        <v>279570</v>
      </c>
      <c r="G19" s="41">
        <f t="shared" si="4"/>
        <v>279570</v>
      </c>
      <c r="H19" s="41">
        <f t="shared" si="4"/>
        <v>270558</v>
      </c>
      <c r="I19" s="41">
        <f t="shared" si="4"/>
        <v>275408</v>
      </c>
      <c r="J19" s="42">
        <f t="shared" si="4"/>
        <v>278450</v>
      </c>
    </row>
    <row r="20" ht="15" customHeight="1">
      <c r="B20" s="37" t="s">
        <v>75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>
        <f t="shared" si="0"/>
        <v>0.7212273123437392</v>
      </c>
      <c r="I20" s="10">
        <f t="shared" si="0"/>
        <v>0.021130181046980168</v>
      </c>
      <c r="J20" s="38">
        <f t="shared" si="0"/>
        <v>0.02735050934005323</v>
      </c>
    </row>
    <row r="21" ht="15" customHeight="1">
      <c r="B21" s="37" t="s">
        <v>92</v>
      </c>
      <c r="C21" s="50" t="s">
        <v>31</v>
      </c>
      <c r="D21" s="50">
        <f t="shared" si="1"/>
        <v>112520</v>
      </c>
      <c r="E21" s="50">
        <f t="shared" si="1"/>
        <v>1328</v>
      </c>
      <c r="F21" s="50">
        <f t="shared" si="1"/>
        <v>8533</v>
      </c>
      <c r="G21" s="50" t="s">
        <v>31</v>
      </c>
      <c r="H21" s="50">
        <f t="shared" si="3"/>
        <v>-9012</v>
      </c>
      <c r="I21" s="50">
        <f t="shared" si="1"/>
        <v>4850</v>
      </c>
      <c r="J21" s="51">
        <f t="shared" si="1"/>
        <v>3042</v>
      </c>
    </row>
    <row r="22" ht="15" customHeight="1">
      <c r="B22" s="35" t="s">
        <v>109</v>
      </c>
    </row>
    <row r="23" ht="15" customHeight="1">
      <c r="B23" s="24" t="s">
        <v>110</v>
      </c>
      <c r="C23" s="12">
        <v>162508</v>
      </c>
      <c r="D23" s="9">
        <f t="shared" si="5" ref="D23:J23">C19</f>
        <v>157189</v>
      </c>
      <c r="E23" s="9">
        <f t="shared" si="5"/>
        <v>269709</v>
      </c>
      <c r="F23" s="9">
        <f t="shared" si="5"/>
        <v>271037</v>
      </c>
      <c r="G23" s="9">
        <f>C23</f>
        <v>162508</v>
      </c>
      <c r="H23" s="9">
        <f>F19</f>
        <v>279570</v>
      </c>
      <c r="I23" s="9">
        <f t="shared" si="5"/>
        <v>270558</v>
      </c>
      <c r="J23" s="54">
        <f t="shared" si="5"/>
        <v>275408</v>
      </c>
      <c r="K23" s="40" t="s">
        <v>111</v>
      </c>
    </row>
    <row r="24" ht="15" customHeight="1">
      <c r="B24" s="55" t="s">
        <v>112</v>
      </c>
      <c r="C24" s="9">
        <f t="shared" si="6" ref="C24:J24">C19-C23+C178</f>
        <v>-2918.398075</v>
      </c>
      <c r="D24" s="9">
        <f t="shared" si="6"/>
        <v>115249.537125</v>
      </c>
      <c r="E24" s="9">
        <f t="shared" si="6"/>
        <v>4431.929675</v>
      </c>
      <c r="F24" s="9">
        <f t="shared" si="6"/>
        <v>11874.42195</v>
      </c>
      <c r="G24" s="9">
        <f t="shared" si="6"/>
        <v>128637.490675</v>
      </c>
      <c r="H24" s="9">
        <f t="shared" si="6"/>
        <v>-5595.687750000001</v>
      </c>
      <c r="I24" s="9">
        <f t="shared" si="6"/>
        <v>8043.893725</v>
      </c>
      <c r="J24" s="54">
        <f t="shared" si="6"/>
        <v>5878.15</v>
      </c>
    </row>
    <row r="25" ht="15" customHeight="1">
      <c r="B25" s="55" t="s">
        <v>113</v>
      </c>
      <c r="C25" s="9">
        <f t="shared" si="7" ref="C25:J25">-C178</f>
        <v>-2400.601925</v>
      </c>
      <c r="D25" s="9">
        <f t="shared" si="7"/>
        <v>-2729.537125</v>
      </c>
      <c r="E25" s="9">
        <f t="shared" si="7"/>
        <v>-3103.9296750000003</v>
      </c>
      <c r="F25" s="9">
        <f t="shared" si="7"/>
        <v>-3341.4219499999995</v>
      </c>
      <c r="G25" s="9">
        <f t="shared" si="7"/>
        <v>-11575.490674999997</v>
      </c>
      <c r="H25" s="9">
        <f t="shared" si="7"/>
        <v>-3416.3122499999995</v>
      </c>
      <c r="I25" s="9">
        <f t="shared" si="7"/>
        <v>-3193.8937250000004</v>
      </c>
      <c r="J25" s="54">
        <f t="shared" si="7"/>
        <v>-2836.15</v>
      </c>
    </row>
    <row r="26" ht="15" customHeight="1">
      <c r="B26" s="45" t="s">
        <v>114</v>
      </c>
      <c r="C26" s="41">
        <f t="shared" si="8" ref="C26:J26">C19</f>
        <v>157189</v>
      </c>
      <c r="D26" s="41">
        <f t="shared" si="8"/>
        <v>269709</v>
      </c>
      <c r="E26" s="41">
        <f t="shared" si="8"/>
        <v>271037</v>
      </c>
      <c r="F26" s="41">
        <f t="shared" si="8"/>
        <v>279570</v>
      </c>
      <c r="G26" s="41">
        <f t="shared" si="8"/>
        <v>279570</v>
      </c>
      <c r="H26" s="41">
        <f t="shared" si="8"/>
        <v>270558</v>
      </c>
      <c r="I26" s="41">
        <f t="shared" si="8"/>
        <v>275408</v>
      </c>
      <c r="J26" s="42">
        <f t="shared" si="8"/>
        <v>278450</v>
      </c>
    </row>
    <row r="27" ht="15" customHeight="1">
      <c r="B27" s="24" t="s">
        <v>115</v>
      </c>
      <c r="C27" s="9">
        <f t="shared" si="9" ref="C27:J27">C26-C23</f>
        <v>-5319</v>
      </c>
      <c r="D27" s="9">
        <f t="shared" si="9"/>
        <v>112520</v>
      </c>
      <c r="E27" s="9">
        <f t="shared" si="9"/>
        <v>1328</v>
      </c>
      <c r="F27" s="9">
        <f t="shared" si="9"/>
        <v>8533</v>
      </c>
      <c r="G27" s="9">
        <f t="shared" si="9"/>
        <v>117062</v>
      </c>
      <c r="H27" s="9">
        <f t="shared" si="9"/>
        <v>-9012</v>
      </c>
      <c r="I27" s="9">
        <f t="shared" si="9"/>
        <v>4850</v>
      </c>
      <c r="J27" s="54">
        <f t="shared" si="9"/>
        <v>3042</v>
      </c>
    </row>
    <row r="28" ht="15" customHeight="1">
      <c r="B28" s="37" t="s">
        <v>116</v>
      </c>
      <c r="C28" s="10">
        <f t="shared" si="10" ref="C28:J28">C27/C23</f>
        <v>-0.03273069633494966</v>
      </c>
      <c r="D28" s="10">
        <f t="shared" si="10"/>
        <v>0.715826171042503</v>
      </c>
      <c r="E28" s="10">
        <f t="shared" si="10"/>
        <v>0.004923825308017159</v>
      </c>
      <c r="F28" s="10">
        <f t="shared" si="10"/>
        <v>0.031482786483026305</v>
      </c>
      <c r="G28" s="10">
        <f t="shared" si="10"/>
        <v>0.7203460752701405</v>
      </c>
      <c r="H28" s="10">
        <f t="shared" si="10"/>
        <v>-0.03223521837106986</v>
      </c>
      <c r="I28" s="10">
        <f t="shared" si="10"/>
        <v>0.01792591606975214</v>
      </c>
      <c r="J28" s="38">
        <f t="shared" si="10"/>
        <v>0.011045430779062337</v>
      </c>
      <c r="K28" s="53" t="s">
        <v>117</v>
      </c>
    </row>
    <row r="29" ht="15" customHeight="1">
      <c r="B29" s="37" t="s">
        <v>118</v>
      </c>
      <c r="C29" s="10">
        <f t="shared" si="11" ref="C29:J29">C178*4/C23</f>
        <v>0.0590888307037192</v>
      </c>
      <c r="D29" s="10">
        <f t="shared" si="11"/>
        <v>0.06945873120892683</v>
      </c>
      <c r="E29" s="10">
        <f t="shared" si="11"/>
        <v>0.046033757494188185</v>
      </c>
      <c r="F29" s="10">
        <f t="shared" si="11"/>
        <v>0.04931314838933429</v>
      </c>
      <c r="G29" s="10" t="str">
        <f t="shared" si="14" ref="G29:J236">"n/m"</f>
        <v>n/m</v>
      </c>
      <c r="H29" s="10">
        <f t="shared" si="11"/>
        <v>0.04887952570018242</v>
      </c>
      <c r="I29" s="10">
        <f t="shared" si="11"/>
        <v>0.04721935740210972</v>
      </c>
      <c r="J29" s="38">
        <f t="shared" si="11"/>
        <v>0.041191976994132344</v>
      </c>
      <c r="K29" s="44" t="s">
        <v>119</v>
      </c>
    </row>
    <row r="30" ht="15" customHeight="1">
      <c r="B30" s="24" t="s">
        <v>120</v>
      </c>
      <c r="C30" s="9">
        <f t="shared" si="12" ref="C30:J30">C47</f>
        <v>156407</v>
      </c>
      <c r="D30" s="9">
        <f t="shared" si="12"/>
        <v>209693</v>
      </c>
      <c r="E30" s="9">
        <f t="shared" si="12"/>
        <v>269175</v>
      </c>
      <c r="F30" s="9">
        <f t="shared" si="12"/>
        <v>272228</v>
      </c>
      <c r="G30" s="9">
        <f t="shared" si="12"/>
        <v>227309</v>
      </c>
      <c r="H30" s="9">
        <f t="shared" si="12"/>
        <v>270974</v>
      </c>
      <c r="I30" s="9">
        <f t="shared" si="12"/>
        <v>271197</v>
      </c>
      <c r="J30" s="54">
        <f t="shared" si="12"/>
        <v>274234.3333333334</v>
      </c>
    </row>
    <row r="31" ht="15" customHeight="1">
      <c r="B31" s="37" t="s">
        <v>121</v>
      </c>
      <c r="C31" s="10">
        <f t="shared" si="13" ref="C31:J31">C47/C26</f>
        <v>0.9950250971760111</v>
      </c>
      <c r="D31" s="10">
        <f t="shared" si="13"/>
        <v>0.7774786899955137</v>
      </c>
      <c r="E31" s="10">
        <f t="shared" si="13"/>
        <v>0.9931300892498072</v>
      </c>
      <c r="F31" s="10">
        <f t="shared" si="13"/>
        <v>0.9737382408699073</v>
      </c>
      <c r="G31" s="10" t="str">
        <f t="shared" si="14"/>
        <v>n/m</v>
      </c>
      <c r="H31" s="10">
        <f t="shared" si="13"/>
        <v>1.0015375631103127</v>
      </c>
      <c r="I31" s="10">
        <f t="shared" si="13"/>
        <v>0.9847099575901934</v>
      </c>
      <c r="J31" s="38">
        <f t="shared" si="13"/>
        <v>0.9848602382234992</v>
      </c>
      <c r="K31" s="44" t="s">
        <v>122</v>
      </c>
    </row>
    <row r="32" ht="15" customHeight="1">
      <c r="B32" s="35" t="s">
        <v>123</v>
      </c>
    </row>
    <row r="33" ht="15" customHeight="1">
      <c r="B33" s="24" t="s">
        <v>102</v>
      </c>
      <c r="C33" s="12">
        <v>149639</v>
      </c>
      <c r="D33" s="12">
        <v>197808</v>
      </c>
      <c r="E33" s="12">
        <v>252090</v>
      </c>
      <c r="F33" s="12">
        <v>255221</v>
      </c>
      <c r="G33" s="12">
        <v>214084</v>
      </c>
      <c r="H33" s="12">
        <v>254036</v>
      </c>
      <c r="I33" s="12">
        <v>254625</v>
      </c>
      <c r="J33" s="54">
        <f>AVERAGE(J36:J38)</f>
        <v>258034.33333333334</v>
      </c>
      <c r="K33" s="40" t="s">
        <v>106</v>
      </c>
    </row>
    <row r="34" ht="15" customHeight="1">
      <c r="B34" s="37" t="s">
        <v>75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>
        <f t="shared" si="0"/>
        <v>0.6976590327387913</v>
      </c>
      <c r="I34" s="10">
        <f t="shared" si="0"/>
        <v>0.2872330744964815</v>
      </c>
      <c r="J34" s="38">
        <f t="shared" si="0"/>
        <v>0.023580202837610864</v>
      </c>
    </row>
    <row r="35" ht="15" customHeight="1">
      <c r="B35" s="37" t="s">
        <v>92</v>
      </c>
      <c r="C35" s="50" t="s">
        <v>31</v>
      </c>
      <c r="D35" s="50">
        <f t="shared" si="1"/>
        <v>48169</v>
      </c>
      <c r="E35" s="50">
        <f t="shared" si="1"/>
        <v>54282</v>
      </c>
      <c r="F35" s="50">
        <f t="shared" si="1"/>
        <v>3131</v>
      </c>
      <c r="G35" s="50" t="s">
        <v>31</v>
      </c>
      <c r="H35" s="50">
        <f t="shared" si="3"/>
        <v>-1185</v>
      </c>
      <c r="I35" s="50">
        <f t="shared" si="1"/>
        <v>589</v>
      </c>
      <c r="J35" s="51">
        <f t="shared" si="1"/>
        <v>3409.333333333343</v>
      </c>
    </row>
    <row r="36" ht="15" customHeight="1">
      <c r="B36" s="55" t="s">
        <v>124</v>
      </c>
      <c r="J36" s="39">
        <v>256704</v>
      </c>
      <c r="K36" s="40" t="s">
        <v>125</v>
      </c>
    </row>
    <row r="37" ht="15" customHeight="1">
      <c r="B37" s="55" t="s">
        <v>126</v>
      </c>
      <c r="J37" s="39">
        <v>257499</v>
      </c>
      <c r="K37" s="40" t="s">
        <v>127</v>
      </c>
    </row>
    <row r="38" ht="15" customHeight="1">
      <c r="B38" s="55" t="s">
        <v>128</v>
      </c>
      <c r="J38" s="39">
        <v>259900</v>
      </c>
      <c r="K38" s="40" t="s">
        <v>129</v>
      </c>
    </row>
    <row r="39" ht="15" customHeight="1">
      <c r="B39" s="37" t="s">
        <v>75</v>
      </c>
      <c r="C39" s="10" t="s">
        <v>31</v>
      </c>
      <c r="D39" s="10" t="s">
        <v>31</v>
      </c>
      <c r="E39" s="10" t="s">
        <v>31</v>
      </c>
      <c r="F39" s="10" t="s">
        <v>31</v>
      </c>
      <c r="G39" s="10" t="s">
        <v>31</v>
      </c>
      <c r="H39" s="10">
        <f t="shared" si="15" ref="H39:J237">IF(AND(ISNUMBER(H33),ISNUMBER(C33)),IF(C33&gt;0,H33/C33-1,"n/m"),"n/a")</f>
        <v>0.6976590327387913</v>
      </c>
      <c r="I39" s="10">
        <f t="shared" si="15"/>
        <v>0.2872330744964815</v>
      </c>
      <c r="J39" s="38">
        <f t="shared" si="15"/>
        <v>0.023580202837610864</v>
      </c>
    </row>
    <row r="40" ht="15" customHeight="1">
      <c r="B40" s="37" t="s">
        <v>92</v>
      </c>
      <c r="C40" s="50" t="s">
        <v>31</v>
      </c>
      <c r="D40" s="50">
        <f t="shared" si="16" ref="D40:J238">IF(AND(ISNUMBER(D33),ISNUMBER(C33)),D33-C33,"n/a")</f>
        <v>48169</v>
      </c>
      <c r="E40" s="50">
        <f t="shared" si="16"/>
        <v>54282</v>
      </c>
      <c r="F40" s="50">
        <f t="shared" si="16"/>
        <v>3131</v>
      </c>
      <c r="G40" s="50" t="s">
        <v>31</v>
      </c>
      <c r="H40" s="50">
        <f t="shared" si="21" ref="H40:H238">IF(AND(ISNUMBER(H33),ISNUMBER(F33)),H33-F33,"n/a")</f>
        <v>-1185</v>
      </c>
      <c r="I40" s="50">
        <f t="shared" si="16"/>
        <v>589</v>
      </c>
      <c r="J40" s="51">
        <f t="shared" si="16"/>
        <v>3409.333333333343</v>
      </c>
    </row>
    <row r="41" ht="15" customHeight="1">
      <c r="B41" s="24" t="s">
        <v>105</v>
      </c>
      <c r="C41" s="12">
        <v>0</v>
      </c>
      <c r="D41" s="12">
        <v>4778</v>
      </c>
      <c r="E41" s="12">
        <v>9703</v>
      </c>
      <c r="F41" s="12">
        <v>9618</v>
      </c>
      <c r="G41" s="12">
        <v>6061</v>
      </c>
      <c r="H41" s="12">
        <v>9310</v>
      </c>
      <c r="I41" s="12">
        <v>8866</v>
      </c>
      <c r="J41" s="39">
        <v>8400</v>
      </c>
      <c r="K41" s="40" t="s">
        <v>106</v>
      </c>
    </row>
    <row r="42" ht="15" customHeight="1">
      <c r="B42" s="37" t="s">
        <v>75</v>
      </c>
      <c r="C42" s="10" t="s">
        <v>31</v>
      </c>
      <c r="D42" s="10" t="s">
        <v>31</v>
      </c>
      <c r="E42" s="10" t="s">
        <v>31</v>
      </c>
      <c r="F42" s="10" t="s">
        <v>31</v>
      </c>
      <c r="G42" s="10" t="s">
        <v>31</v>
      </c>
      <c r="H42" s="10" t="str">
        <f t="shared" si="0"/>
        <v>n/m</v>
      </c>
      <c r="I42" s="10">
        <f t="shared" si="0"/>
        <v>0.8555881121808289</v>
      </c>
      <c r="J42" s="38">
        <f t="shared" si="0"/>
        <v>-0.13428836442337422</v>
      </c>
    </row>
    <row r="43" ht="15" customHeight="1">
      <c r="B43" s="37" t="s">
        <v>92</v>
      </c>
      <c r="C43" s="50" t="s">
        <v>31</v>
      </c>
      <c r="D43" s="50">
        <f t="shared" si="1"/>
        <v>4778</v>
      </c>
      <c r="E43" s="50">
        <f t="shared" si="1"/>
        <v>4925</v>
      </c>
      <c r="F43" s="50">
        <f t="shared" si="1"/>
        <v>-85</v>
      </c>
      <c r="G43" s="50" t="s">
        <v>31</v>
      </c>
      <c r="H43" s="50">
        <f t="shared" si="3"/>
        <v>-308</v>
      </c>
      <c r="I43" s="50">
        <f t="shared" si="1"/>
        <v>-444</v>
      </c>
      <c r="J43" s="51">
        <f t="shared" si="1"/>
        <v>-466</v>
      </c>
    </row>
    <row r="44" ht="15" customHeight="1">
      <c r="B44" s="24" t="s">
        <v>107</v>
      </c>
      <c r="C44" s="12">
        <v>6768</v>
      </c>
      <c r="D44" s="12">
        <v>7107</v>
      </c>
      <c r="E44" s="12">
        <v>7382</v>
      </c>
      <c r="F44" s="12">
        <v>7389</v>
      </c>
      <c r="G44" s="12">
        <v>7164</v>
      </c>
      <c r="H44" s="12">
        <v>7628</v>
      </c>
      <c r="I44" s="12">
        <v>7706</v>
      </c>
      <c r="J44" s="39">
        <v>7800</v>
      </c>
      <c r="K44" s="40" t="s">
        <v>106</v>
      </c>
    </row>
    <row r="45" ht="15" customHeight="1">
      <c r="B45" s="37" t="s">
        <v>75</v>
      </c>
      <c r="C45" s="10" t="s">
        <v>31</v>
      </c>
      <c r="D45" s="10" t="s">
        <v>31</v>
      </c>
      <c r="E45" s="10" t="s">
        <v>31</v>
      </c>
      <c r="F45" s="10" t="s">
        <v>31</v>
      </c>
      <c r="G45" s="10" t="s">
        <v>31</v>
      </c>
      <c r="H45" s="10">
        <f t="shared" si="0"/>
        <v>0.1270685579196218</v>
      </c>
      <c r="I45" s="10">
        <f t="shared" si="0"/>
        <v>0.08428310116786264</v>
      </c>
      <c r="J45" s="38">
        <f t="shared" si="0"/>
        <v>0.056624221078298564</v>
      </c>
    </row>
    <row r="46" ht="15" customHeight="1">
      <c r="B46" s="37" t="s">
        <v>92</v>
      </c>
      <c r="C46" s="50" t="s">
        <v>31</v>
      </c>
      <c r="D46" s="50">
        <f t="shared" si="1"/>
        <v>339</v>
      </c>
      <c r="E46" s="50">
        <f t="shared" si="1"/>
        <v>275</v>
      </c>
      <c r="F46" s="50">
        <f t="shared" si="1"/>
        <v>7</v>
      </c>
      <c r="G46" s="50" t="s">
        <v>31</v>
      </c>
      <c r="H46" s="50">
        <f t="shared" si="3"/>
        <v>239</v>
      </c>
      <c r="I46" s="50">
        <f t="shared" si="1"/>
        <v>78</v>
      </c>
      <c r="J46" s="51">
        <f t="shared" si="1"/>
        <v>94</v>
      </c>
    </row>
    <row r="47" ht="15" customHeight="1">
      <c r="B47" s="4" t="s">
        <v>130</v>
      </c>
      <c r="C47" s="41">
        <f t="shared" si="17" ref="C47:J47">SUM(C33,C41,C44)</f>
        <v>156407</v>
      </c>
      <c r="D47" s="41">
        <f t="shared" si="17"/>
        <v>209693</v>
      </c>
      <c r="E47" s="41">
        <f t="shared" si="17"/>
        <v>269175</v>
      </c>
      <c r="F47" s="41">
        <f t="shared" si="17"/>
        <v>272228</v>
      </c>
      <c r="G47" s="41">
        <f t="shared" si="17"/>
        <v>227309</v>
      </c>
      <c r="H47" s="41">
        <f t="shared" si="17"/>
        <v>270974</v>
      </c>
      <c r="I47" s="41">
        <f t="shared" si="17"/>
        <v>271197</v>
      </c>
      <c r="J47" s="42">
        <f t="shared" si="17"/>
        <v>274234.3333333334</v>
      </c>
    </row>
    <row r="48" ht="15" customHeight="1">
      <c r="B48" s="37" t="s">
        <v>75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>
        <f t="shared" si="0"/>
        <v>0.7324927912433588</v>
      </c>
      <c r="I48" s="10">
        <f t="shared" si="0"/>
        <v>0.29330497441497805</v>
      </c>
      <c r="J48" s="38">
        <f t="shared" si="0"/>
        <v>0.018795702919414348</v>
      </c>
    </row>
    <row r="49" ht="15" customHeight="1">
      <c r="B49" s="37" t="s">
        <v>92</v>
      </c>
      <c r="C49" s="50" t="s">
        <v>31</v>
      </c>
      <c r="D49" s="50">
        <f t="shared" si="1"/>
        <v>53286</v>
      </c>
      <c r="E49" s="50">
        <f t="shared" si="1"/>
        <v>59482</v>
      </c>
      <c r="F49" s="50">
        <f t="shared" si="1"/>
        <v>3053</v>
      </c>
      <c r="G49" s="50" t="s">
        <v>31</v>
      </c>
      <c r="H49" s="50">
        <f t="shared" si="3"/>
        <v>-1254</v>
      </c>
      <c r="I49" s="50">
        <f t="shared" si="1"/>
        <v>223</v>
      </c>
      <c r="J49" s="51">
        <f t="shared" si="1"/>
        <v>3037.333333333372</v>
      </c>
    </row>
    <row r="50" ht="15" customHeight="1">
      <c r="B50" s="43" t="s">
        <v>131</v>
      </c>
      <c r="C50" s="10">
        <f t="shared" si="18" ref="C50:J50">IF(AND(ISNUMBER(C33),C47&lt;&gt;0),C33/C47,"n/a")</f>
        <v>0.956728279424834</v>
      </c>
      <c r="D50" s="10">
        <f t="shared" si="18"/>
        <v>0.943321903926216</v>
      </c>
      <c r="E50" s="10">
        <f t="shared" si="18"/>
        <v>0.9365282808581777</v>
      </c>
      <c r="F50" s="10">
        <f t="shared" si="18"/>
        <v>0.9375266320878087</v>
      </c>
      <c r="G50" s="10">
        <f t="shared" si="18"/>
        <v>0.9418192856420116</v>
      </c>
      <c r="H50" s="10">
        <f t="shared" si="18"/>
        <v>0.9374921579192099</v>
      </c>
      <c r="I50" s="10">
        <f t="shared" si="18"/>
        <v>0.938893129348776</v>
      </c>
      <c r="J50" s="38">
        <f t="shared" si="18"/>
        <v>0.9409264339621952</v>
      </c>
    </row>
    <row r="51" ht="15" customHeight="1">
      <c r="B51" s="35" t="s">
        <v>132</v>
      </c>
    </row>
    <row r="52" ht="15" customHeight="1">
      <c r="B52" s="24" t="s">
        <v>133</v>
      </c>
      <c r="C52" s="12">
        <v>154391</v>
      </c>
      <c r="D52" s="12">
        <v>197308</v>
      </c>
      <c r="E52" s="12">
        <v>226147</v>
      </c>
      <c r="F52" s="12">
        <v>234375</v>
      </c>
      <c r="G52" s="9">
        <f t="shared" si="23" ref="G52:G264">SUM(C52:F52)</f>
        <v>812221</v>
      </c>
      <c r="H52" s="12">
        <v>216513</v>
      </c>
      <c r="I52" s="12">
        <v>249195</v>
      </c>
      <c r="J52" s="54">
        <f t="shared" si="55" ref="J52:J231">I52*(1+J55)</f>
        <v>254178.9</v>
      </c>
      <c r="K52" s="40" t="s">
        <v>134</v>
      </c>
    </row>
    <row r="53" ht="15" customHeight="1">
      <c r="B53" s="37" t="s">
        <v>75</v>
      </c>
      <c r="C53" s="10" t="s">
        <v>31</v>
      </c>
      <c r="D53" s="10" t="s">
        <v>31</v>
      </c>
      <c r="E53" s="10" t="s">
        <v>31</v>
      </c>
      <c r="F53" s="10" t="s">
        <v>31</v>
      </c>
      <c r="G53" s="10" t="s">
        <v>31</v>
      </c>
      <c r="H53" s="10">
        <f t="shared" si="0"/>
        <v>0.40236801367955377</v>
      </c>
      <c r="I53" s="10">
        <f t="shared" si="0"/>
        <v>0.2629746386360412</v>
      </c>
      <c r="J53" s="38">
        <f t="shared" si="0"/>
        <v>0.12395433059027972</v>
      </c>
    </row>
    <row r="54" ht="15" customHeight="1">
      <c r="B54" s="37" t="s">
        <v>92</v>
      </c>
      <c r="C54" s="50" t="s">
        <v>31</v>
      </c>
      <c r="D54" s="50">
        <f t="shared" si="1"/>
        <v>42917</v>
      </c>
      <c r="E54" s="50">
        <f t="shared" si="1"/>
        <v>28839</v>
      </c>
      <c r="F54" s="50">
        <f t="shared" si="1"/>
        <v>8228</v>
      </c>
      <c r="G54" s="50" t="s">
        <v>31</v>
      </c>
      <c r="H54" s="50">
        <f t="shared" si="3"/>
        <v>-17862</v>
      </c>
      <c r="I54" s="50">
        <f t="shared" si="1"/>
        <v>32682</v>
      </c>
      <c r="J54" s="51">
        <f t="shared" si="1"/>
        <v>4983.899999999994</v>
      </c>
    </row>
    <row r="55" ht="15" customHeight="1">
      <c r="B55" s="37" t="s">
        <v>135</v>
      </c>
      <c r="C55" s="10" t="s">
        <v>31</v>
      </c>
      <c r="D55" s="10">
        <f t="shared" si="19" ref="D55:I234">D52/C52-1</f>
        <v>0.277976047826622</v>
      </c>
      <c r="E55" s="10">
        <f t="shared" si="19"/>
        <v>0.14616234516593352</v>
      </c>
      <c r="F55" s="10">
        <f t="shared" si="19"/>
        <v>0.03638341432784875</v>
      </c>
      <c r="G55" s="10" t="s">
        <v>31</v>
      </c>
      <c r="H55" s="10">
        <f t="shared" si="56" ref="H55:H234">H52/F52-1</f>
        <v>-0.07621120000000003</v>
      </c>
      <c r="I55" s="10">
        <f t="shared" si="19"/>
        <v>0.15094705629685046</v>
      </c>
      <c r="J55" s="56">
        <v>0.02</v>
      </c>
      <c r="K55" s="40" t="s">
        <v>136</v>
      </c>
    </row>
    <row r="56" ht="15" customHeight="1">
      <c r="B56" s="57" t="s">
        <v>137</v>
      </c>
      <c r="C56" s="58" t="s">
        <v>31</v>
      </c>
      <c r="D56" s="58" t="str">
        <f t="shared" si="20" ref="D56:J255">IF(AND(ISNUMBER(D55),ISNUMBER(C55)),(D55-C55)*10000,"n/a")</f>
        <v>n/a</v>
      </c>
      <c r="E56" s="58">
        <f t="shared" si="20"/>
        <v>-1318.1370266068848</v>
      </c>
      <c r="F56" s="58">
        <f t="shared" si="20"/>
        <v>-1097.7893083808476</v>
      </c>
      <c r="G56" s="58" t="s">
        <v>31</v>
      </c>
      <c r="H56" s="58">
        <f t="shared" si="27" ref="H56:H255">IF(AND(ISNUMBER(H55),ISNUMBER(F55)),(H55-F55)*10000,"n/a")</f>
        <v>-1125.9461432784879</v>
      </c>
      <c r="I56" s="58">
        <f t="shared" si="20"/>
        <v>2271.582562968505</v>
      </c>
      <c r="J56" s="59">
        <f t="shared" si="20"/>
        <v>-1309.4705629685047</v>
      </c>
    </row>
    <row r="57" ht="15" customHeight="1">
      <c r="B57" s="57" t="s">
        <v>138</v>
      </c>
      <c r="C57" s="58" t="s">
        <v>31</v>
      </c>
      <c r="D57" s="58" t="s">
        <v>31</v>
      </c>
      <c r="E57" s="58" t="s">
        <v>31</v>
      </c>
      <c r="F57" s="58" t="s">
        <v>31</v>
      </c>
      <c r="G57" s="58" t="s">
        <v>31</v>
      </c>
      <c r="H57" s="58" t="str">
        <f t="shared" si="28" ref="H57:J256">IF(AND(ISNUMBER(H55),ISNUMBER(C55)),(H55-C55)*10000,"n/a")</f>
        <v>n/a</v>
      </c>
      <c r="I57" s="58" t="str">
        <f t="shared" si="14"/>
        <v>n/m</v>
      </c>
      <c r="J57" s="59" t="str">
        <f t="shared" si="14"/>
        <v>n/m</v>
      </c>
      <c r="K57" s="44" t="s">
        <v>139</v>
      </c>
    </row>
    <row r="58" ht="15" customHeight="1">
      <c r="B58" s="37" t="s">
        <v>75</v>
      </c>
      <c r="C58" s="10" t="s">
        <v>31</v>
      </c>
      <c r="D58" s="10" t="s">
        <v>31</v>
      </c>
      <c r="E58" s="10" t="s">
        <v>31</v>
      </c>
      <c r="F58" s="10" t="s">
        <v>31</v>
      </c>
      <c r="G58" s="10" t="s">
        <v>31</v>
      </c>
      <c r="H58" s="10">
        <f t="shared" si="15"/>
        <v>0.40236801367955377</v>
      </c>
      <c r="I58" s="10">
        <f t="shared" si="15"/>
        <v>0.2629746386360412</v>
      </c>
      <c r="J58" s="38">
        <f t="shared" si="15"/>
        <v>0.12395433059027972</v>
      </c>
    </row>
    <row r="59" ht="15" customHeight="1">
      <c r="B59" s="37" t="s">
        <v>92</v>
      </c>
      <c r="C59" s="50" t="s">
        <v>31</v>
      </c>
      <c r="D59" s="50">
        <f t="shared" si="16"/>
        <v>42917</v>
      </c>
      <c r="E59" s="50">
        <f t="shared" si="16"/>
        <v>28839</v>
      </c>
      <c r="F59" s="50">
        <f t="shared" si="16"/>
        <v>8228</v>
      </c>
      <c r="G59" s="50" t="s">
        <v>31</v>
      </c>
      <c r="H59" s="50">
        <f t="shared" si="21"/>
        <v>-17862</v>
      </c>
      <c r="I59" s="50">
        <f t="shared" si="16"/>
        <v>32682</v>
      </c>
      <c r="J59" s="51">
        <f t="shared" si="16"/>
        <v>4983.899999999994</v>
      </c>
    </row>
    <row r="60" ht="15" customHeight="1">
      <c r="B60" s="24" t="s">
        <v>140</v>
      </c>
      <c r="C60" s="9">
        <f t="shared" si="22" ref="C60:I60">C63-C52</f>
        <v>3557</v>
      </c>
      <c r="D60" s="9">
        <f t="shared" si="22"/>
        <v>4145</v>
      </c>
      <c r="E60" s="9">
        <f t="shared" si="22"/>
        <v>4232</v>
      </c>
      <c r="F60" s="9">
        <f t="shared" si="22"/>
        <v>4312</v>
      </c>
      <c r="G60" s="9">
        <f t="shared" si="23"/>
        <v>16246</v>
      </c>
      <c r="H60" s="9">
        <f t="shared" si="22"/>
        <v>4027</v>
      </c>
      <c r="I60" s="9">
        <f t="shared" si="22"/>
        <v>4555</v>
      </c>
      <c r="J60" s="54">
        <f>I60*(1+J55)</f>
        <v>4646.1</v>
      </c>
    </row>
    <row r="61" ht="15" customHeight="1">
      <c r="B61" s="37" t="s">
        <v>75</v>
      </c>
      <c r="C61" s="10" t="s">
        <v>31</v>
      </c>
      <c r="D61" s="10" t="s">
        <v>31</v>
      </c>
      <c r="E61" s="10" t="s">
        <v>31</v>
      </c>
      <c r="F61" s="10" t="s">
        <v>31</v>
      </c>
      <c r="G61" s="10" t="s">
        <v>31</v>
      </c>
      <c r="H61" s="10">
        <f t="shared" si="0"/>
        <v>0.13213382063536683</v>
      </c>
      <c r="I61" s="10">
        <f t="shared" si="0"/>
        <v>0.09891435464414955</v>
      </c>
      <c r="J61" s="38">
        <f t="shared" si="0"/>
        <v>0.09784971644612495</v>
      </c>
    </row>
    <row r="62" ht="15" customHeight="1">
      <c r="B62" s="37" t="s">
        <v>92</v>
      </c>
      <c r="C62" s="50" t="s">
        <v>31</v>
      </c>
      <c r="D62" s="50">
        <f t="shared" si="1"/>
        <v>588</v>
      </c>
      <c r="E62" s="50">
        <f t="shared" si="1"/>
        <v>87</v>
      </c>
      <c r="F62" s="50">
        <f t="shared" si="1"/>
        <v>80</v>
      </c>
      <c r="G62" s="50" t="s">
        <v>31</v>
      </c>
      <c r="H62" s="50">
        <f t="shared" si="3"/>
        <v>-285</v>
      </c>
      <c r="I62" s="50">
        <f t="shared" si="1"/>
        <v>528</v>
      </c>
      <c r="J62" s="51">
        <f t="shared" si="1"/>
        <v>91.10000000000036</v>
      </c>
    </row>
    <row r="63" ht="15" customHeight="1">
      <c r="B63" s="45" t="s">
        <v>141</v>
      </c>
      <c r="C63" s="60">
        <v>157948</v>
      </c>
      <c r="D63" s="60">
        <v>201453</v>
      </c>
      <c r="E63" s="60">
        <v>230379</v>
      </c>
      <c r="F63" s="60">
        <v>238687</v>
      </c>
      <c r="G63" s="41">
        <f t="shared" si="23"/>
        <v>828467</v>
      </c>
      <c r="H63" s="60">
        <v>220540</v>
      </c>
      <c r="I63" s="60">
        <v>253750</v>
      </c>
      <c r="J63" s="42">
        <f>J52+J60</f>
        <v>258825</v>
      </c>
      <c r="K63" s="40" t="s">
        <v>134</v>
      </c>
    </row>
    <row r="64" ht="15" customHeight="1">
      <c r="B64" s="37" t="s">
        <v>75</v>
      </c>
      <c r="C64" s="10" t="s">
        <v>31</v>
      </c>
      <c r="D64" s="10" t="s">
        <v>31</v>
      </c>
      <c r="E64" s="10" t="s">
        <v>31</v>
      </c>
      <c r="F64" s="10" t="s">
        <v>31</v>
      </c>
      <c r="G64" s="10" t="s">
        <v>31</v>
      </c>
      <c r="H64" s="10">
        <f t="shared" si="0"/>
        <v>0.39628232076379577</v>
      </c>
      <c r="I64" s="10">
        <f t="shared" si="0"/>
        <v>0.2595990131693249</v>
      </c>
      <c r="J64" s="38">
        <f t="shared" si="0"/>
        <v>0.12347479587983279</v>
      </c>
    </row>
    <row r="65" ht="15" customHeight="1">
      <c r="B65" s="37" t="s">
        <v>92</v>
      </c>
      <c r="C65" s="50" t="s">
        <v>31</v>
      </c>
      <c r="D65" s="50">
        <f t="shared" si="1"/>
        <v>43505</v>
      </c>
      <c r="E65" s="50">
        <f t="shared" si="1"/>
        <v>28926</v>
      </c>
      <c r="F65" s="50">
        <f t="shared" si="1"/>
        <v>8308</v>
      </c>
      <c r="G65" s="50" t="s">
        <v>31</v>
      </c>
      <c r="H65" s="50">
        <f t="shared" si="3"/>
        <v>-18147</v>
      </c>
      <c r="I65" s="50">
        <f t="shared" si="1"/>
        <v>33210</v>
      </c>
      <c r="J65" s="51">
        <f t="shared" si="1"/>
        <v>5075</v>
      </c>
    </row>
    <row r="66" ht="15" customHeight="1">
      <c r="B66" s="35" t="s">
        <v>142</v>
      </c>
    </row>
    <row r="67" ht="15" customHeight="1">
      <c r="B67" s="24" t="s">
        <v>143</v>
      </c>
      <c r="C67" s="12">
        <v>5343</v>
      </c>
      <c r="D67" s="12">
        <v>6822</v>
      </c>
      <c r="E67" s="12">
        <v>8766</v>
      </c>
      <c r="F67" s="12">
        <v>8854</v>
      </c>
      <c r="G67" s="9">
        <f t="shared" si="23"/>
        <v>29785</v>
      </c>
      <c r="H67" s="12">
        <v>8618</v>
      </c>
      <c r="I67" s="12">
        <v>8643</v>
      </c>
      <c r="J67" s="54">
        <f>J33*J74*J$7/365</f>
        <v>8942.833744292238</v>
      </c>
      <c r="K67" s="40" t="s">
        <v>134</v>
      </c>
    </row>
    <row r="68" ht="15" customHeight="1">
      <c r="B68" s="37" t="s">
        <v>75</v>
      </c>
      <c r="C68" s="10" t="s">
        <v>31</v>
      </c>
      <c r="D68" s="10" t="s">
        <v>31</v>
      </c>
      <c r="E68" s="10" t="s">
        <v>31</v>
      </c>
      <c r="F68" s="10" t="s">
        <v>31</v>
      </c>
      <c r="G68" s="10" t="s">
        <v>31</v>
      </c>
      <c r="H68" s="10">
        <f t="shared" si="0"/>
        <v>0.6129515253602844</v>
      </c>
      <c r="I68" s="10">
        <f t="shared" si="0"/>
        <v>0.26693051890941066</v>
      </c>
      <c r="J68" s="38">
        <f t="shared" si="0"/>
        <v>0.020172683583417506</v>
      </c>
    </row>
    <row r="69" ht="15" customHeight="1">
      <c r="B69" s="37" t="s">
        <v>92</v>
      </c>
      <c r="C69" s="50" t="s">
        <v>31</v>
      </c>
      <c r="D69" s="50">
        <f t="shared" si="1"/>
        <v>1479</v>
      </c>
      <c r="E69" s="50">
        <f t="shared" si="1"/>
        <v>1944</v>
      </c>
      <c r="F69" s="50">
        <f t="shared" si="1"/>
        <v>88</v>
      </c>
      <c r="G69" s="50" t="s">
        <v>31</v>
      </c>
      <c r="H69" s="50">
        <f t="shared" si="3"/>
        <v>-236</v>
      </c>
      <c r="I69" s="50">
        <f t="shared" si="1"/>
        <v>25</v>
      </c>
      <c r="J69" s="51">
        <f t="shared" si="1"/>
        <v>299.8337442922384</v>
      </c>
    </row>
    <row r="70" ht="15" customHeight="1">
      <c r="B70" s="37" t="s">
        <v>71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>
        <f t="shared" si="24" ref="H70:J143">IF(AND(ISNUMBER(H67),ISNUMBER(C67)),IF(C67&gt;0,H67/C67-1,"n/m"),"n/a")</f>
        <v>0.6129515253602844</v>
      </c>
      <c r="I70" s="10">
        <f t="shared" si="24"/>
        <v>0.26693051890941066</v>
      </c>
      <c r="J70" s="38">
        <f t="shared" si="24"/>
        <v>0.020172683583417506</v>
      </c>
    </row>
    <row r="71" ht="15" customHeight="1">
      <c r="B71" s="37" t="s">
        <v>72</v>
      </c>
      <c r="C71" s="10" t="s">
        <v>31</v>
      </c>
      <c r="D71" s="10" t="s">
        <v>31</v>
      </c>
      <c r="E71" s="10" t="s">
        <v>31</v>
      </c>
      <c r="F71" s="10" t="s">
        <v>31</v>
      </c>
      <c r="G71" s="10" t="s">
        <v>31</v>
      </c>
      <c r="H71" s="10" t="s">
        <v>31</v>
      </c>
      <c r="I71" s="10" t="s">
        <v>31</v>
      </c>
      <c r="J71" s="38" t="s">
        <v>31</v>
      </c>
    </row>
    <row r="72" ht="15" customHeight="1">
      <c r="B72" s="37" t="s">
        <v>73</v>
      </c>
      <c r="C72" s="10" t="s">
        <v>31</v>
      </c>
      <c r="D72" s="10" t="s">
        <v>31</v>
      </c>
      <c r="E72" s="10" t="s">
        <v>31</v>
      </c>
      <c r="F72" s="10" t="s">
        <v>31</v>
      </c>
      <c r="G72" s="10" t="s">
        <v>31</v>
      </c>
      <c r="H72" s="10" t="s">
        <v>31</v>
      </c>
      <c r="I72" s="10" t="s">
        <v>31</v>
      </c>
      <c r="J72" s="38" t="s">
        <v>31</v>
      </c>
    </row>
    <row r="73" ht="15" customHeight="1">
      <c r="B73" s="37" t="s">
        <v>74</v>
      </c>
      <c r="C73" s="10" t="str">
        <f t="shared" si="25" ref="C73:J146">IF(AND(ISNUMBER(C70),ISNUMBER(C71),ISNUMBER(C72)),(1+C70)/((1+C71)*(1+C72))-1,"n/a")</f>
        <v>n/a</v>
      </c>
      <c r="D73" s="10" t="str">
        <f t="shared" si="25"/>
        <v>n/a</v>
      </c>
      <c r="E73" s="10" t="str">
        <f t="shared" si="25"/>
        <v>n/a</v>
      </c>
      <c r="F73" s="10" t="str">
        <f t="shared" si="25"/>
        <v>n/a</v>
      </c>
      <c r="G73" s="10" t="str">
        <f t="shared" si="25"/>
        <v>n/a</v>
      </c>
      <c r="H73" s="10" t="str">
        <f t="shared" si="25"/>
        <v>n/a</v>
      </c>
      <c r="I73" s="10" t="str">
        <f t="shared" si="25"/>
        <v>n/a</v>
      </c>
      <c r="J73" s="38" t="str">
        <f t="shared" si="25"/>
        <v>n/a</v>
      </c>
    </row>
    <row r="74" ht="15" customHeight="1">
      <c r="B74" s="43" t="s">
        <v>144</v>
      </c>
      <c r="C74" s="10">
        <f t="shared" si="26" ref="C74:I74">IF(C33&gt;0,C67/C33*365/C$7,"n/a")</f>
        <v>0.1448073920123319</v>
      </c>
      <c r="D74" s="10">
        <f t="shared" si="26"/>
        <v>0.13833094229235943</v>
      </c>
      <c r="E74" s="10">
        <f t="shared" si="26"/>
        <v>0.13795926920509755</v>
      </c>
      <c r="F74" s="10">
        <f t="shared" si="26"/>
        <v>0.13763476598201424</v>
      </c>
      <c r="G74" s="10">
        <f>G67/G33</f>
        <v>0.13912763214439192</v>
      </c>
      <c r="H74" s="10">
        <f t="shared" si="26"/>
        <v>0.13758198750483308</v>
      </c>
      <c r="I74" s="10">
        <f t="shared" si="26"/>
        <v>0.13614915276181846</v>
      </c>
      <c r="J74" s="56">
        <v>0.1375</v>
      </c>
      <c r="K74" s="40" t="s">
        <v>145</v>
      </c>
    </row>
    <row r="75" ht="15" customHeight="1">
      <c r="B75" s="37" t="s">
        <v>137</v>
      </c>
      <c r="C75" s="58" t="s">
        <v>31</v>
      </c>
      <c r="D75" s="58">
        <f t="shared" si="20"/>
        <v>-64.76449719972466</v>
      </c>
      <c r="E75" s="58">
        <f t="shared" si="20"/>
        <v>-3.716730872618812</v>
      </c>
      <c r="F75" s="58">
        <f t="shared" si="20"/>
        <v>-3.245032230833056</v>
      </c>
      <c r="G75" s="58" t="s">
        <v>31</v>
      </c>
      <c r="H75" s="58">
        <f t="shared" si="27"/>
        <v>-0.5277847718115902</v>
      </c>
      <c r="I75" s="58">
        <f t="shared" si="20"/>
        <v>-14.32834743014616</v>
      </c>
      <c r="J75" s="59">
        <f t="shared" si="20"/>
        <v>13.508472381815462</v>
      </c>
    </row>
    <row r="76" ht="15" customHeight="1">
      <c r="B76" s="37" t="s">
        <v>138</v>
      </c>
      <c r="C76" s="58" t="s">
        <v>31</v>
      </c>
      <c r="D76" s="58" t="s">
        <v>31</v>
      </c>
      <c r="E76" s="58" t="s">
        <v>31</v>
      </c>
      <c r="F76" s="58" t="s">
        <v>31</v>
      </c>
      <c r="G76" s="58" t="s">
        <v>31</v>
      </c>
      <c r="H76" s="58">
        <f t="shared" si="28"/>
        <v>-72.25404507498811</v>
      </c>
      <c r="I76" s="58">
        <f t="shared" si="28"/>
        <v>-21.817895305409618</v>
      </c>
      <c r="J76" s="59">
        <f t="shared" si="28"/>
        <v>-4.592692050975344</v>
      </c>
    </row>
    <row r="77" ht="15" customHeight="1">
      <c r="B77" s="24" t="s">
        <v>146</v>
      </c>
      <c r="C77" s="9">
        <f t="shared" si="29" ref="C77:I77">C87-C67</f>
        <v>311</v>
      </c>
      <c r="D77" s="9">
        <f t="shared" si="29"/>
        <v>471</v>
      </c>
      <c r="E77" s="9">
        <f t="shared" si="29"/>
        <v>630</v>
      </c>
      <c r="F77" s="9">
        <f t="shared" si="29"/>
        <v>625</v>
      </c>
      <c r="G77" s="9">
        <f t="shared" si="29"/>
        <v>2037</v>
      </c>
      <c r="H77" s="9">
        <f t="shared" si="29"/>
        <v>618</v>
      </c>
      <c r="I77" s="9">
        <f t="shared" si="29"/>
        <v>609</v>
      </c>
      <c r="J77" s="54">
        <f>(J41+J44)*J84*J$7/365</f>
        <v>600.2432876712329</v>
      </c>
    </row>
    <row r="78" ht="15" customHeight="1">
      <c r="B78" s="37" t="s">
        <v>75</v>
      </c>
      <c r="C78" s="10" t="s">
        <v>31</v>
      </c>
      <c r="D78" s="10" t="s">
        <v>31</v>
      </c>
      <c r="E78" s="10" t="s">
        <v>31</v>
      </c>
      <c r="F78" s="10" t="s">
        <v>31</v>
      </c>
      <c r="G78" s="10" t="s">
        <v>31</v>
      </c>
      <c r="H78" s="10">
        <f t="shared" si="0"/>
        <v>0.9871382636655948</v>
      </c>
      <c r="I78" s="10">
        <f t="shared" si="0"/>
        <v>0.29299363057324834</v>
      </c>
      <c r="J78" s="38">
        <f t="shared" si="0"/>
        <v>-0.047232876712328675</v>
      </c>
    </row>
    <row r="79" ht="15" customHeight="1">
      <c r="B79" s="37" t="s">
        <v>92</v>
      </c>
      <c r="C79" s="50" t="s">
        <v>31</v>
      </c>
      <c r="D79" s="50">
        <f t="shared" si="1"/>
        <v>160</v>
      </c>
      <c r="E79" s="50">
        <f t="shared" si="1"/>
        <v>159</v>
      </c>
      <c r="F79" s="50">
        <f t="shared" si="1"/>
        <v>-5</v>
      </c>
      <c r="G79" s="50" t="s">
        <v>31</v>
      </c>
      <c r="H79" s="50">
        <f t="shared" si="3"/>
        <v>-7</v>
      </c>
      <c r="I79" s="50">
        <f t="shared" si="1"/>
        <v>-9</v>
      </c>
      <c r="J79" s="51">
        <f t="shared" si="1"/>
        <v>-8.756712328767094</v>
      </c>
    </row>
    <row r="80" ht="15" customHeight="1">
      <c r="B80" s="37" t="s">
        <v>71</v>
      </c>
      <c r="C80" s="10" t="s">
        <v>31</v>
      </c>
      <c r="D80" s="10" t="s">
        <v>31</v>
      </c>
      <c r="E80" s="10" t="s">
        <v>31</v>
      </c>
      <c r="F80" s="10" t="s">
        <v>31</v>
      </c>
      <c r="G80" s="10" t="s">
        <v>31</v>
      </c>
      <c r="H80" s="10">
        <f t="shared" si="24"/>
        <v>0.9871382636655948</v>
      </c>
      <c r="I80" s="10">
        <f t="shared" si="24"/>
        <v>0.29299363057324834</v>
      </c>
      <c r="J80" s="38">
        <f t="shared" si="24"/>
        <v>-0.047232876712328675</v>
      </c>
    </row>
    <row r="81" ht="15" customHeight="1">
      <c r="B81" s="37" t="s">
        <v>72</v>
      </c>
      <c r="C81" s="10" t="s">
        <v>31</v>
      </c>
      <c r="D81" s="10" t="s">
        <v>31</v>
      </c>
      <c r="E81" s="10" t="s">
        <v>31</v>
      </c>
      <c r="F81" s="10" t="s">
        <v>31</v>
      </c>
      <c r="G81" s="10" t="s">
        <v>31</v>
      </c>
      <c r="H81" s="10" t="s">
        <v>31</v>
      </c>
      <c r="I81" s="10" t="s">
        <v>31</v>
      </c>
      <c r="J81" s="38" t="s">
        <v>31</v>
      </c>
    </row>
    <row r="82" ht="15" customHeight="1">
      <c r="B82" s="37" t="s">
        <v>73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 t="s">
        <v>31</v>
      </c>
      <c r="I82" s="10" t="s">
        <v>31</v>
      </c>
      <c r="J82" s="38" t="s">
        <v>31</v>
      </c>
    </row>
    <row r="83" ht="15" customHeight="1">
      <c r="B83" s="37" t="s">
        <v>74</v>
      </c>
      <c r="C83" s="10" t="str">
        <f t="shared" si="25"/>
        <v>n/a</v>
      </c>
      <c r="D83" s="10" t="str">
        <f t="shared" si="25"/>
        <v>n/a</v>
      </c>
      <c r="E83" s="10" t="str">
        <f t="shared" si="25"/>
        <v>n/a</v>
      </c>
      <c r="F83" s="10" t="str">
        <f t="shared" si="25"/>
        <v>n/a</v>
      </c>
      <c r="G83" s="10" t="str">
        <f t="shared" si="25"/>
        <v>n/a</v>
      </c>
      <c r="H83" s="10" t="str">
        <f t="shared" si="25"/>
        <v>n/a</v>
      </c>
      <c r="I83" s="10" t="str">
        <f t="shared" si="25"/>
        <v>n/a</v>
      </c>
      <c r="J83" s="38" t="str">
        <f t="shared" si="25"/>
        <v>n/a</v>
      </c>
    </row>
    <row r="84" ht="15" customHeight="1">
      <c r="B84" s="37" t="s">
        <v>147</v>
      </c>
      <c r="C84" s="10">
        <f t="shared" si="30" ref="C84:I84">C77/(C41+C44)*365/C$7</f>
        <v>0.1863590097189388</v>
      </c>
      <c r="D84" s="10">
        <f t="shared" si="30"/>
        <v>0.15895463392308154</v>
      </c>
      <c r="E84" s="10">
        <f t="shared" si="30"/>
        <v>0.14629537733328243</v>
      </c>
      <c r="F84" s="10">
        <f t="shared" si="30"/>
        <v>0.1457999391554884</v>
      </c>
      <c r="G84" s="10">
        <f>G77/(G41+G44)</f>
        <v>0.15402646502835537</v>
      </c>
      <c r="H84" s="10">
        <f t="shared" si="30"/>
        <v>0.14797103160546304</v>
      </c>
      <c r="I84" s="10">
        <f t="shared" si="30"/>
        <v>0.14739876343786554</v>
      </c>
      <c r="J84" s="56">
        <v>0.147</v>
      </c>
      <c r="K84" s="40" t="s">
        <v>145</v>
      </c>
    </row>
    <row r="85" ht="15" customHeight="1">
      <c r="B85" s="57" t="s">
        <v>137</v>
      </c>
      <c r="C85" s="58" t="s">
        <v>31</v>
      </c>
      <c r="D85" s="58">
        <f t="shared" si="20"/>
        <v>-274.0437579585725</v>
      </c>
      <c r="E85" s="58">
        <f t="shared" si="20"/>
        <v>-126.59256589799107</v>
      </c>
      <c r="F85" s="58">
        <f t="shared" si="20"/>
        <v>-4.954381777940442</v>
      </c>
      <c r="G85" s="58" t="s">
        <v>31</v>
      </c>
      <c r="H85" s="58">
        <f t="shared" si="27"/>
        <v>21.710924499746543</v>
      </c>
      <c r="I85" s="58">
        <f t="shared" si="20"/>
        <v>-5.7226816759750605</v>
      </c>
      <c r="J85" s="59">
        <f t="shared" si="20"/>
        <v>-3.987634378655458</v>
      </c>
    </row>
    <row r="86" ht="15" customHeight="1">
      <c r="B86" s="57" t="s">
        <v>138</v>
      </c>
      <c r="C86" s="58" t="s">
        <v>31</v>
      </c>
      <c r="D86" s="58" t="s">
        <v>31</v>
      </c>
      <c r="E86" s="58" t="s">
        <v>31</v>
      </c>
      <c r="F86" s="58" t="s">
        <v>31</v>
      </c>
      <c r="G86" s="58" t="s">
        <v>31</v>
      </c>
      <c r="H86" s="58">
        <f t="shared" si="28"/>
        <v>-383.8797811347575</v>
      </c>
      <c r="I86" s="58">
        <f t="shared" si="28"/>
        <v>-115.55870485216002</v>
      </c>
      <c r="J86" s="59">
        <f t="shared" si="28"/>
        <v>7.046226667175581</v>
      </c>
    </row>
    <row r="87" ht="15" customHeight="1">
      <c r="B87" s="45" t="s">
        <v>148</v>
      </c>
      <c r="C87" s="60">
        <v>5654</v>
      </c>
      <c r="D87" s="60">
        <v>7293</v>
      </c>
      <c r="E87" s="60">
        <v>9396</v>
      </c>
      <c r="F87" s="60">
        <v>9479</v>
      </c>
      <c r="G87" s="41">
        <f t="shared" si="23"/>
        <v>31822</v>
      </c>
      <c r="H87" s="60">
        <v>9236</v>
      </c>
      <c r="I87" s="60">
        <v>9252</v>
      </c>
      <c r="J87" s="42">
        <f>J67+J77</f>
        <v>9543.077031963472</v>
      </c>
      <c r="K87" s="40" t="s">
        <v>149</v>
      </c>
    </row>
    <row r="88" ht="15" customHeight="1">
      <c r="B88" s="37" t="s">
        <v>75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>
        <f t="shared" si="0"/>
        <v>0.6335337813937036</v>
      </c>
      <c r="I88" s="10">
        <f t="shared" si="0"/>
        <v>0.2686137392019745</v>
      </c>
      <c r="J88" s="38">
        <f t="shared" si="0"/>
        <v>0.015653153678530485</v>
      </c>
    </row>
    <row r="89" ht="15" customHeight="1">
      <c r="B89" s="37" t="s">
        <v>92</v>
      </c>
      <c r="C89" s="50" t="s">
        <v>31</v>
      </c>
      <c r="D89" s="50">
        <f t="shared" si="1"/>
        <v>1639</v>
      </c>
      <c r="E89" s="50">
        <f t="shared" si="1"/>
        <v>2103</v>
      </c>
      <c r="F89" s="50">
        <f t="shared" si="1"/>
        <v>83</v>
      </c>
      <c r="G89" s="50" t="s">
        <v>31</v>
      </c>
      <c r="H89" s="50">
        <f t="shared" si="3"/>
        <v>-243</v>
      </c>
      <c r="I89" s="50">
        <f t="shared" si="1"/>
        <v>16</v>
      </c>
      <c r="J89" s="51">
        <f t="shared" si="1"/>
        <v>291.0770319634721</v>
      </c>
    </row>
    <row r="90" ht="15" customHeight="1">
      <c r="B90" s="37" t="s">
        <v>71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>
        <f t="shared" si="24"/>
        <v>0.6335337813937036</v>
      </c>
      <c r="I90" s="10">
        <f t="shared" si="24"/>
        <v>0.2686137392019745</v>
      </c>
      <c r="J90" s="38">
        <f t="shared" si="24"/>
        <v>0.015653153678530485</v>
      </c>
    </row>
    <row r="91" ht="15" customHeight="1">
      <c r="B91" s="37" t="s">
        <v>72</v>
      </c>
      <c r="C91" s="10" t="s">
        <v>31</v>
      </c>
      <c r="D91" s="10" t="s">
        <v>31</v>
      </c>
      <c r="E91" s="10" t="s">
        <v>31</v>
      </c>
      <c r="F91" s="10" t="s">
        <v>31</v>
      </c>
      <c r="G91" s="10" t="s">
        <v>31</v>
      </c>
      <c r="H91" s="10" t="s">
        <v>31</v>
      </c>
      <c r="I91" s="10" t="s">
        <v>31</v>
      </c>
      <c r="J91" s="38" t="s">
        <v>31</v>
      </c>
    </row>
    <row r="92" ht="15" customHeight="1">
      <c r="B92" s="37" t="s">
        <v>73</v>
      </c>
      <c r="C92" s="10" t="s">
        <v>31</v>
      </c>
      <c r="D92" s="10" t="s">
        <v>31</v>
      </c>
      <c r="E92" s="10" t="s">
        <v>31</v>
      </c>
      <c r="F92" s="10" t="s">
        <v>31</v>
      </c>
      <c r="G92" s="10" t="s">
        <v>31</v>
      </c>
      <c r="H92" s="10" t="s">
        <v>31</v>
      </c>
      <c r="I92" s="10" t="s">
        <v>31</v>
      </c>
      <c r="J92" s="38" t="s">
        <v>31</v>
      </c>
    </row>
    <row r="93" ht="15" customHeight="1">
      <c r="B93" s="37" t="s">
        <v>74</v>
      </c>
      <c r="C93" s="10" t="str">
        <f t="shared" si="25"/>
        <v>n/a</v>
      </c>
      <c r="D93" s="10" t="str">
        <f t="shared" si="25"/>
        <v>n/a</v>
      </c>
      <c r="E93" s="10" t="str">
        <f t="shared" si="25"/>
        <v>n/a</v>
      </c>
      <c r="F93" s="10" t="str">
        <f t="shared" si="25"/>
        <v>n/a</v>
      </c>
      <c r="G93" s="10" t="str">
        <f t="shared" si="25"/>
        <v>n/a</v>
      </c>
      <c r="H93" s="10" t="str">
        <f t="shared" si="25"/>
        <v>n/a</v>
      </c>
      <c r="I93" s="10" t="str">
        <f t="shared" si="25"/>
        <v>n/a</v>
      </c>
      <c r="J93" s="38" t="str">
        <f t="shared" si="25"/>
        <v>n/a</v>
      </c>
    </row>
    <row r="94" ht="15" customHeight="1">
      <c r="B94" s="43" t="s">
        <v>150</v>
      </c>
      <c r="C94" s="10">
        <f t="shared" si="31" ref="C94:I94">IF(C47&gt;0,C87/C47*365/C$7,"n/a")</f>
        <v>0.14660540200317831</v>
      </c>
      <c r="D94" s="10">
        <f t="shared" si="31"/>
        <v>0.1394998538680016</v>
      </c>
      <c r="E94" s="10">
        <f t="shared" si="31"/>
        <v>0.13848837631894556</v>
      </c>
      <c r="F94" s="10">
        <f t="shared" si="31"/>
        <v>0.13814487184974744</v>
      </c>
      <c r="G94" s="10">
        <f>G87/G47</f>
        <v>0.1399944568846812</v>
      </c>
      <c r="H94" s="10">
        <f t="shared" si="31"/>
        <v>0.13823138423284564</v>
      </c>
      <c r="I94" s="10">
        <f t="shared" si="31"/>
        <v>0.13683658126627626</v>
      </c>
      <c r="J94" s="38">
        <f>J87/J47*365/J$7</f>
        <v>0.13806119887735915</v>
      </c>
      <c r="K94" s="40" t="s">
        <v>151</v>
      </c>
    </row>
    <row r="95" ht="15" customHeight="1">
      <c r="B95" s="37" t="s">
        <v>137</v>
      </c>
      <c r="C95" s="58" t="s">
        <v>31</v>
      </c>
      <c r="D95" s="58">
        <f t="shared" si="20"/>
        <v>-71.0554813517672</v>
      </c>
      <c r="E95" s="58">
        <f t="shared" si="20"/>
        <v>-10.114775490560335</v>
      </c>
      <c r="F95" s="58">
        <f t="shared" si="20"/>
        <v>-3.4350446919811928</v>
      </c>
      <c r="G95" s="58" t="s">
        <v>31</v>
      </c>
      <c r="H95" s="58">
        <f t="shared" si="27"/>
        <v>0.8651238309820286</v>
      </c>
      <c r="I95" s="58">
        <f t="shared" si="20"/>
        <v>-13.948029665693806</v>
      </c>
      <c r="J95" s="59">
        <f t="shared" si="20"/>
        <v>12.246176110828898</v>
      </c>
    </row>
    <row r="96" ht="15" customHeight="1">
      <c r="B96" s="37" t="s">
        <v>138</v>
      </c>
      <c r="C96" s="58" t="s">
        <v>31</v>
      </c>
      <c r="D96" s="58" t="s">
        <v>31</v>
      </c>
      <c r="E96" s="58" t="s">
        <v>31</v>
      </c>
      <c r="F96" s="58" t="s">
        <v>31</v>
      </c>
      <c r="G96" s="58" t="s">
        <v>31</v>
      </c>
      <c r="H96" s="58">
        <f t="shared" si="28"/>
        <v>-83.74017770332671</v>
      </c>
      <c r="I96" s="58">
        <f t="shared" si="28"/>
        <v>-26.632726017253304</v>
      </c>
      <c r="J96" s="59">
        <f t="shared" si="28"/>
        <v>-4.271774415864071</v>
      </c>
    </row>
    <row r="97" ht="15" customHeight="1">
      <c r="B97" s="43" t="s">
        <v>152</v>
      </c>
      <c r="C97" s="20">
        <v>0.1854</v>
      </c>
      <c r="D97" s="20">
        <v>0.1794</v>
      </c>
      <c r="E97" s="20">
        <v>0.1799</v>
      </c>
      <c r="F97" s="20">
        <v>0.1771</v>
      </c>
      <c r="G97" s="20">
        <v>0.1795</v>
      </c>
      <c r="H97" s="20">
        <v>0.1717</v>
      </c>
      <c r="I97" s="20">
        <v>0.1721</v>
      </c>
      <c r="J97" s="38" t="s">
        <v>31</v>
      </c>
      <c r="K97" s="40" t="s">
        <v>134</v>
      </c>
    </row>
    <row r="98" ht="15" customHeight="1">
      <c r="B98" s="37" t="s">
        <v>137</v>
      </c>
      <c r="C98" s="58" t="s">
        <v>31</v>
      </c>
      <c r="D98" s="58">
        <f t="shared" si="20"/>
        <v>-60.00000000000006</v>
      </c>
      <c r="E98" s="58">
        <f t="shared" si="20"/>
        <v>5.000000000000004</v>
      </c>
      <c r="F98" s="58">
        <f t="shared" si="20"/>
        <v>-27.999999999999968</v>
      </c>
      <c r="G98" s="58" t="s">
        <v>31</v>
      </c>
      <c r="H98" s="58">
        <f t="shared" si="27"/>
        <v>-54.000000000000156</v>
      </c>
      <c r="I98" s="58">
        <f t="shared" si="20"/>
        <v>4.000000000000115</v>
      </c>
      <c r="J98" s="59" t="str">
        <f t="shared" si="20"/>
        <v>n/a</v>
      </c>
    </row>
    <row r="99" ht="15" customHeight="1">
      <c r="B99" s="37" t="s">
        <v>138</v>
      </c>
      <c r="C99" s="58" t="s">
        <v>31</v>
      </c>
      <c r="D99" s="58" t="s">
        <v>31</v>
      </c>
      <c r="E99" s="58" t="s">
        <v>31</v>
      </c>
      <c r="F99" s="58" t="s">
        <v>31</v>
      </c>
      <c r="G99" s="58" t="s">
        <v>31</v>
      </c>
      <c r="H99" s="58">
        <f t="shared" si="28"/>
        <v>-137.00000000000017</v>
      </c>
      <c r="I99" s="58">
        <f t="shared" si="28"/>
        <v>-73.00000000000001</v>
      </c>
      <c r="J99" s="59" t="str">
        <f t="shared" si="28"/>
        <v>n/a</v>
      </c>
    </row>
    <row r="100" ht="15" customHeight="1">
      <c r="B100" s="35" t="s">
        <v>153</v>
      </c>
    </row>
    <row r="101" ht="15" customHeight="1">
      <c r="B101" s="24" t="s">
        <v>154</v>
      </c>
      <c r="C101" s="12">
        <v>1460</v>
      </c>
      <c r="D101" s="12">
        <v>1749</v>
      </c>
      <c r="E101" s="12">
        <v>2160</v>
      </c>
      <c r="F101" s="12">
        <v>2168</v>
      </c>
      <c r="G101" s="9">
        <f t="shared" si="23"/>
        <v>7537</v>
      </c>
      <c r="H101" s="12">
        <v>2107</v>
      </c>
      <c r="I101" s="12">
        <v>2460</v>
      </c>
      <c r="J101" s="54">
        <f>J52*J108/10000</f>
        <v>2478.244275</v>
      </c>
      <c r="K101" s="40" t="s">
        <v>134</v>
      </c>
    </row>
    <row r="102" ht="15" customHeight="1">
      <c r="B102" s="37" t="s">
        <v>75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>
        <f t="shared" si="0"/>
        <v>0.4431506849315068</v>
      </c>
      <c r="I102" s="10">
        <f t="shared" si="0"/>
        <v>0.4065180102915953</v>
      </c>
      <c r="J102" s="38">
        <f t="shared" si="0"/>
        <v>0.1473353125000001</v>
      </c>
    </row>
    <row r="103" ht="15" customHeight="1">
      <c r="B103" s="37" t="s">
        <v>92</v>
      </c>
      <c r="C103" s="50" t="s">
        <v>31</v>
      </c>
      <c r="D103" s="50">
        <f t="shared" si="1"/>
        <v>289</v>
      </c>
      <c r="E103" s="50">
        <f t="shared" si="1"/>
        <v>411</v>
      </c>
      <c r="F103" s="50">
        <f t="shared" si="1"/>
        <v>8</v>
      </c>
      <c r="G103" s="50" t="s">
        <v>31</v>
      </c>
      <c r="H103" s="50">
        <f t="shared" si="3"/>
        <v>-61</v>
      </c>
      <c r="I103" s="50">
        <f t="shared" si="1"/>
        <v>353</v>
      </c>
      <c r="J103" s="51">
        <f t="shared" si="1"/>
        <v>18.244275000000016</v>
      </c>
    </row>
    <row r="104" ht="15" customHeight="1">
      <c r="B104" s="37" t="s">
        <v>71</v>
      </c>
      <c r="C104" s="10" t="s">
        <v>31</v>
      </c>
      <c r="D104" s="10" t="s">
        <v>31</v>
      </c>
      <c r="E104" s="10" t="s">
        <v>31</v>
      </c>
      <c r="F104" s="10" t="s">
        <v>31</v>
      </c>
      <c r="G104" s="10" t="s">
        <v>31</v>
      </c>
      <c r="H104" s="10">
        <f t="shared" si="24"/>
        <v>0.4431506849315068</v>
      </c>
      <c r="I104" s="10">
        <f t="shared" si="24"/>
        <v>0.4065180102915953</v>
      </c>
      <c r="J104" s="38">
        <f t="shared" si="24"/>
        <v>0.1473353125000001</v>
      </c>
    </row>
    <row r="105" ht="15" customHeight="1">
      <c r="B105" s="37" t="s">
        <v>72</v>
      </c>
      <c r="C105" s="10" t="s">
        <v>31</v>
      </c>
      <c r="D105" s="10" t="s">
        <v>31</v>
      </c>
      <c r="E105" s="10" t="s">
        <v>31</v>
      </c>
      <c r="F105" s="10" t="s">
        <v>31</v>
      </c>
      <c r="G105" s="10" t="s">
        <v>31</v>
      </c>
      <c r="H105" s="10" t="s">
        <v>31</v>
      </c>
      <c r="I105" s="10" t="s">
        <v>31</v>
      </c>
      <c r="J105" s="38" t="s">
        <v>31</v>
      </c>
    </row>
    <row r="106" ht="15" customHeight="1">
      <c r="B106" s="37" t="s">
        <v>73</v>
      </c>
      <c r="C106" s="10" t="s">
        <v>31</v>
      </c>
      <c r="D106" s="10" t="s">
        <v>31</v>
      </c>
      <c r="E106" s="10" t="s">
        <v>31</v>
      </c>
      <c r="F106" s="10" t="s">
        <v>31</v>
      </c>
      <c r="G106" s="10" t="s">
        <v>31</v>
      </c>
      <c r="H106" s="10" t="s">
        <v>31</v>
      </c>
      <c r="I106" s="10" t="s">
        <v>31</v>
      </c>
      <c r="J106" s="38" t="s">
        <v>31</v>
      </c>
    </row>
    <row r="107" ht="15" customHeight="1">
      <c r="B107" s="37" t="s">
        <v>74</v>
      </c>
      <c r="C107" s="10" t="str">
        <f t="shared" si="25"/>
        <v>n/a</v>
      </c>
      <c r="D107" s="10" t="str">
        <f t="shared" si="25"/>
        <v>n/a</v>
      </c>
      <c r="E107" s="10" t="str">
        <f t="shared" si="25"/>
        <v>n/a</v>
      </c>
      <c r="F107" s="10" t="str">
        <f t="shared" si="25"/>
        <v>n/a</v>
      </c>
      <c r="G107" s="10" t="str">
        <f t="shared" si="25"/>
        <v>n/a</v>
      </c>
      <c r="H107" s="10" t="str">
        <f t="shared" si="25"/>
        <v>n/a</v>
      </c>
      <c r="I107" s="10" t="str">
        <f t="shared" si="25"/>
        <v>n/a</v>
      </c>
      <c r="J107" s="38" t="str">
        <f t="shared" si="25"/>
        <v>n/a</v>
      </c>
    </row>
    <row r="108" ht="15" customHeight="1">
      <c r="B108" s="55" t="s">
        <v>155</v>
      </c>
      <c r="C108" s="9">
        <f t="shared" si="32" ref="C108:I108">C101/C52*10000</f>
        <v>94.56509770647253</v>
      </c>
      <c r="D108" s="9">
        <f t="shared" si="32"/>
        <v>88.64313661889027</v>
      </c>
      <c r="E108" s="9">
        <f t="shared" si="32"/>
        <v>95.51309546445454</v>
      </c>
      <c r="F108" s="9">
        <f t="shared" si="32"/>
        <v>92.50133333333333</v>
      </c>
      <c r="G108" s="9">
        <f t="shared" si="32"/>
        <v>92.79494127829742</v>
      </c>
      <c r="H108" s="9">
        <f t="shared" si="32"/>
        <v>97.31517276098894</v>
      </c>
      <c r="I108" s="9">
        <f t="shared" si="32"/>
        <v>98.71787154637934</v>
      </c>
      <c r="J108" s="39">
        <v>97.5</v>
      </c>
      <c r="K108" s="40" t="s">
        <v>145</v>
      </c>
    </row>
    <row r="109" ht="15" customHeight="1">
      <c r="B109" s="57" t="s">
        <v>137</v>
      </c>
      <c r="C109" s="50" t="s">
        <v>31</v>
      </c>
      <c r="D109" s="50">
        <f t="shared" si="33" ref="D109:J109">IF(AND(ISNUMBER(D108),ISNUMBER(C108)),D108-C108,"n/a")</f>
        <v>-5.921961087582261</v>
      </c>
      <c r="E109" s="50">
        <f t="shared" si="33"/>
        <v>6.86995884556427</v>
      </c>
      <c r="F109" s="50">
        <f t="shared" si="33"/>
        <v>-3.011762131121202</v>
      </c>
      <c r="G109" s="50" t="s">
        <v>31</v>
      </c>
      <c r="H109" s="50">
        <f>IF(AND(ISNUMBER(H108),ISNUMBER(F108)),H108-F108,"n/a")</f>
        <v>4.8138394276556085</v>
      </c>
      <c r="I109" s="50">
        <f t="shared" si="33"/>
        <v>1.402698785390399</v>
      </c>
      <c r="J109" s="51">
        <f t="shared" si="33"/>
        <v>-1.2178715463793424</v>
      </c>
    </row>
    <row r="110" ht="15" customHeight="1">
      <c r="B110" s="57" t="s">
        <v>75</v>
      </c>
      <c r="C110" s="10" t="s">
        <v>31</v>
      </c>
      <c r="D110" s="10" t="s">
        <v>31</v>
      </c>
      <c r="E110" s="10" t="s">
        <v>31</v>
      </c>
      <c r="F110" s="10" t="s">
        <v>31</v>
      </c>
      <c r="G110" s="10" t="s">
        <v>31</v>
      </c>
      <c r="H110" s="10">
        <f t="shared" si="34" ref="H110:J110">IF(AND(ISNUMBER(H108),ISNUMBER(C108)),IF(C108&gt;0,H108/C108-1,"n/m"),"n/a")</f>
        <v>0.029081290256290693</v>
      </c>
      <c r="I110" s="10">
        <f t="shared" si="34"/>
        <v>0.1136549913706697</v>
      </c>
      <c r="J110" s="38">
        <f t="shared" si="34"/>
        <v>0.02080243055555564</v>
      </c>
    </row>
    <row r="111" ht="15" customHeight="1">
      <c r="B111" s="24" t="s">
        <v>156</v>
      </c>
      <c r="C111" s="9">
        <f t="shared" si="35" ref="C111:I111">C118-C101</f>
        <v>51</v>
      </c>
      <c r="D111" s="9">
        <f t="shared" si="35"/>
        <v>53</v>
      </c>
      <c r="E111" s="9">
        <f t="shared" si="35"/>
        <v>51</v>
      </c>
      <c r="F111" s="9">
        <f t="shared" si="35"/>
        <v>46</v>
      </c>
      <c r="G111" s="9">
        <f t="shared" si="35"/>
        <v>201</v>
      </c>
      <c r="H111" s="9">
        <f t="shared" si="35"/>
        <v>46</v>
      </c>
      <c r="I111" s="9">
        <f t="shared" si="35"/>
        <v>53</v>
      </c>
      <c r="J111" s="39">
        <v>52</v>
      </c>
      <c r="K111" s="40" t="s">
        <v>145</v>
      </c>
    </row>
    <row r="112" ht="15" customHeight="1">
      <c r="B112" s="37" t="s">
        <v>75</v>
      </c>
      <c r="C112" s="10" t="s">
        <v>31</v>
      </c>
      <c r="D112" s="10" t="s">
        <v>31</v>
      </c>
      <c r="E112" s="10" t="s">
        <v>31</v>
      </c>
      <c r="F112" s="10" t="s">
        <v>31</v>
      </c>
      <c r="G112" s="10" t="s">
        <v>31</v>
      </c>
      <c r="H112" s="10">
        <f t="shared" si="0"/>
        <v>-0.0980392156862745</v>
      </c>
      <c r="I112" s="10">
        <f t="shared" si="0"/>
        <v>0</v>
      </c>
      <c r="J112" s="38">
        <f t="shared" si="0"/>
        <v>0.019607843137254832</v>
      </c>
    </row>
    <row r="113" ht="15" customHeight="1">
      <c r="B113" s="37" t="s">
        <v>92</v>
      </c>
      <c r="C113" s="50" t="s">
        <v>31</v>
      </c>
      <c r="D113" s="50">
        <f t="shared" si="1"/>
        <v>2</v>
      </c>
      <c r="E113" s="50">
        <f t="shared" si="1"/>
        <v>-2</v>
      </c>
      <c r="F113" s="50">
        <f t="shared" si="1"/>
        <v>-5</v>
      </c>
      <c r="G113" s="50" t="s">
        <v>31</v>
      </c>
      <c r="H113" s="50">
        <f t="shared" si="3"/>
        <v>0</v>
      </c>
      <c r="I113" s="50">
        <f t="shared" si="1"/>
        <v>7</v>
      </c>
      <c r="J113" s="51">
        <f t="shared" si="1"/>
        <v>-1</v>
      </c>
    </row>
    <row r="114" ht="15" customHeight="1">
      <c r="B114" s="37" t="s">
        <v>71</v>
      </c>
      <c r="C114" s="10" t="s">
        <v>31</v>
      </c>
      <c r="D114" s="10" t="s">
        <v>31</v>
      </c>
      <c r="E114" s="10" t="s">
        <v>31</v>
      </c>
      <c r="F114" s="10" t="s">
        <v>31</v>
      </c>
      <c r="G114" s="10" t="s">
        <v>31</v>
      </c>
      <c r="H114" s="10">
        <f t="shared" si="24"/>
        <v>-0.0980392156862745</v>
      </c>
      <c r="I114" s="10">
        <f t="shared" si="24"/>
        <v>0</v>
      </c>
      <c r="J114" s="38">
        <f t="shared" si="24"/>
        <v>0.019607843137254832</v>
      </c>
    </row>
    <row r="115" ht="15" customHeight="1">
      <c r="B115" s="37" t="s">
        <v>72</v>
      </c>
      <c r="C115" s="10" t="s">
        <v>31</v>
      </c>
      <c r="D115" s="10" t="s">
        <v>31</v>
      </c>
      <c r="E115" s="10" t="s">
        <v>31</v>
      </c>
      <c r="F115" s="10" t="s">
        <v>31</v>
      </c>
      <c r="G115" s="10" t="s">
        <v>31</v>
      </c>
      <c r="H115" s="10" t="s">
        <v>31</v>
      </c>
      <c r="I115" s="10" t="s">
        <v>31</v>
      </c>
      <c r="J115" s="38" t="s">
        <v>31</v>
      </c>
    </row>
    <row r="116" ht="15" customHeight="1">
      <c r="B116" s="37" t="s">
        <v>73</v>
      </c>
      <c r="C116" s="10" t="s">
        <v>31</v>
      </c>
      <c r="D116" s="10" t="s">
        <v>31</v>
      </c>
      <c r="E116" s="10" t="s">
        <v>31</v>
      </c>
      <c r="F116" s="10" t="s">
        <v>31</v>
      </c>
      <c r="G116" s="10" t="s">
        <v>31</v>
      </c>
      <c r="H116" s="10" t="s">
        <v>31</v>
      </c>
      <c r="I116" s="10" t="s">
        <v>31</v>
      </c>
      <c r="J116" s="38" t="s">
        <v>31</v>
      </c>
    </row>
    <row r="117" ht="15" customHeight="1">
      <c r="B117" s="37" t="s">
        <v>74</v>
      </c>
      <c r="C117" s="10" t="str">
        <f t="shared" si="25"/>
        <v>n/a</v>
      </c>
      <c r="D117" s="10" t="str">
        <f t="shared" si="25"/>
        <v>n/a</v>
      </c>
      <c r="E117" s="10" t="str">
        <f t="shared" si="25"/>
        <v>n/a</v>
      </c>
      <c r="F117" s="10" t="str">
        <f t="shared" si="25"/>
        <v>n/a</v>
      </c>
      <c r="G117" s="10" t="str">
        <f t="shared" si="25"/>
        <v>n/a</v>
      </c>
      <c r="H117" s="10" t="str">
        <f t="shared" si="25"/>
        <v>n/a</v>
      </c>
      <c r="I117" s="10" t="str">
        <f t="shared" si="25"/>
        <v>n/a</v>
      </c>
      <c r="J117" s="38" t="str">
        <f t="shared" si="25"/>
        <v>n/a</v>
      </c>
    </row>
    <row r="118" ht="15" customHeight="1">
      <c r="B118" s="45" t="s">
        <v>157</v>
      </c>
      <c r="C118" s="60">
        <v>1511</v>
      </c>
      <c r="D118" s="60">
        <v>1802</v>
      </c>
      <c r="E118" s="60">
        <v>2211</v>
      </c>
      <c r="F118" s="60">
        <v>2214</v>
      </c>
      <c r="G118" s="41">
        <f t="shared" si="23"/>
        <v>7738</v>
      </c>
      <c r="H118" s="60">
        <v>2153</v>
      </c>
      <c r="I118" s="60">
        <v>2513</v>
      </c>
      <c r="J118" s="42">
        <f>J101+J111</f>
        <v>2530.244275</v>
      </c>
      <c r="K118" s="40" t="s">
        <v>149</v>
      </c>
    </row>
    <row r="119" ht="15" customHeight="1">
      <c r="B119" s="37" t="s">
        <v>75</v>
      </c>
      <c r="C119" s="10" t="s">
        <v>31</v>
      </c>
      <c r="D119" s="10" t="s">
        <v>31</v>
      </c>
      <c r="E119" s="10" t="s">
        <v>31</v>
      </c>
      <c r="F119" s="10" t="s">
        <v>31</v>
      </c>
      <c r="G119" s="10" t="s">
        <v>31</v>
      </c>
      <c r="H119" s="10">
        <f t="shared" si="0"/>
        <v>0.42488418266048966</v>
      </c>
      <c r="I119" s="10">
        <f t="shared" si="0"/>
        <v>0.39456159822419523</v>
      </c>
      <c r="J119" s="38">
        <f t="shared" si="0"/>
        <v>0.14438908864767064</v>
      </c>
    </row>
    <row r="120" ht="15" customHeight="1">
      <c r="B120" s="37" t="s">
        <v>92</v>
      </c>
      <c r="C120" s="50" t="s">
        <v>31</v>
      </c>
      <c r="D120" s="50">
        <f t="shared" si="1"/>
        <v>291</v>
      </c>
      <c r="E120" s="50">
        <f t="shared" si="1"/>
        <v>409</v>
      </c>
      <c r="F120" s="50">
        <f t="shared" si="1"/>
        <v>3</v>
      </c>
      <c r="G120" s="50" t="s">
        <v>31</v>
      </c>
      <c r="H120" s="50">
        <f t="shared" si="3"/>
        <v>-61</v>
      </c>
      <c r="I120" s="50">
        <f t="shared" si="1"/>
        <v>360</v>
      </c>
      <c r="J120" s="51">
        <f t="shared" si="1"/>
        <v>17.244275000000016</v>
      </c>
    </row>
    <row r="121" ht="15" customHeight="1">
      <c r="B121" s="37" t="s">
        <v>71</v>
      </c>
      <c r="C121" s="10" t="s">
        <v>31</v>
      </c>
      <c r="D121" s="10" t="s">
        <v>31</v>
      </c>
      <c r="E121" s="10" t="s">
        <v>31</v>
      </c>
      <c r="F121" s="10" t="s">
        <v>31</v>
      </c>
      <c r="G121" s="10" t="s">
        <v>31</v>
      </c>
      <c r="H121" s="10">
        <f t="shared" si="24"/>
        <v>0.42488418266048966</v>
      </c>
      <c r="I121" s="10">
        <f t="shared" si="24"/>
        <v>0.39456159822419523</v>
      </c>
      <c r="J121" s="38">
        <f t="shared" si="24"/>
        <v>0.14438908864767064</v>
      </c>
    </row>
    <row r="122" ht="15" customHeight="1">
      <c r="B122" s="37" t="s">
        <v>72</v>
      </c>
      <c r="C122" s="10" t="s">
        <v>31</v>
      </c>
      <c r="D122" s="10" t="s">
        <v>31</v>
      </c>
      <c r="E122" s="10" t="s">
        <v>31</v>
      </c>
      <c r="F122" s="10" t="s">
        <v>31</v>
      </c>
      <c r="G122" s="10" t="s">
        <v>31</v>
      </c>
      <c r="H122" s="10" t="s">
        <v>31</v>
      </c>
      <c r="I122" s="10" t="s">
        <v>31</v>
      </c>
      <c r="J122" s="38" t="s">
        <v>31</v>
      </c>
    </row>
    <row r="123" ht="15" customHeight="1">
      <c r="B123" s="37" t="s">
        <v>73</v>
      </c>
      <c r="C123" s="10" t="s">
        <v>31</v>
      </c>
      <c r="D123" s="10" t="s">
        <v>31</v>
      </c>
      <c r="E123" s="10" t="s">
        <v>31</v>
      </c>
      <c r="F123" s="10" t="s">
        <v>31</v>
      </c>
      <c r="G123" s="10" t="s">
        <v>31</v>
      </c>
      <c r="H123" s="10" t="s">
        <v>31</v>
      </c>
      <c r="I123" s="10" t="s">
        <v>31</v>
      </c>
      <c r="J123" s="38" t="s">
        <v>31</v>
      </c>
    </row>
    <row r="124" ht="15" customHeight="1">
      <c r="B124" s="37" t="s">
        <v>74</v>
      </c>
      <c r="C124" s="10" t="str">
        <f t="shared" si="25"/>
        <v>n/a</v>
      </c>
      <c r="D124" s="10" t="str">
        <f t="shared" si="25"/>
        <v>n/a</v>
      </c>
      <c r="E124" s="10" t="str">
        <f t="shared" si="25"/>
        <v>n/a</v>
      </c>
      <c r="F124" s="10" t="str">
        <f t="shared" si="25"/>
        <v>n/a</v>
      </c>
      <c r="G124" s="10" t="str">
        <f t="shared" si="25"/>
        <v>n/a</v>
      </c>
      <c r="H124" s="10" t="str">
        <f t="shared" si="25"/>
        <v>n/a</v>
      </c>
      <c r="I124" s="10" t="str">
        <f t="shared" si="25"/>
        <v>n/a</v>
      </c>
      <c r="J124" s="38" t="str">
        <f t="shared" si="25"/>
        <v>n/a</v>
      </c>
    </row>
    <row r="125" ht="15" customHeight="1">
      <c r="B125" s="35" t="s">
        <v>88</v>
      </c>
    </row>
    <row r="126" ht="15" customHeight="1">
      <c r="B126" s="45" t="s">
        <v>96</v>
      </c>
      <c r="C126" s="41">
        <f t="shared" si="36" ref="C126:J126">C67+C101</f>
        <v>6803</v>
      </c>
      <c r="D126" s="41">
        <f t="shared" si="36"/>
        <v>8571</v>
      </c>
      <c r="E126" s="41">
        <f t="shared" si="36"/>
        <v>10926</v>
      </c>
      <c r="F126" s="41">
        <f t="shared" si="36"/>
        <v>11022</v>
      </c>
      <c r="G126" s="41">
        <f t="shared" si="36"/>
        <v>37322</v>
      </c>
      <c r="H126" s="41">
        <f t="shared" si="36"/>
        <v>10725</v>
      </c>
      <c r="I126" s="41">
        <f t="shared" si="36"/>
        <v>11103</v>
      </c>
      <c r="J126" s="42">
        <f t="shared" si="36"/>
        <v>11421.07801929224</v>
      </c>
    </row>
    <row r="127" ht="15" customHeight="1">
      <c r="B127" s="37" t="s">
        <v>75</v>
      </c>
      <c r="C127" s="10" t="s">
        <v>31</v>
      </c>
      <c r="D127" s="10" t="s">
        <v>31</v>
      </c>
      <c r="E127" s="10" t="s">
        <v>31</v>
      </c>
      <c r="F127" s="10" t="s">
        <v>31</v>
      </c>
      <c r="G127" s="10" t="s">
        <v>31</v>
      </c>
      <c r="H127" s="10">
        <f t="shared" si="0"/>
        <v>0.5765103630751138</v>
      </c>
      <c r="I127" s="10">
        <f t="shared" si="0"/>
        <v>0.29541477073853684</v>
      </c>
      <c r="J127" s="38">
        <f t="shared" si="0"/>
        <v>0.04531191829509784</v>
      </c>
    </row>
    <row r="128" ht="15" customHeight="1">
      <c r="B128" s="37" t="s">
        <v>69</v>
      </c>
      <c r="C128" s="10" t="s">
        <v>31</v>
      </c>
      <c r="D128" s="10">
        <f t="shared" si="37" ref="D128:J142">IF(AND(ISNUMBER(D126),ISNUMBER(C126)),IF(C126&gt;0,D126/C126-1,"n/m"),"n/a")</f>
        <v>0.2598853447008673</v>
      </c>
      <c r="E128" s="10">
        <f t="shared" si="37"/>
        <v>0.27476373818690925</v>
      </c>
      <c r="F128" s="10">
        <f t="shared" si="37"/>
        <v>0.008786381109280539</v>
      </c>
      <c r="G128" s="10" t="s">
        <v>31</v>
      </c>
      <c r="H128" s="10">
        <f t="shared" si="39" ref="H128:H142">IF(AND(ISNUMBER(H126),ISNUMBER(F126)),IF(F126&gt;0,H126/F126-1,"n/m"),"n/a")</f>
        <v>-0.026946107784431184</v>
      </c>
      <c r="I128" s="10">
        <f t="shared" si="37"/>
        <v>0.03524475524475523</v>
      </c>
      <c r="J128" s="38">
        <f t="shared" si="37"/>
        <v>0.028647934728653457</v>
      </c>
    </row>
    <row r="129" ht="15" customHeight="1">
      <c r="B129" s="37" t="s">
        <v>71</v>
      </c>
      <c r="C129" s="10" t="s">
        <v>31</v>
      </c>
      <c r="D129" s="10" t="s">
        <v>31</v>
      </c>
      <c r="E129" s="10" t="s">
        <v>31</v>
      </c>
      <c r="F129" s="10" t="s">
        <v>31</v>
      </c>
      <c r="G129" s="10" t="s">
        <v>31</v>
      </c>
      <c r="H129" s="10">
        <f t="shared" si="24"/>
        <v>0.5765103630751138</v>
      </c>
      <c r="I129" s="10">
        <f t="shared" si="24"/>
        <v>0.29541477073853684</v>
      </c>
      <c r="J129" s="38">
        <f t="shared" si="24"/>
        <v>0.04531191829509784</v>
      </c>
    </row>
    <row r="130" ht="15" customHeight="1">
      <c r="B130" s="37" t="s">
        <v>72</v>
      </c>
      <c r="C130" s="10" t="s">
        <v>31</v>
      </c>
      <c r="D130" s="10" t="s">
        <v>31</v>
      </c>
      <c r="E130" s="10" t="s">
        <v>31</v>
      </c>
      <c r="F130" s="10" t="s">
        <v>31</v>
      </c>
      <c r="G130" s="10" t="s">
        <v>31</v>
      </c>
      <c r="H130" s="10" t="s">
        <v>31</v>
      </c>
      <c r="I130" s="10" t="s">
        <v>31</v>
      </c>
      <c r="J130" s="38" t="s">
        <v>31</v>
      </c>
    </row>
    <row r="131" ht="15" customHeight="1">
      <c r="B131" s="37" t="s">
        <v>73</v>
      </c>
      <c r="C131" s="10" t="s">
        <v>31</v>
      </c>
      <c r="D131" s="10" t="s">
        <v>31</v>
      </c>
      <c r="E131" s="10" t="s">
        <v>31</v>
      </c>
      <c r="F131" s="10" t="s">
        <v>31</v>
      </c>
      <c r="G131" s="10" t="s">
        <v>31</v>
      </c>
      <c r="H131" s="10" t="s">
        <v>31</v>
      </c>
      <c r="I131" s="10" t="s">
        <v>31</v>
      </c>
      <c r="J131" s="38" t="s">
        <v>31</v>
      </c>
    </row>
    <row r="132" ht="15" customHeight="1">
      <c r="B132" s="37" t="s">
        <v>74</v>
      </c>
      <c r="C132" s="10" t="str">
        <f t="shared" si="25"/>
        <v>n/a</v>
      </c>
      <c r="D132" s="10" t="str">
        <f t="shared" si="25"/>
        <v>n/a</v>
      </c>
      <c r="E132" s="10" t="str">
        <f t="shared" si="25"/>
        <v>n/a</v>
      </c>
      <c r="F132" s="10" t="str">
        <f t="shared" si="25"/>
        <v>n/a</v>
      </c>
      <c r="G132" s="10" t="str">
        <f t="shared" si="25"/>
        <v>n/a</v>
      </c>
      <c r="H132" s="10" t="str">
        <f t="shared" si="25"/>
        <v>n/a</v>
      </c>
      <c r="I132" s="10" t="str">
        <f t="shared" si="25"/>
        <v>n/a</v>
      </c>
      <c r="J132" s="38" t="str">
        <f t="shared" si="25"/>
        <v>n/a</v>
      </c>
    </row>
    <row r="133" ht="15" customHeight="1">
      <c r="B133" s="45" t="s">
        <v>158</v>
      </c>
      <c r="C133" s="41">
        <f t="shared" si="38" ref="C133:J133">C77+C111</f>
        <v>362</v>
      </c>
      <c r="D133" s="41">
        <f t="shared" si="38"/>
        <v>524</v>
      </c>
      <c r="E133" s="41">
        <f t="shared" si="38"/>
        <v>681</v>
      </c>
      <c r="F133" s="41">
        <f t="shared" si="38"/>
        <v>671</v>
      </c>
      <c r="G133" s="41">
        <f t="shared" si="38"/>
        <v>2238</v>
      </c>
      <c r="H133" s="41">
        <f t="shared" si="38"/>
        <v>664</v>
      </c>
      <c r="I133" s="41">
        <f t="shared" si="38"/>
        <v>662</v>
      </c>
      <c r="J133" s="42">
        <f t="shared" si="38"/>
        <v>652.2432876712329</v>
      </c>
    </row>
    <row r="134" ht="15" customHeight="1">
      <c r="B134" s="37" t="s">
        <v>75</v>
      </c>
      <c r="C134" s="10" t="s">
        <v>31</v>
      </c>
      <c r="D134" s="10" t="s">
        <v>31</v>
      </c>
      <c r="E134" s="10" t="s">
        <v>31</v>
      </c>
      <c r="F134" s="10" t="s">
        <v>31</v>
      </c>
      <c r="G134" s="10" t="s">
        <v>31</v>
      </c>
      <c r="H134" s="10">
        <f t="shared" si="0"/>
        <v>0.8342541436464088</v>
      </c>
      <c r="I134" s="10">
        <f t="shared" si="0"/>
        <v>0.26335877862595414</v>
      </c>
      <c r="J134" s="38">
        <f t="shared" si="0"/>
        <v>-0.042227184036368715</v>
      </c>
    </row>
    <row r="135" ht="15" customHeight="1">
      <c r="B135" s="37" t="s">
        <v>69</v>
      </c>
      <c r="C135" s="10" t="s">
        <v>31</v>
      </c>
      <c r="D135" s="10">
        <f t="shared" si="37"/>
        <v>0.4475138121546962</v>
      </c>
      <c r="E135" s="10">
        <f t="shared" si="37"/>
        <v>0.29961832061068705</v>
      </c>
      <c r="F135" s="10">
        <f t="shared" si="37"/>
        <v>-0.014684287812041119</v>
      </c>
      <c r="G135" s="10" t="s">
        <v>31</v>
      </c>
      <c r="H135" s="10">
        <f t="shared" si="39"/>
        <v>-0.010432190760059634</v>
      </c>
      <c r="I135" s="10">
        <f t="shared" si="37"/>
        <v>-0.003012048192771122</v>
      </c>
      <c r="J135" s="38">
        <f t="shared" si="37"/>
        <v>-0.014738236146173866</v>
      </c>
    </row>
    <row r="136" ht="15" customHeight="1">
      <c r="B136" s="37" t="s">
        <v>71</v>
      </c>
      <c r="C136" s="10" t="s">
        <v>31</v>
      </c>
      <c r="D136" s="10" t="s">
        <v>31</v>
      </c>
      <c r="E136" s="10" t="s">
        <v>31</v>
      </c>
      <c r="F136" s="10" t="s">
        <v>31</v>
      </c>
      <c r="G136" s="10" t="s">
        <v>31</v>
      </c>
      <c r="H136" s="10">
        <f t="shared" si="24"/>
        <v>0.8342541436464088</v>
      </c>
      <c r="I136" s="10">
        <f t="shared" si="24"/>
        <v>0.26335877862595414</v>
      </c>
      <c r="J136" s="38">
        <f t="shared" si="24"/>
        <v>-0.042227184036368715</v>
      </c>
    </row>
    <row r="137" ht="15" customHeight="1">
      <c r="B137" s="37" t="s">
        <v>72</v>
      </c>
      <c r="C137" s="10" t="s">
        <v>31</v>
      </c>
      <c r="D137" s="10" t="s">
        <v>31</v>
      </c>
      <c r="E137" s="10" t="s">
        <v>31</v>
      </c>
      <c r="F137" s="10" t="s">
        <v>31</v>
      </c>
      <c r="G137" s="10" t="s">
        <v>31</v>
      </c>
      <c r="H137" s="10" t="s">
        <v>31</v>
      </c>
      <c r="I137" s="10" t="s">
        <v>31</v>
      </c>
      <c r="J137" s="38" t="s">
        <v>31</v>
      </c>
    </row>
    <row r="138" ht="15" customHeight="1">
      <c r="B138" s="37" t="s">
        <v>73</v>
      </c>
      <c r="C138" s="10" t="s">
        <v>31</v>
      </c>
      <c r="D138" s="10" t="s">
        <v>31</v>
      </c>
      <c r="E138" s="10" t="s">
        <v>31</v>
      </c>
      <c r="F138" s="10" t="s">
        <v>31</v>
      </c>
      <c r="G138" s="10" t="s">
        <v>31</v>
      </c>
      <c r="H138" s="10" t="s">
        <v>31</v>
      </c>
      <c r="I138" s="10" t="s">
        <v>31</v>
      </c>
      <c r="J138" s="38" t="s">
        <v>31</v>
      </c>
    </row>
    <row r="139" ht="15" customHeight="1">
      <c r="B139" s="37" t="s">
        <v>74</v>
      </c>
      <c r="C139" s="10" t="str">
        <f t="shared" si="25"/>
        <v>n/a</v>
      </c>
      <c r="D139" s="10" t="str">
        <f t="shared" si="25"/>
        <v>n/a</v>
      </c>
      <c r="E139" s="10" t="str">
        <f t="shared" si="25"/>
        <v>n/a</v>
      </c>
      <c r="F139" s="10" t="str">
        <f t="shared" si="25"/>
        <v>n/a</v>
      </c>
      <c r="G139" s="10" t="str">
        <f t="shared" si="25"/>
        <v>n/a</v>
      </c>
      <c r="H139" s="10" t="str">
        <f t="shared" si="25"/>
        <v>n/a</v>
      </c>
      <c r="I139" s="10" t="str">
        <f t="shared" si="25"/>
        <v>n/a</v>
      </c>
      <c r="J139" s="38" t="str">
        <f t="shared" si="25"/>
        <v>n/a</v>
      </c>
    </row>
    <row r="140" ht="15" customHeight="1">
      <c r="B140" s="4" t="s">
        <v>159</v>
      </c>
      <c r="C140" s="41">
        <f t="shared" si="40" ref="C140:J140">C126+C133</f>
        <v>7165</v>
      </c>
      <c r="D140" s="41">
        <f t="shared" si="40"/>
        <v>9095</v>
      </c>
      <c r="E140" s="41">
        <f t="shared" si="40"/>
        <v>11607</v>
      </c>
      <c r="F140" s="41">
        <f t="shared" si="40"/>
        <v>11693</v>
      </c>
      <c r="G140" s="41">
        <f t="shared" si="40"/>
        <v>39560</v>
      </c>
      <c r="H140" s="41">
        <f t="shared" si="40"/>
        <v>11389</v>
      </c>
      <c r="I140" s="41">
        <f t="shared" si="40"/>
        <v>11765</v>
      </c>
      <c r="J140" s="42">
        <f t="shared" si="40"/>
        <v>12073.321306963473</v>
      </c>
    </row>
    <row r="141" ht="15" customHeight="1">
      <c r="B141" s="37" t="s">
        <v>75</v>
      </c>
      <c r="C141" s="10" t="s">
        <v>31</v>
      </c>
      <c r="D141" s="10" t="s">
        <v>31</v>
      </c>
      <c r="E141" s="10" t="s">
        <v>31</v>
      </c>
      <c r="F141" s="10" t="s">
        <v>31</v>
      </c>
      <c r="G141" s="10" t="s">
        <v>31</v>
      </c>
      <c r="H141" s="10">
        <f t="shared" si="0"/>
        <v>0.5895324494068388</v>
      </c>
      <c r="I141" s="10">
        <f t="shared" si="0"/>
        <v>0.29356789444749865</v>
      </c>
      <c r="J141" s="38">
        <f t="shared" si="0"/>
        <v>0.04017586861062061</v>
      </c>
    </row>
    <row r="142" ht="15" customHeight="1">
      <c r="B142" s="37" t="s">
        <v>69</v>
      </c>
      <c r="C142" s="10" t="s">
        <v>31</v>
      </c>
      <c r="D142" s="10">
        <f t="shared" si="37"/>
        <v>0.26936496859734826</v>
      </c>
      <c r="E142" s="10">
        <f t="shared" si="37"/>
        <v>0.27619571192963166</v>
      </c>
      <c r="F142" s="10">
        <f t="shared" si="37"/>
        <v>0.007409321960885729</v>
      </c>
      <c r="G142" s="10" t="s">
        <v>31</v>
      </c>
      <c r="H142" s="10">
        <f t="shared" si="39"/>
        <v>-0.02599846061746347</v>
      </c>
      <c r="I142" s="10">
        <f t="shared" si="37"/>
        <v>0.03301431205549221</v>
      </c>
      <c r="J142" s="38">
        <f t="shared" si="37"/>
        <v>0.02620665592549698</v>
      </c>
    </row>
    <row r="143" ht="15" customHeight="1">
      <c r="B143" s="37" t="s">
        <v>71</v>
      </c>
      <c r="C143" s="10" t="s">
        <v>31</v>
      </c>
      <c r="D143" s="10" t="s">
        <v>31</v>
      </c>
      <c r="E143" s="10" t="s">
        <v>31</v>
      </c>
      <c r="F143" s="10" t="s">
        <v>31</v>
      </c>
      <c r="G143" s="10" t="s">
        <v>31</v>
      </c>
      <c r="H143" s="10">
        <f t="shared" si="24"/>
        <v>0.5895324494068388</v>
      </c>
      <c r="I143" s="10">
        <f t="shared" si="24"/>
        <v>0.29356789444749865</v>
      </c>
      <c r="J143" s="38">
        <f t="shared" si="24"/>
        <v>0.04017586861062061</v>
      </c>
    </row>
    <row r="144" ht="15" customHeight="1">
      <c r="B144" s="37" t="s">
        <v>72</v>
      </c>
      <c r="C144" s="10" t="s">
        <v>31</v>
      </c>
      <c r="D144" s="10" t="s">
        <v>31</v>
      </c>
      <c r="E144" s="10" t="s">
        <v>31</v>
      </c>
      <c r="F144" s="10" t="s">
        <v>31</v>
      </c>
      <c r="G144" s="10" t="s">
        <v>31</v>
      </c>
      <c r="H144" s="10" t="s">
        <v>31</v>
      </c>
      <c r="I144" s="10" t="s">
        <v>31</v>
      </c>
      <c r="J144" s="38" t="s">
        <v>31</v>
      </c>
    </row>
    <row r="145" ht="15" customHeight="1">
      <c r="B145" s="37" t="s">
        <v>73</v>
      </c>
      <c r="C145" s="10" t="s">
        <v>31</v>
      </c>
      <c r="D145" s="10" t="s">
        <v>31</v>
      </c>
      <c r="E145" s="10" t="s">
        <v>31</v>
      </c>
      <c r="F145" s="10" t="s">
        <v>31</v>
      </c>
      <c r="G145" s="10" t="s">
        <v>31</v>
      </c>
      <c r="H145" s="10" t="s">
        <v>31</v>
      </c>
      <c r="I145" s="10" t="s">
        <v>31</v>
      </c>
      <c r="J145" s="38" t="s">
        <v>31</v>
      </c>
    </row>
    <row r="146" ht="15" customHeight="1">
      <c r="B146" s="37" t="s">
        <v>74</v>
      </c>
      <c r="C146" s="10" t="str">
        <f t="shared" si="25"/>
        <v>n/a</v>
      </c>
      <c r="D146" s="10" t="str">
        <f t="shared" si="25"/>
        <v>n/a</v>
      </c>
      <c r="E146" s="10" t="str">
        <f t="shared" si="25"/>
        <v>n/a</v>
      </c>
      <c r="F146" s="10" t="str">
        <f t="shared" si="25"/>
        <v>n/a</v>
      </c>
      <c r="G146" s="10" t="str">
        <f t="shared" si="25"/>
        <v>n/a</v>
      </c>
      <c r="H146" s="10" t="str">
        <f t="shared" si="25"/>
        <v>n/a</v>
      </c>
      <c r="I146" s="10" t="str">
        <f t="shared" si="25"/>
        <v>n/a</v>
      </c>
      <c r="J146" s="38" t="str">
        <f t="shared" si="25"/>
        <v>n/a</v>
      </c>
    </row>
    <row r="147" ht="15" customHeight="1">
      <c r="B147" s="43" t="s">
        <v>160</v>
      </c>
      <c r="C147" s="10">
        <f t="shared" si="41" ref="C147:J147">IF(AND(ISNUMBER(C126),C140&lt;&gt;0),C126/C140,"n/a")</f>
        <v>0.9494766224703419</v>
      </c>
      <c r="D147" s="10">
        <f t="shared" si="41"/>
        <v>0.9423859263331501</v>
      </c>
      <c r="E147" s="10">
        <f t="shared" si="41"/>
        <v>0.9413285086585681</v>
      </c>
      <c r="F147" s="10">
        <f t="shared" si="41"/>
        <v>0.9426152398871119</v>
      </c>
      <c r="G147" s="10">
        <f t="shared" si="41"/>
        <v>0.943427704752275</v>
      </c>
      <c r="H147" s="10">
        <f t="shared" si="41"/>
        <v>0.9416981297743436</v>
      </c>
      <c r="I147" s="10">
        <f t="shared" si="41"/>
        <v>0.9437314067148321</v>
      </c>
      <c r="J147" s="38">
        <f t="shared" si="41"/>
        <v>0.9459764822712834</v>
      </c>
    </row>
    <row r="148" ht="15" customHeight="1">
      <c r="B148" s="43" t="s">
        <v>161</v>
      </c>
      <c r="C148" s="10">
        <f t="shared" si="42" ref="C148:J148">C140*4/C47</f>
        <v>0.18323988056800528</v>
      </c>
      <c r="D148" s="10">
        <f t="shared" si="42"/>
        <v>0.17349172361499907</v>
      </c>
      <c r="E148" s="10">
        <f t="shared" si="42"/>
        <v>0.17248258567846197</v>
      </c>
      <c r="F148" s="10">
        <f t="shared" si="42"/>
        <v>0.17181186358493616</v>
      </c>
      <c r="G148" s="10">
        <f>G140/G47</f>
        <v>0.17403622381867853</v>
      </c>
      <c r="H148" s="10">
        <f t="shared" si="42"/>
        <v>0.16811945057459388</v>
      </c>
      <c r="I148" s="10">
        <f t="shared" si="42"/>
        <v>0.17352699329269866</v>
      </c>
      <c r="J148" s="38">
        <f t="shared" si="42"/>
        <v>0.17610225765988657</v>
      </c>
    </row>
    <row r="149" ht="15" customHeight="1">
      <c r="B149" s="37" t="s">
        <v>137</v>
      </c>
      <c r="C149" s="58" t="s">
        <v>31</v>
      </c>
      <c r="D149" s="58">
        <f t="shared" si="20"/>
        <v>-97.48156953006209</v>
      </c>
      <c r="E149" s="58">
        <f t="shared" si="20"/>
        <v>-10.091379365370912</v>
      </c>
      <c r="F149" s="58">
        <f t="shared" si="20"/>
        <v>-6.707220935258107</v>
      </c>
      <c r="G149" s="58" t="s">
        <v>31</v>
      </c>
      <c r="H149" s="58">
        <f t="shared" si="27"/>
        <v>-36.92413010342288</v>
      </c>
      <c r="I149" s="58">
        <f t="shared" si="20"/>
        <v>54.07542718104785</v>
      </c>
      <c r="J149" s="59">
        <f t="shared" si="20"/>
        <v>25.752643671879127</v>
      </c>
    </row>
    <row r="150" ht="15" customHeight="1">
      <c r="B150" s="37" t="s">
        <v>138</v>
      </c>
      <c r="C150" s="58" t="s">
        <v>31</v>
      </c>
      <c r="D150" s="58" t="s">
        <v>31</v>
      </c>
      <c r="E150" s="58" t="s">
        <v>31</v>
      </c>
      <c r="F150" s="58" t="s">
        <v>31</v>
      </c>
      <c r="G150" s="58" t="s">
        <v>31</v>
      </c>
      <c r="H150" s="58">
        <f t="shared" si="28"/>
        <v>-151.204299934114</v>
      </c>
      <c r="I150" s="58">
        <f t="shared" si="28"/>
        <v>0.35269677699595325</v>
      </c>
      <c r="J150" s="59">
        <f t="shared" si="28"/>
        <v>36.196719814245995</v>
      </c>
    </row>
    <row r="151" ht="15" customHeight="1">
      <c r="B151" s="43" t="s">
        <v>162</v>
      </c>
      <c r="C151" s="10">
        <f t="shared" si="43" ref="C151:J151">C126*4/C33</f>
        <v>0.18185098804456057</v>
      </c>
      <c r="D151" s="10">
        <f t="shared" si="43"/>
        <v>0.1733195826255763</v>
      </c>
      <c r="E151" s="10">
        <f t="shared" si="43"/>
        <v>0.17336665476615495</v>
      </c>
      <c r="F151" s="10">
        <f t="shared" si="43"/>
        <v>0.17274440582867398</v>
      </c>
      <c r="G151" s="10">
        <f>G126/G33</f>
        <v>0.17433343921077707</v>
      </c>
      <c r="H151" s="10">
        <f t="shared" si="43"/>
        <v>0.16887370293974083</v>
      </c>
      <c r="I151" s="10">
        <f t="shared" si="43"/>
        <v>0.17442120765832106</v>
      </c>
      <c r="J151" s="38">
        <f t="shared" si="43"/>
        <v>0.17704741646978098</v>
      </c>
    </row>
    <row r="152" ht="15" customHeight="1">
      <c r="B152" s="37" t="s">
        <v>137</v>
      </c>
      <c r="C152" s="58" t="s">
        <v>31</v>
      </c>
      <c r="D152" s="58">
        <f t="shared" si="20"/>
        <v>-85.31405418984257</v>
      </c>
      <c r="E152" s="58">
        <f t="shared" si="20"/>
        <v>0.47072140578641175</v>
      </c>
      <c r="F152" s="58">
        <f t="shared" si="20"/>
        <v>-6.2224893748097365</v>
      </c>
      <c r="G152" s="58" t="s">
        <v>31</v>
      </c>
      <c r="H152" s="58">
        <f t="shared" si="27"/>
        <v>-38.70702888933153</v>
      </c>
      <c r="I152" s="58">
        <f t="shared" si="20"/>
        <v>55.47504718580232</v>
      </c>
      <c r="J152" s="59">
        <f t="shared" si="20"/>
        <v>26.26208811459918</v>
      </c>
    </row>
    <row r="153" ht="15" customHeight="1">
      <c r="B153" s="37" t="s">
        <v>138</v>
      </c>
      <c r="C153" s="58" t="s">
        <v>31</v>
      </c>
      <c r="D153" s="58" t="s">
        <v>31</v>
      </c>
      <c r="E153" s="58" t="s">
        <v>31</v>
      </c>
      <c r="F153" s="58" t="s">
        <v>31</v>
      </c>
      <c r="G153" s="58" t="s">
        <v>31</v>
      </c>
      <c r="H153" s="58">
        <f t="shared" si="28"/>
        <v>-129.77285104819742</v>
      </c>
      <c r="I153" s="58">
        <f t="shared" si="28"/>
        <v>11.016250327447462</v>
      </c>
      <c r="J153" s="59">
        <f t="shared" si="28"/>
        <v>36.80761703626023</v>
      </c>
    </row>
    <row r="154" ht="15" customHeight="1">
      <c r="B154" s="35" t="s">
        <v>163</v>
      </c>
    </row>
    <row r="155" ht="15" customHeight="1">
      <c r="B155" s="43" t="s">
        <v>164</v>
      </c>
      <c r="C155" s="20">
        <v>0.0619</v>
      </c>
      <c r="D155" s="20">
        <v>0.0525</v>
      </c>
      <c r="E155" s="20">
        <v>0.0463</v>
      </c>
      <c r="F155" s="20">
        <v>0.0493</v>
      </c>
      <c r="G155" s="20">
        <v>0.0512</v>
      </c>
      <c r="H155" s="20">
        <v>0.051</v>
      </c>
      <c r="I155" s="20">
        <v>0.0471</v>
      </c>
      <c r="J155" s="38">
        <f>SUM(J158:J160)*4/J33</f>
        <v>0.041126310064681315</v>
      </c>
      <c r="K155" s="40" t="s">
        <v>165</v>
      </c>
    </row>
    <row r="156" ht="15" customHeight="1">
      <c r="B156" s="37" t="s">
        <v>137</v>
      </c>
      <c r="C156" s="58" t="s">
        <v>31</v>
      </c>
      <c r="D156" s="58">
        <f t="shared" si="20"/>
        <v>-93.99999999999999</v>
      </c>
      <c r="E156" s="58">
        <f t="shared" si="20"/>
        <v>-61.99999999999997</v>
      </c>
      <c r="F156" s="58">
        <f t="shared" si="20"/>
        <v>29.999999999999957</v>
      </c>
      <c r="G156" s="58" t="s">
        <v>31</v>
      </c>
      <c r="H156" s="58">
        <f t="shared" si="27"/>
        <v>17</v>
      </c>
      <c r="I156" s="58">
        <f t="shared" si="20"/>
        <v>-38.999999999999936</v>
      </c>
      <c r="J156" s="59">
        <f t="shared" si="20"/>
        <v>-59.73689935318688</v>
      </c>
    </row>
    <row r="157" ht="15" customHeight="1">
      <c r="B157" s="37" t="s">
        <v>138</v>
      </c>
      <c r="C157" s="58" t="s">
        <v>31</v>
      </c>
      <c r="D157" s="58" t="s">
        <v>31</v>
      </c>
      <c r="E157" s="58" t="s">
        <v>31</v>
      </c>
      <c r="F157" s="58" t="s">
        <v>31</v>
      </c>
      <c r="G157" s="58" t="s">
        <v>31</v>
      </c>
      <c r="H157" s="58">
        <f t="shared" si="28"/>
        <v>-109</v>
      </c>
      <c r="I157" s="58">
        <f t="shared" si="28"/>
        <v>-53.99999999999995</v>
      </c>
      <c r="J157" s="59">
        <f t="shared" si="28"/>
        <v>-51.73689935318686</v>
      </c>
    </row>
    <row r="158" ht="15" customHeight="1">
      <c r="B158" s="55" t="s">
        <v>166</v>
      </c>
      <c r="J158" s="39">
        <v>881</v>
      </c>
      <c r="K158" s="40" t="s">
        <v>125</v>
      </c>
    </row>
    <row r="159" ht="15" customHeight="1">
      <c r="B159" s="55" t="s">
        <v>167</v>
      </c>
      <c r="J159" s="39">
        <v>892</v>
      </c>
      <c r="K159" s="40" t="s">
        <v>127</v>
      </c>
    </row>
    <row r="160" ht="15" customHeight="1">
      <c r="B160" s="55" t="s">
        <v>168</v>
      </c>
      <c r="J160" s="39">
        <v>880</v>
      </c>
      <c r="K160" s="40" t="s">
        <v>129</v>
      </c>
    </row>
    <row r="161" ht="15" customHeight="1">
      <c r="B161" s="37" t="s">
        <v>137</v>
      </c>
      <c r="C161" s="58" t="s">
        <v>31</v>
      </c>
      <c r="D161" s="58">
        <f t="shared" si="44" ref="D161:J161">IF(AND(ISNUMBER(D155),ISNUMBER(C155)),(D155-C155)*10000,"n/a")</f>
        <v>-93.99999999999999</v>
      </c>
      <c r="E161" s="58">
        <f t="shared" si="44"/>
        <v>-61.99999999999997</v>
      </c>
      <c r="F161" s="58">
        <f t="shared" si="44"/>
        <v>29.999999999999957</v>
      </c>
      <c r="G161" s="58" t="s">
        <v>31</v>
      </c>
      <c r="H161" s="58">
        <f>IF(AND(ISNUMBER(H155),ISNUMBER(F155)),(H155-F155)*10000,"n/a")</f>
        <v>17</v>
      </c>
      <c r="I161" s="58">
        <f t="shared" si="44"/>
        <v>-38.999999999999936</v>
      </c>
      <c r="J161" s="59">
        <f t="shared" si="44"/>
        <v>-59.73689935318688</v>
      </c>
    </row>
    <row r="162" ht="15" customHeight="1">
      <c r="B162" s="37" t="s">
        <v>138</v>
      </c>
      <c r="C162" s="58" t="s">
        <v>31</v>
      </c>
      <c r="D162" s="58" t="s">
        <v>31</v>
      </c>
      <c r="E162" s="58" t="s">
        <v>31</v>
      </c>
      <c r="F162" s="58" t="s">
        <v>31</v>
      </c>
      <c r="G162" s="58" t="s">
        <v>31</v>
      </c>
      <c r="H162" s="58">
        <f t="shared" si="45" ref="H162:J162">IF(AND(ISNUMBER(H155),ISNUMBER(C155)),(H155-C155)*10000,"n/a")</f>
        <v>-109</v>
      </c>
      <c r="I162" s="58">
        <f t="shared" si="45"/>
        <v>-53.99999999999995</v>
      </c>
      <c r="J162" s="59">
        <f t="shared" si="45"/>
        <v>-51.73689935318686</v>
      </c>
    </row>
    <row r="163" ht="15" customHeight="1">
      <c r="B163" s="43" t="s">
        <v>169</v>
      </c>
      <c r="C163" s="10" t="s">
        <v>31</v>
      </c>
      <c r="D163" s="20">
        <v>0.0347</v>
      </c>
      <c r="E163" s="20">
        <v>0.0381</v>
      </c>
      <c r="F163" s="20">
        <v>0.0408</v>
      </c>
      <c r="G163" s="20">
        <v>0.0383</v>
      </c>
      <c r="H163" s="20">
        <v>0.0381</v>
      </c>
      <c r="I163" s="20">
        <v>0.0377</v>
      </c>
      <c r="J163" s="56">
        <v>0.038</v>
      </c>
      <c r="K163" s="40" t="s">
        <v>106</v>
      </c>
    </row>
    <row r="164" ht="15" customHeight="1">
      <c r="B164" s="37" t="s">
        <v>137</v>
      </c>
      <c r="C164" s="58" t="s">
        <v>31</v>
      </c>
      <c r="D164" s="58" t="str">
        <f t="shared" si="20"/>
        <v>n/a</v>
      </c>
      <c r="E164" s="58">
        <f t="shared" si="20"/>
        <v>34</v>
      </c>
      <c r="F164" s="58">
        <f t="shared" si="20"/>
        <v>27.00000000000001</v>
      </c>
      <c r="G164" s="58" t="s">
        <v>31</v>
      </c>
      <c r="H164" s="58">
        <f t="shared" si="27"/>
        <v>-27.00000000000001</v>
      </c>
      <c r="I164" s="58">
        <f t="shared" si="20"/>
        <v>-4.000000000000045</v>
      </c>
      <c r="J164" s="59">
        <f t="shared" si="20"/>
        <v>3.0000000000000164</v>
      </c>
    </row>
    <row r="165" ht="15" customHeight="1">
      <c r="B165" s="37" t="s">
        <v>138</v>
      </c>
      <c r="C165" s="58" t="s">
        <v>31</v>
      </c>
      <c r="D165" s="58" t="s">
        <v>31</v>
      </c>
      <c r="E165" s="58" t="s">
        <v>31</v>
      </c>
      <c r="F165" s="58" t="s">
        <v>31</v>
      </c>
      <c r="G165" s="58" t="s">
        <v>31</v>
      </c>
      <c r="H165" s="58" t="str">
        <f t="shared" si="28"/>
        <v>n/a</v>
      </c>
      <c r="I165" s="58">
        <f t="shared" si="28"/>
        <v>29.999999999999957</v>
      </c>
      <c r="J165" s="59">
        <f t="shared" si="28"/>
        <v>-1.0000000000000286</v>
      </c>
    </row>
    <row r="166" ht="15" customHeight="1">
      <c r="B166" s="43" t="s">
        <v>170</v>
      </c>
      <c r="C166" s="20">
        <v>0.0502</v>
      </c>
      <c r="D166" s="20">
        <v>0.0517</v>
      </c>
      <c r="E166" s="20">
        <v>0.0507</v>
      </c>
      <c r="F166" s="20">
        <v>0.0529</v>
      </c>
      <c r="G166" s="20">
        <v>0.0514</v>
      </c>
      <c r="H166" s="20">
        <v>0.0465</v>
      </c>
      <c r="I166" s="20">
        <v>0.0582</v>
      </c>
      <c r="J166" s="56">
        <v>0.053</v>
      </c>
      <c r="K166" s="40" t="s">
        <v>106</v>
      </c>
    </row>
    <row r="167" ht="15" customHeight="1">
      <c r="B167" s="37" t="s">
        <v>137</v>
      </c>
      <c r="C167" s="58" t="s">
        <v>31</v>
      </c>
      <c r="D167" s="58">
        <f t="shared" si="20"/>
        <v>15.000000000000014</v>
      </c>
      <c r="E167" s="58">
        <f t="shared" si="20"/>
        <v>-10.000000000000009</v>
      </c>
      <c r="F167" s="58">
        <f t="shared" si="20"/>
        <v>22.000000000000007</v>
      </c>
      <c r="G167" s="58" t="s">
        <v>31</v>
      </c>
      <c r="H167" s="58">
        <f t="shared" si="27"/>
        <v>-64.00000000000003</v>
      </c>
      <c r="I167" s="58">
        <f t="shared" si="20"/>
        <v>117.00000000000001</v>
      </c>
      <c r="J167" s="59">
        <f t="shared" si="20"/>
        <v>-52.000000000000036</v>
      </c>
    </row>
    <row r="168" ht="15" customHeight="1">
      <c r="B168" s="37" t="s">
        <v>138</v>
      </c>
      <c r="C168" s="58" t="s">
        <v>31</v>
      </c>
      <c r="D168" s="58" t="s">
        <v>31</v>
      </c>
      <c r="E168" s="58" t="s">
        <v>31</v>
      </c>
      <c r="F168" s="58" t="s">
        <v>31</v>
      </c>
      <c r="G168" s="58" t="s">
        <v>31</v>
      </c>
      <c r="H168" s="58">
        <f t="shared" si="28"/>
        <v>-37.00000000000002</v>
      </c>
      <c r="I168" s="58">
        <f t="shared" si="28"/>
        <v>64.99999999999999</v>
      </c>
      <c r="J168" s="59">
        <f t="shared" si="28"/>
        <v>22.999999999999964</v>
      </c>
    </row>
    <row r="169" ht="15" customHeight="1">
      <c r="B169" s="24" t="s">
        <v>171</v>
      </c>
      <c r="C169" s="9">
        <f t="shared" si="46" ref="C169:J169">IF(ISNUMBER(C155),C155*C33/4,0)</f>
        <v>2315.663525</v>
      </c>
      <c r="D169" s="9">
        <f t="shared" si="46"/>
        <v>2596.23</v>
      </c>
      <c r="E169" s="9">
        <f t="shared" si="46"/>
        <v>2917.94175</v>
      </c>
      <c r="F169" s="9">
        <f t="shared" si="46"/>
        <v>3145.5988249999996</v>
      </c>
      <c r="G169" s="9">
        <f t="shared" si="23"/>
        <v>10975.434099999999</v>
      </c>
      <c r="H169" s="9">
        <f t="shared" si="46"/>
        <v>3238.959</v>
      </c>
      <c r="I169" s="9">
        <f t="shared" si="46"/>
        <v>2998.2093750000004</v>
      </c>
      <c r="J169" s="54">
        <f t="shared" si="46"/>
        <v>2653</v>
      </c>
    </row>
    <row r="170" ht="15" customHeight="1">
      <c r="B170" s="37" t="s">
        <v>75</v>
      </c>
      <c r="C170" s="10" t="s">
        <v>31</v>
      </c>
      <c r="D170" s="10" t="s">
        <v>31</v>
      </c>
      <c r="E170" s="10" t="s">
        <v>31</v>
      </c>
      <c r="F170" s="10" t="s">
        <v>31</v>
      </c>
      <c r="G170" s="10" t="s">
        <v>31</v>
      </c>
      <c r="H170" s="10">
        <f t="shared" si="0"/>
        <v>0.39871745831467464</v>
      </c>
      <c r="I170" s="10">
        <f t="shared" si="0"/>
        <v>0.1548319582625577</v>
      </c>
      <c r="J170" s="38">
        <f t="shared" si="0"/>
        <v>-0.09079747736568078</v>
      </c>
    </row>
    <row r="171" ht="15" customHeight="1">
      <c r="B171" s="37" t="s">
        <v>92</v>
      </c>
      <c r="C171" s="50" t="s">
        <v>31</v>
      </c>
      <c r="D171" s="50">
        <f t="shared" si="1"/>
        <v>280.5664750000001</v>
      </c>
      <c r="E171" s="50">
        <f t="shared" si="1"/>
        <v>321.71174999999994</v>
      </c>
      <c r="F171" s="50">
        <f t="shared" si="1"/>
        <v>227.65707499999962</v>
      </c>
      <c r="G171" s="50" t="s">
        <v>31</v>
      </c>
      <c r="H171" s="50">
        <f t="shared" si="3"/>
        <v>93.36017500000025</v>
      </c>
      <c r="I171" s="50">
        <f t="shared" si="1"/>
        <v>-240.74962499999947</v>
      </c>
      <c r="J171" s="51">
        <f t="shared" si="1"/>
        <v>-345.20937500000036</v>
      </c>
    </row>
    <row r="172" ht="15" customHeight="1">
      <c r="B172" s="24" t="s">
        <v>172</v>
      </c>
      <c r="C172" s="9">
        <f t="shared" si="47" ref="C172:J175">IF(ISNUMBER(C163),C163*C41/4,0)</f>
        <v>0</v>
      </c>
      <c r="D172" s="9">
        <f t="shared" si="47"/>
        <v>41.44915</v>
      </c>
      <c r="E172" s="9">
        <f t="shared" si="47"/>
        <v>92.421075</v>
      </c>
      <c r="F172" s="9">
        <f t="shared" si="47"/>
        <v>98.1036</v>
      </c>
      <c r="G172" s="9">
        <f t="shared" si="23"/>
        <v>231.973825</v>
      </c>
      <c r="H172" s="9">
        <f t="shared" si="47"/>
        <v>88.67775</v>
      </c>
      <c r="I172" s="9">
        <f t="shared" si="47"/>
        <v>83.56205</v>
      </c>
      <c r="J172" s="54">
        <f t="shared" si="47"/>
        <v>79.8</v>
      </c>
    </row>
    <row r="173" ht="15" customHeight="1">
      <c r="B173" s="37" t="s">
        <v>75</v>
      </c>
      <c r="C173" s="10" t="s">
        <v>31</v>
      </c>
      <c r="D173" s="10" t="s">
        <v>31</v>
      </c>
      <c r="E173" s="10" t="s">
        <v>31</v>
      </c>
      <c r="F173" s="10" t="s">
        <v>31</v>
      </c>
      <c r="G173" s="10" t="s">
        <v>31</v>
      </c>
      <c r="H173" s="10" t="str">
        <f t="shared" si="0"/>
        <v>n/m</v>
      </c>
      <c r="I173" s="10">
        <f t="shared" si="0"/>
        <v>1.016013597383782</v>
      </c>
      <c r="J173" s="38">
        <f t="shared" si="0"/>
        <v>-0.13656057344063577</v>
      </c>
    </row>
    <row r="174" ht="15" customHeight="1">
      <c r="B174" s="37" t="s">
        <v>92</v>
      </c>
      <c r="C174" s="50" t="s">
        <v>31</v>
      </c>
      <c r="D174" s="50">
        <f t="shared" si="1"/>
        <v>41.44915</v>
      </c>
      <c r="E174" s="50">
        <f t="shared" si="1"/>
        <v>50.971925</v>
      </c>
      <c r="F174" s="50">
        <f t="shared" si="1"/>
        <v>5.682524999999998</v>
      </c>
      <c r="G174" s="50" t="s">
        <v>31</v>
      </c>
      <c r="H174" s="50">
        <f t="shared" si="3"/>
        <v>-9.425849999999997</v>
      </c>
      <c r="I174" s="50">
        <f t="shared" si="1"/>
        <v>-5.115700000000004</v>
      </c>
      <c r="J174" s="51">
        <f t="shared" si="1"/>
        <v>-3.762050000000002</v>
      </c>
    </row>
    <row r="175" ht="15" customHeight="1">
      <c r="B175" s="24" t="s">
        <v>173</v>
      </c>
      <c r="C175" s="9">
        <f t="shared" si="47"/>
        <v>84.9384</v>
      </c>
      <c r="D175" s="9">
        <f t="shared" si="47"/>
        <v>91.85797500000001</v>
      </c>
      <c r="E175" s="9">
        <f t="shared" si="47"/>
        <v>93.56685</v>
      </c>
      <c r="F175" s="9">
        <f t="shared" si="47"/>
        <v>97.719525</v>
      </c>
      <c r="G175" s="9">
        <f t="shared" si="23"/>
        <v>368.08275000000003</v>
      </c>
      <c r="H175" s="9">
        <f t="shared" si="47"/>
        <v>88.6755</v>
      </c>
      <c r="I175" s="9">
        <f t="shared" si="47"/>
        <v>112.12230000000001</v>
      </c>
      <c r="J175" s="54">
        <f t="shared" si="47"/>
        <v>103.35</v>
      </c>
    </row>
    <row r="176" ht="15" customHeight="1">
      <c r="B176" s="37" t="s">
        <v>75</v>
      </c>
      <c r="C176" s="10" t="s">
        <v>31</v>
      </c>
      <c r="D176" s="10" t="s">
        <v>31</v>
      </c>
      <c r="E176" s="10" t="s">
        <v>31</v>
      </c>
      <c r="F176" s="10" t="s">
        <v>31</v>
      </c>
      <c r="G176" s="10" t="s">
        <v>31</v>
      </c>
      <c r="H176" s="10">
        <f t="shared" si="0"/>
        <v>0.04399776779407194</v>
      </c>
      <c r="I176" s="10">
        <f t="shared" si="0"/>
        <v>0.2206049610825842</v>
      </c>
      <c r="J176" s="38">
        <f t="shared" si="0"/>
        <v>0.10455786424358626</v>
      </c>
    </row>
    <row r="177" ht="15" customHeight="1">
      <c r="B177" s="37" t="s">
        <v>92</v>
      </c>
      <c r="C177" s="50" t="s">
        <v>31</v>
      </c>
      <c r="D177" s="50">
        <f t="shared" si="1"/>
        <v>6.919575000000009</v>
      </c>
      <c r="E177" s="50">
        <f t="shared" si="1"/>
        <v>1.708874999999992</v>
      </c>
      <c r="F177" s="50">
        <f t="shared" si="1"/>
        <v>4.152675000000002</v>
      </c>
      <c r="G177" s="50" t="s">
        <v>31</v>
      </c>
      <c r="H177" s="50">
        <f t="shared" si="3"/>
        <v>-9.044025000000005</v>
      </c>
      <c r="I177" s="50">
        <f t="shared" si="1"/>
        <v>23.44680000000001</v>
      </c>
      <c r="J177" s="51">
        <f t="shared" si="1"/>
        <v>-8.772300000000016</v>
      </c>
    </row>
    <row r="178" ht="15" customHeight="1">
      <c r="B178" s="4" t="s">
        <v>174</v>
      </c>
      <c r="C178" s="41">
        <f t="shared" si="48" ref="C178:J200">C169+C172+C175</f>
        <v>2400.601925</v>
      </c>
      <c r="D178" s="41">
        <f t="shared" si="48"/>
        <v>2729.537125</v>
      </c>
      <c r="E178" s="41">
        <f t="shared" si="48"/>
        <v>3103.9296750000003</v>
      </c>
      <c r="F178" s="41">
        <f t="shared" si="48"/>
        <v>3341.4219499999995</v>
      </c>
      <c r="G178" s="41">
        <f t="shared" si="48"/>
        <v>11575.490674999997</v>
      </c>
      <c r="H178" s="41">
        <f t="shared" si="48"/>
        <v>3416.3122499999995</v>
      </c>
      <c r="I178" s="41">
        <f t="shared" si="48"/>
        <v>3193.8937250000004</v>
      </c>
      <c r="J178" s="42">
        <f t="shared" si="48"/>
        <v>2836.15</v>
      </c>
    </row>
    <row r="179" ht="15" customHeight="1">
      <c r="B179" s="37" t="s">
        <v>75</v>
      </c>
      <c r="C179" s="10" t="s">
        <v>31</v>
      </c>
      <c r="D179" s="10" t="s">
        <v>31</v>
      </c>
      <c r="E179" s="10" t="s">
        <v>31</v>
      </c>
      <c r="F179" s="10" t="s">
        <v>31</v>
      </c>
      <c r="G179" s="10" t="s">
        <v>31</v>
      </c>
      <c r="H179" s="10">
        <f t="shared" si="0"/>
        <v>0.423106519420124</v>
      </c>
      <c r="I179" s="10">
        <f t="shared" si="0"/>
        <v>0.17012283721914967</v>
      </c>
      <c r="J179" s="38">
        <f t="shared" si="0"/>
        <v>-0.08627117977471577</v>
      </c>
    </row>
    <row r="180" ht="15" customHeight="1">
      <c r="B180" s="37" t="s">
        <v>92</v>
      </c>
      <c r="C180" s="50" t="s">
        <v>31</v>
      </c>
      <c r="D180" s="50">
        <f t="shared" si="1"/>
        <v>328.9351999999999</v>
      </c>
      <c r="E180" s="50">
        <f t="shared" si="1"/>
        <v>374.3925500000005</v>
      </c>
      <c r="F180" s="50">
        <f t="shared" si="1"/>
        <v>237.49227499999915</v>
      </c>
      <c r="G180" s="50" t="s">
        <v>31</v>
      </c>
      <c r="H180" s="50">
        <f t="shared" si="3"/>
        <v>74.89030000000002</v>
      </c>
      <c r="I180" s="50">
        <f t="shared" si="1"/>
        <v>-222.41852499999914</v>
      </c>
      <c r="J180" s="51">
        <f t="shared" si="1"/>
        <v>-357.74372500000027</v>
      </c>
    </row>
    <row r="181" ht="15" customHeight="1">
      <c r="B181" s="43" t="s">
        <v>175</v>
      </c>
      <c r="C181" s="10">
        <f t="shared" si="49" ref="C181:J181">C178*4/C47</f>
        <v>0.06139372086927056</v>
      </c>
      <c r="D181" s="10">
        <f t="shared" si="49"/>
        <v>0.05206730076826598</v>
      </c>
      <c r="E181" s="10">
        <f t="shared" si="49"/>
        <v>0.046125081081081085</v>
      </c>
      <c r="F181" s="10">
        <f t="shared" si="49"/>
        <v>0.049097402912264713</v>
      </c>
      <c r="G181" s="10">
        <f>G178/G47</f>
        <v>0.05092403149457345</v>
      </c>
      <c r="H181" s="10">
        <f t="shared" si="49"/>
        <v>0.05043011137599917</v>
      </c>
      <c r="I181" s="10">
        <f t="shared" si="49"/>
        <v>0.047108098172177426</v>
      </c>
      <c r="J181" s="38">
        <f t="shared" si="49"/>
        <v>0.04136827020200485</v>
      </c>
    </row>
    <row r="182" ht="15" customHeight="1">
      <c r="B182" s="37" t="s">
        <v>137</v>
      </c>
      <c r="C182" s="58" t="s">
        <v>31</v>
      </c>
      <c r="D182" s="58">
        <f t="shared" si="20"/>
        <v>-93.26420101004575</v>
      </c>
      <c r="E182" s="58">
        <f t="shared" si="20"/>
        <v>-59.42219687184898</v>
      </c>
      <c r="F182" s="58">
        <f t="shared" si="20"/>
        <v>29.723218311836288</v>
      </c>
      <c r="G182" s="58" t="s">
        <v>31</v>
      </c>
      <c r="H182" s="58">
        <f t="shared" si="27"/>
        <v>13.327084637344555</v>
      </c>
      <c r="I182" s="58">
        <f t="shared" si="20"/>
        <v>-33.22013203821743</v>
      </c>
      <c r="J182" s="59">
        <f t="shared" si="20"/>
        <v>-57.39827970172577</v>
      </c>
    </row>
    <row r="183" ht="15" customHeight="1">
      <c r="B183" s="37" t="s">
        <v>138</v>
      </c>
      <c r="C183" s="58" t="s">
        <v>31</v>
      </c>
      <c r="D183" s="58" t="s">
        <v>31</v>
      </c>
      <c r="E183" s="58" t="s">
        <v>31</v>
      </c>
      <c r="F183" s="58" t="s">
        <v>31</v>
      </c>
      <c r="G183" s="58" t="s">
        <v>31</v>
      </c>
      <c r="H183" s="58">
        <f t="shared" si="28"/>
        <v>-109.63609493271389</v>
      </c>
      <c r="I183" s="58">
        <f t="shared" si="28"/>
        <v>-49.592025960885564</v>
      </c>
      <c r="J183" s="59">
        <f t="shared" si="28"/>
        <v>-47.56810879076236</v>
      </c>
    </row>
    <row r="184" ht="15" customHeight="1">
      <c r="B184" s="43" t="s">
        <v>176</v>
      </c>
      <c r="C184" s="20">
        <v>0.0614</v>
      </c>
      <c r="D184" s="20">
        <v>0.052</v>
      </c>
      <c r="E184" s="20">
        <v>0.0461</v>
      </c>
      <c r="F184" s="20">
        <v>0.0491</v>
      </c>
      <c r="G184" s="20">
        <v>0.0509</v>
      </c>
      <c r="H184" s="20">
        <v>0.0505</v>
      </c>
      <c r="I184" s="20">
        <v>0.0471</v>
      </c>
      <c r="J184" s="38" t="s">
        <v>31</v>
      </c>
      <c r="K184" s="40" t="s">
        <v>106</v>
      </c>
    </row>
    <row r="185" ht="15" customHeight="1">
      <c r="B185" s="37" t="s">
        <v>137</v>
      </c>
      <c r="C185" s="58" t="s">
        <v>31</v>
      </c>
      <c r="D185" s="58">
        <f t="shared" si="20"/>
        <v>-94.00000000000006</v>
      </c>
      <c r="E185" s="58">
        <f t="shared" si="20"/>
        <v>-58.99999999999996</v>
      </c>
      <c r="F185" s="58">
        <f t="shared" si="20"/>
        <v>29.999999999999957</v>
      </c>
      <c r="G185" s="58" t="s">
        <v>31</v>
      </c>
      <c r="H185" s="58">
        <f t="shared" si="27"/>
        <v>14.000000000000053</v>
      </c>
      <c r="I185" s="58">
        <f t="shared" si="20"/>
        <v>-34</v>
      </c>
      <c r="J185" s="59" t="str">
        <f t="shared" si="20"/>
        <v>n/a</v>
      </c>
    </row>
    <row r="186" ht="15" customHeight="1">
      <c r="B186" s="37" t="s">
        <v>138</v>
      </c>
      <c r="C186" s="58" t="s">
        <v>31</v>
      </c>
      <c r="D186" s="58" t="s">
        <v>31</v>
      </c>
      <c r="E186" s="58" t="s">
        <v>31</v>
      </c>
      <c r="F186" s="58" t="s">
        <v>31</v>
      </c>
      <c r="G186" s="58" t="s">
        <v>31</v>
      </c>
      <c r="H186" s="58">
        <f t="shared" si="28"/>
        <v>-109</v>
      </c>
      <c r="I186" s="58">
        <f t="shared" si="28"/>
        <v>-48.99999999999994</v>
      </c>
      <c r="J186" s="59" t="str">
        <f t="shared" si="28"/>
        <v>n/a</v>
      </c>
    </row>
    <row r="187" ht="15" customHeight="1">
      <c r="B187" s="43" t="s">
        <v>177</v>
      </c>
      <c r="C187" s="20">
        <v>0.0425</v>
      </c>
      <c r="D187" s="20">
        <v>0.036</v>
      </c>
      <c r="E187" s="20">
        <v>0.0389</v>
      </c>
      <c r="F187" s="20">
        <v>0.0399</v>
      </c>
      <c r="G187" s="10">
        <f t="shared" si="2"/>
        <v>0.0399</v>
      </c>
      <c r="H187" s="20">
        <v>0.037</v>
      </c>
      <c r="I187" s="20">
        <v>0.0339</v>
      </c>
      <c r="J187" s="56">
        <v>0.0357</v>
      </c>
      <c r="K187" s="40" t="s">
        <v>178</v>
      </c>
    </row>
    <row r="188" ht="15" customHeight="1">
      <c r="B188" s="37" t="s">
        <v>137</v>
      </c>
      <c r="C188" s="58" t="s">
        <v>31</v>
      </c>
      <c r="D188" s="58">
        <f t="shared" si="20"/>
        <v>-65.00000000000006</v>
      </c>
      <c r="E188" s="58">
        <f t="shared" si="20"/>
        <v>28.999999999999996</v>
      </c>
      <c r="F188" s="58">
        <f t="shared" si="20"/>
        <v>10.000000000000009</v>
      </c>
      <c r="G188" s="58" t="s">
        <v>31</v>
      </c>
      <c r="H188" s="58">
        <f t="shared" si="27"/>
        <v>-28.999999999999996</v>
      </c>
      <c r="I188" s="58">
        <f t="shared" si="20"/>
        <v>-30.999999999999986</v>
      </c>
      <c r="J188" s="59">
        <f t="shared" si="20"/>
        <v>18.00000000000003</v>
      </c>
    </row>
    <row r="189" ht="15" customHeight="1">
      <c r="B189" s="37" t="s">
        <v>138</v>
      </c>
      <c r="C189" s="58" t="s">
        <v>31</v>
      </c>
      <c r="D189" s="58" t="s">
        <v>31</v>
      </c>
      <c r="E189" s="58" t="s">
        <v>31</v>
      </c>
      <c r="F189" s="58" t="s">
        <v>31</v>
      </c>
      <c r="G189" s="58" t="s">
        <v>31</v>
      </c>
      <c r="H189" s="58">
        <f t="shared" si="28"/>
        <v>-55.00000000000005</v>
      </c>
      <c r="I189" s="58">
        <f t="shared" si="28"/>
        <v>-20.99999999999998</v>
      </c>
      <c r="J189" s="59">
        <f t="shared" si="28"/>
        <v>-31.999999999999947</v>
      </c>
    </row>
    <row r="190" ht="15" customHeight="1">
      <c r="B190" s="35" t="s">
        <v>179</v>
      </c>
    </row>
    <row r="191" ht="15" customHeight="1">
      <c r="B191" s="24" t="s">
        <v>180</v>
      </c>
      <c r="C191" s="9" t="s">
        <v>31</v>
      </c>
      <c r="D191" s="9" t="s">
        <v>31</v>
      </c>
      <c r="E191" s="12">
        <v>18476</v>
      </c>
      <c r="F191" s="12">
        <v>18811</v>
      </c>
      <c r="G191" s="9">
        <f t="shared" si="2"/>
        <v>18811</v>
      </c>
      <c r="H191" s="12">
        <v>18806</v>
      </c>
      <c r="I191" s="12">
        <v>18101</v>
      </c>
      <c r="J191" s="54">
        <f t="shared" si="50" ref="J191:J197">J10*J203</f>
        <v>18210.56</v>
      </c>
      <c r="K191" s="40" t="s">
        <v>181</v>
      </c>
    </row>
    <row r="192" ht="15" customHeight="1">
      <c r="B192" s="37" t="s">
        <v>75</v>
      </c>
      <c r="C192" s="10" t="s">
        <v>31</v>
      </c>
      <c r="D192" s="10" t="s">
        <v>31</v>
      </c>
      <c r="E192" s="10" t="s">
        <v>31</v>
      </c>
      <c r="F192" s="10" t="s">
        <v>31</v>
      </c>
      <c r="G192" s="10" t="s">
        <v>31</v>
      </c>
      <c r="H192" s="10" t="str">
        <f t="shared" si="0"/>
        <v>n/a</v>
      </c>
      <c r="I192" s="10" t="str">
        <f t="shared" si="0"/>
        <v>n/a</v>
      </c>
      <c r="J192" s="38">
        <f t="shared" si="0"/>
        <v>-0.014366746048928292</v>
      </c>
    </row>
    <row r="193" ht="15" customHeight="1">
      <c r="B193" s="37" t="s">
        <v>92</v>
      </c>
      <c r="C193" s="50" t="s">
        <v>31</v>
      </c>
      <c r="D193" s="50" t="str">
        <f t="shared" si="1"/>
        <v>n/a</v>
      </c>
      <c r="E193" s="50" t="str">
        <f t="shared" si="1"/>
        <v>n/a</v>
      </c>
      <c r="F193" s="50">
        <f t="shared" si="1"/>
        <v>335</v>
      </c>
      <c r="G193" s="50" t="s">
        <v>31</v>
      </c>
      <c r="H193" s="50">
        <f t="shared" si="3"/>
        <v>-5</v>
      </c>
      <c r="I193" s="50">
        <f t="shared" si="1"/>
        <v>-705</v>
      </c>
      <c r="J193" s="51">
        <f t="shared" si="1"/>
        <v>109.56000000000131</v>
      </c>
    </row>
    <row r="194" ht="15" customHeight="1">
      <c r="B194" s="24" t="s">
        <v>182</v>
      </c>
      <c r="C194" s="9" t="s">
        <v>31</v>
      </c>
      <c r="D194" s="9" t="s">
        <v>31</v>
      </c>
      <c r="E194" s="12">
        <v>767</v>
      </c>
      <c r="F194" s="12">
        <v>731</v>
      </c>
      <c r="G194" s="9">
        <f t="shared" si="2"/>
        <v>731</v>
      </c>
      <c r="H194" s="12">
        <v>702</v>
      </c>
      <c r="I194" s="12">
        <v>656</v>
      </c>
      <c r="J194" s="54">
        <f t="shared" si="50"/>
        <v>624.02</v>
      </c>
      <c r="K194" s="40" t="s">
        <v>181</v>
      </c>
    </row>
    <row r="195" ht="15" customHeight="1">
      <c r="B195" s="37" t="s">
        <v>75</v>
      </c>
      <c r="C195" s="10" t="s">
        <v>31</v>
      </c>
      <c r="D195" s="10" t="s">
        <v>31</v>
      </c>
      <c r="E195" s="10" t="s">
        <v>31</v>
      </c>
      <c r="F195" s="10" t="s">
        <v>31</v>
      </c>
      <c r="G195" s="10" t="s">
        <v>31</v>
      </c>
      <c r="H195" s="10" t="str">
        <f t="shared" si="0"/>
        <v>n/a</v>
      </c>
      <c r="I195" s="10" t="str">
        <f t="shared" si="0"/>
        <v>n/a</v>
      </c>
      <c r="J195" s="38">
        <f t="shared" si="0"/>
        <v>-0.18641460234680574</v>
      </c>
    </row>
    <row r="196" ht="15" customHeight="1">
      <c r="B196" s="37" t="s">
        <v>92</v>
      </c>
      <c r="C196" s="50" t="s">
        <v>31</v>
      </c>
      <c r="D196" s="50" t="str">
        <f t="shared" si="1"/>
        <v>n/a</v>
      </c>
      <c r="E196" s="50" t="str">
        <f t="shared" si="1"/>
        <v>n/a</v>
      </c>
      <c r="F196" s="50">
        <f t="shared" si="1"/>
        <v>-36</v>
      </c>
      <c r="G196" s="50" t="s">
        <v>31</v>
      </c>
      <c r="H196" s="50">
        <f t="shared" si="3"/>
        <v>-29</v>
      </c>
      <c r="I196" s="50">
        <f t="shared" si="1"/>
        <v>-46</v>
      </c>
      <c r="J196" s="51">
        <f t="shared" si="1"/>
        <v>-31.980000000000018</v>
      </c>
    </row>
    <row r="197" ht="15" customHeight="1">
      <c r="B197" s="24" t="s">
        <v>183</v>
      </c>
      <c r="C197" s="9" t="s">
        <v>31</v>
      </c>
      <c r="D197" s="9" t="s">
        <v>31</v>
      </c>
      <c r="E197" s="12">
        <v>484</v>
      </c>
      <c r="F197" s="12">
        <v>524</v>
      </c>
      <c r="G197" s="9">
        <f t="shared" si="2"/>
        <v>524</v>
      </c>
      <c r="H197" s="12">
        <v>541</v>
      </c>
      <c r="I197" s="12">
        <v>572</v>
      </c>
      <c r="J197" s="54">
        <f t="shared" si="50"/>
        <v>576.975</v>
      </c>
      <c r="K197" s="40" t="s">
        <v>181</v>
      </c>
    </row>
    <row r="198" ht="15" customHeight="1">
      <c r="B198" s="37" t="s">
        <v>75</v>
      </c>
      <c r="C198" s="10" t="s">
        <v>31</v>
      </c>
      <c r="D198" s="10" t="s">
        <v>31</v>
      </c>
      <c r="E198" s="10" t="s">
        <v>31</v>
      </c>
      <c r="F198" s="10" t="s">
        <v>31</v>
      </c>
      <c r="G198" s="10" t="s">
        <v>31</v>
      </c>
      <c r="H198" s="10" t="str">
        <f t="shared" si="0"/>
        <v>n/a</v>
      </c>
      <c r="I198" s="10" t="str">
        <f t="shared" si="0"/>
        <v>n/a</v>
      </c>
      <c r="J198" s="38">
        <f t="shared" si="0"/>
        <v>0.19209710743801667</v>
      </c>
    </row>
    <row r="199" ht="15" customHeight="1">
      <c r="B199" s="37" t="s">
        <v>92</v>
      </c>
      <c r="C199" s="50" t="s">
        <v>31</v>
      </c>
      <c r="D199" s="50" t="str">
        <f t="shared" si="1"/>
        <v>n/a</v>
      </c>
      <c r="E199" s="50" t="str">
        <f t="shared" si="1"/>
        <v>n/a</v>
      </c>
      <c r="F199" s="50">
        <f t="shared" si="1"/>
        <v>40</v>
      </c>
      <c r="G199" s="50" t="s">
        <v>31</v>
      </c>
      <c r="H199" s="50">
        <f t="shared" si="3"/>
        <v>17</v>
      </c>
      <c r="I199" s="50">
        <f t="shared" si="1"/>
        <v>31</v>
      </c>
      <c r="J199" s="51">
        <f t="shared" si="1"/>
        <v>4.975000000000023</v>
      </c>
    </row>
    <row r="200" ht="15" customHeight="1">
      <c r="B200" s="4" t="s">
        <v>184</v>
      </c>
      <c r="C200" s="41" t="s">
        <v>31</v>
      </c>
      <c r="D200" s="41" t="s">
        <v>31</v>
      </c>
      <c r="E200" s="41">
        <f t="shared" si="48"/>
        <v>19727</v>
      </c>
      <c r="F200" s="41">
        <f t="shared" si="48"/>
        <v>20066</v>
      </c>
      <c r="G200" s="41">
        <f t="shared" si="48"/>
        <v>20066</v>
      </c>
      <c r="H200" s="41">
        <f t="shared" si="48"/>
        <v>20049</v>
      </c>
      <c r="I200" s="41">
        <f t="shared" si="48"/>
        <v>19329</v>
      </c>
      <c r="J200" s="42">
        <f t="shared" si="48"/>
        <v>19411.555</v>
      </c>
    </row>
    <row r="201" ht="15" customHeight="1">
      <c r="B201" s="37" t="s">
        <v>75</v>
      </c>
      <c r="C201" s="10" t="s">
        <v>31</v>
      </c>
      <c r="D201" s="10" t="s">
        <v>31</v>
      </c>
      <c r="E201" s="10" t="s">
        <v>31</v>
      </c>
      <c r="F201" s="10" t="s">
        <v>31</v>
      </c>
      <c r="G201" s="10" t="s">
        <v>31</v>
      </c>
      <c r="H201" s="10" t="str">
        <f t="shared" si="0"/>
        <v>n/a</v>
      </c>
      <c r="I201" s="10" t="str">
        <f t="shared" si="0"/>
        <v>n/a</v>
      </c>
      <c r="J201" s="38">
        <f t="shared" si="0"/>
        <v>-0.015990520606275593</v>
      </c>
    </row>
    <row r="202" ht="15" customHeight="1">
      <c r="B202" s="37" t="s">
        <v>92</v>
      </c>
      <c r="C202" s="50" t="s">
        <v>31</v>
      </c>
      <c r="D202" s="50" t="str">
        <f t="shared" si="1"/>
        <v>n/a</v>
      </c>
      <c r="E202" s="50" t="str">
        <f t="shared" si="1"/>
        <v>n/a</v>
      </c>
      <c r="F202" s="50">
        <f t="shared" si="1"/>
        <v>339</v>
      </c>
      <c r="G202" s="50" t="s">
        <v>31</v>
      </c>
      <c r="H202" s="50">
        <f t="shared" si="3"/>
        <v>-17</v>
      </c>
      <c r="I202" s="50">
        <f t="shared" si="1"/>
        <v>-720</v>
      </c>
      <c r="J202" s="51">
        <f t="shared" si="1"/>
        <v>82.55500000000029</v>
      </c>
    </row>
    <row r="203" ht="15" customHeight="1">
      <c r="B203" s="37" t="s">
        <v>185</v>
      </c>
      <c r="C203" s="10" t="s">
        <v>31</v>
      </c>
      <c r="D203" s="10" t="s">
        <v>31</v>
      </c>
      <c r="E203" s="10">
        <f t="shared" si="51" ref="E203:J212">E191/E10</f>
        <v>0.07275419273796914</v>
      </c>
      <c r="F203" s="10">
        <f t="shared" si="51"/>
        <v>0.07168744259783616</v>
      </c>
      <c r="G203" s="10">
        <f t="shared" si="51"/>
        <v>0.07168744259783616</v>
      </c>
      <c r="H203" s="10">
        <f t="shared" si="51"/>
        <v>0.07403120915804556</v>
      </c>
      <c r="I203" s="10">
        <f t="shared" si="51"/>
        <v>0.06988668172429104</v>
      </c>
      <c r="J203" s="56">
        <v>0.0694</v>
      </c>
    </row>
    <row r="204" ht="15" customHeight="1">
      <c r="B204" s="57" t="s">
        <v>137</v>
      </c>
      <c r="C204" s="58" t="s">
        <v>31</v>
      </c>
      <c r="D204" s="58" t="str">
        <f t="shared" si="20"/>
        <v>n/a</v>
      </c>
      <c r="E204" s="58" t="str">
        <f t="shared" si="20"/>
        <v>n/a</v>
      </c>
      <c r="F204" s="58">
        <f t="shared" si="20"/>
        <v>-10.6675014013298</v>
      </c>
      <c r="G204" s="58" t="s">
        <v>31</v>
      </c>
      <c r="H204" s="58">
        <f t="shared" si="27"/>
        <v>23.437665602094036</v>
      </c>
      <c r="I204" s="58">
        <f t="shared" si="20"/>
        <v>-41.44527433754527</v>
      </c>
      <c r="J204" s="59">
        <f t="shared" si="20"/>
        <v>-4.866817242910326</v>
      </c>
    </row>
    <row r="205" ht="15" customHeight="1">
      <c r="B205" s="57" t="s">
        <v>138</v>
      </c>
      <c r="C205" s="58" t="s">
        <v>31</v>
      </c>
      <c r="D205" s="58" t="s">
        <v>31</v>
      </c>
      <c r="E205" s="58" t="s">
        <v>31</v>
      </c>
      <c r="F205" s="58" t="s">
        <v>31</v>
      </c>
      <c r="G205" s="58" t="s">
        <v>31</v>
      </c>
      <c r="H205" s="58" t="str">
        <f t="shared" si="28"/>
        <v>n/a</v>
      </c>
      <c r="I205" s="58" t="str">
        <f t="shared" si="28"/>
        <v>n/a</v>
      </c>
      <c r="J205" s="59">
        <f t="shared" si="28"/>
        <v>-33.54192737969136</v>
      </c>
    </row>
    <row r="206" ht="15" customHeight="1">
      <c r="B206" s="37" t="s">
        <v>186</v>
      </c>
      <c r="C206" s="10" t="s">
        <v>31</v>
      </c>
      <c r="D206" s="10" t="s">
        <v>31</v>
      </c>
      <c r="E206" s="10">
        <f t="shared" si="51"/>
        <v>0.07951482479784366</v>
      </c>
      <c r="F206" s="10">
        <f t="shared" si="51"/>
        <v>0.0769554689967365</v>
      </c>
      <c r="G206" s="10">
        <f t="shared" si="51"/>
        <v>0.0769554689967365</v>
      </c>
      <c r="H206" s="10">
        <f t="shared" si="51"/>
        <v>0.07739801543550165</v>
      </c>
      <c r="I206" s="10">
        <f t="shared" si="51"/>
        <v>0.07611091773987702</v>
      </c>
      <c r="J206" s="56">
        <v>0.0761</v>
      </c>
    </row>
    <row r="207" ht="15" customHeight="1">
      <c r="B207" s="57" t="s">
        <v>137</v>
      </c>
      <c r="C207" s="58" t="s">
        <v>31</v>
      </c>
      <c r="D207" s="58" t="str">
        <f t="shared" si="20"/>
        <v>n/a</v>
      </c>
      <c r="E207" s="58" t="str">
        <f t="shared" si="20"/>
        <v>n/a</v>
      </c>
      <c r="F207" s="58">
        <f t="shared" si="20"/>
        <v>-25.59355801107166</v>
      </c>
      <c r="G207" s="58" t="s">
        <v>31</v>
      </c>
      <c r="H207" s="58">
        <f t="shared" si="27"/>
        <v>4.4254643876515125</v>
      </c>
      <c r="I207" s="58">
        <f t="shared" si="20"/>
        <v>-12.870976956246283</v>
      </c>
      <c r="J207" s="59">
        <f t="shared" si="20"/>
        <v>-0.10917739877019939</v>
      </c>
    </row>
    <row r="208" ht="15" customHeight="1">
      <c r="B208" s="57" t="s">
        <v>138</v>
      </c>
      <c r="C208" s="58" t="s">
        <v>31</v>
      </c>
      <c r="D208" s="58" t="s">
        <v>31</v>
      </c>
      <c r="E208" s="58" t="s">
        <v>31</v>
      </c>
      <c r="F208" s="58" t="s">
        <v>31</v>
      </c>
      <c r="G208" s="58" t="s">
        <v>31</v>
      </c>
      <c r="H208" s="58" t="str">
        <f t="shared" si="28"/>
        <v>n/a</v>
      </c>
      <c r="I208" s="58" t="str">
        <f t="shared" si="28"/>
        <v>n/a</v>
      </c>
      <c r="J208" s="59">
        <f t="shared" si="28"/>
        <v>-34.14824797843663</v>
      </c>
    </row>
    <row r="209" ht="15" customHeight="1">
      <c r="B209" s="37" t="s">
        <v>187</v>
      </c>
      <c r="C209" s="10" t="s">
        <v>31</v>
      </c>
      <c r="D209" s="10" t="s">
        <v>31</v>
      </c>
      <c r="E209" s="10">
        <f t="shared" si="51"/>
        <v>0.06505376344086021</v>
      </c>
      <c r="F209" s="10">
        <f t="shared" si="51"/>
        <v>0.0683359415753782</v>
      </c>
      <c r="G209" s="10">
        <f t="shared" si="51"/>
        <v>0.0683359415753782</v>
      </c>
      <c r="H209" s="10">
        <f t="shared" si="51"/>
        <v>0.0725201072386059</v>
      </c>
      <c r="I209" s="10">
        <f t="shared" si="51"/>
        <v>0.07348406988694758</v>
      </c>
      <c r="J209" s="56">
        <v>0.0735</v>
      </c>
    </row>
    <row r="210" ht="15" customHeight="1">
      <c r="B210" s="57" t="s">
        <v>137</v>
      </c>
      <c r="C210" s="58" t="s">
        <v>31</v>
      </c>
      <c r="D210" s="58" t="str">
        <f t="shared" si="20"/>
        <v>n/a</v>
      </c>
      <c r="E210" s="58" t="str">
        <f t="shared" si="20"/>
        <v>n/a</v>
      </c>
      <c r="F210" s="58">
        <f t="shared" si="20"/>
        <v>32.82178134517991</v>
      </c>
      <c r="G210" s="58" t="s">
        <v>31</v>
      </c>
      <c r="H210" s="58">
        <f t="shared" si="27"/>
        <v>41.84165663227699</v>
      </c>
      <c r="I210" s="58">
        <f t="shared" si="20"/>
        <v>9.639626483416846</v>
      </c>
      <c r="J210" s="59">
        <f t="shared" si="20"/>
        <v>0.15930113052411987</v>
      </c>
    </row>
    <row r="211" ht="15" customHeight="1">
      <c r="B211" s="57" t="s">
        <v>138</v>
      </c>
      <c r="C211" s="58" t="s">
        <v>31</v>
      </c>
      <c r="D211" s="58" t="s">
        <v>31</v>
      </c>
      <c r="E211" s="58" t="s">
        <v>31</v>
      </c>
      <c r="F211" s="58" t="s">
        <v>31</v>
      </c>
      <c r="G211" s="58" t="s">
        <v>31</v>
      </c>
      <c r="H211" s="58" t="str">
        <f t="shared" si="28"/>
        <v>n/a</v>
      </c>
      <c r="I211" s="58" t="str">
        <f t="shared" si="28"/>
        <v>n/a</v>
      </c>
      <c r="J211" s="59">
        <f t="shared" si="28"/>
        <v>84.46236559139786</v>
      </c>
    </row>
    <row r="212" ht="15" customHeight="1">
      <c r="B212" s="43" t="s">
        <v>188</v>
      </c>
      <c r="C212" s="10" t="s">
        <v>31</v>
      </c>
      <c r="D212" s="10" t="s">
        <v>31</v>
      </c>
      <c r="E212" s="10">
        <f t="shared" si="51"/>
        <v>0.07278342071377708</v>
      </c>
      <c r="F212" s="10">
        <f t="shared" si="51"/>
        <v>0.07177451085595736</v>
      </c>
      <c r="G212" s="10">
        <f t="shared" si="51"/>
        <v>0.07177451085595736</v>
      </c>
      <c r="H212" s="10">
        <f t="shared" si="51"/>
        <v>0.07410241057370323</v>
      </c>
      <c r="I212" s="10">
        <f t="shared" si="51"/>
        <v>0.07018314645907163</v>
      </c>
      <c r="J212" s="38">
        <f t="shared" si="51"/>
        <v>0.06971289279942539</v>
      </c>
    </row>
    <row r="213" ht="15" customHeight="1">
      <c r="B213" s="37" t="s">
        <v>137</v>
      </c>
      <c r="C213" s="58" t="s">
        <v>31</v>
      </c>
      <c r="D213" s="58" t="str">
        <f t="shared" si="20"/>
        <v>n/a</v>
      </c>
      <c r="E213" s="58" t="str">
        <f t="shared" si="20"/>
        <v>n/a</v>
      </c>
      <c r="F213" s="58">
        <f t="shared" si="20"/>
        <v>-10.089098578197204</v>
      </c>
      <c r="G213" s="58" t="s">
        <v>31</v>
      </c>
      <c r="H213" s="58">
        <f t="shared" si="27"/>
        <v>23.27899717745871</v>
      </c>
      <c r="I213" s="58">
        <f t="shared" si="20"/>
        <v>-39.192641146316014</v>
      </c>
      <c r="J213" s="59">
        <f t="shared" si="20"/>
        <v>-4.702536596462442</v>
      </c>
    </row>
    <row r="214" ht="15" customHeight="1">
      <c r="B214" s="37" t="s">
        <v>138</v>
      </c>
      <c r="C214" s="58" t="s">
        <v>31</v>
      </c>
      <c r="D214" s="58" t="s">
        <v>31</v>
      </c>
      <c r="E214" s="58" t="s">
        <v>31</v>
      </c>
      <c r="F214" s="58" t="s">
        <v>31</v>
      </c>
      <c r="G214" s="58" t="s">
        <v>31</v>
      </c>
      <c r="H214" s="58" t="str">
        <f t="shared" si="28"/>
        <v>n/a</v>
      </c>
      <c r="I214" s="58" t="str">
        <f t="shared" si="28"/>
        <v>n/a</v>
      </c>
      <c r="J214" s="59">
        <f t="shared" si="28"/>
        <v>-30.70527914351695</v>
      </c>
    </row>
    <row r="215" ht="15" customHeight="1">
      <c r="B215" s="24" t="s">
        <v>189</v>
      </c>
      <c r="C215" s="9" t="s">
        <v>31</v>
      </c>
      <c r="D215" s="9" t="s">
        <v>31</v>
      </c>
      <c r="E215" s="9" t="s">
        <v>31</v>
      </c>
      <c r="F215" s="9">
        <f t="shared" si="52" ref="F215:J215">F200-E200</f>
        <v>339</v>
      </c>
      <c r="G215" s="9" t="s">
        <v>31</v>
      </c>
      <c r="H215" s="9">
        <f>H200-F200</f>
        <v>-17</v>
      </c>
      <c r="I215" s="9">
        <f t="shared" si="52"/>
        <v>-720</v>
      </c>
      <c r="J215" s="54">
        <f t="shared" si="52"/>
        <v>82.55500000000029</v>
      </c>
    </row>
    <row r="216" ht="15" customHeight="1">
      <c r="B216" s="37" t="s">
        <v>75</v>
      </c>
      <c r="C216" s="10" t="s">
        <v>31</v>
      </c>
      <c r="D216" s="10" t="s">
        <v>31</v>
      </c>
      <c r="E216" s="10" t="s">
        <v>31</v>
      </c>
      <c r="F216" s="10" t="s">
        <v>31</v>
      </c>
      <c r="G216" s="10" t="s">
        <v>31</v>
      </c>
      <c r="H216" s="10" t="str">
        <f t="shared" si="0"/>
        <v>n/a</v>
      </c>
      <c r="I216" s="10" t="str">
        <f t="shared" si="0"/>
        <v>n/a</v>
      </c>
      <c r="J216" s="38" t="str">
        <f t="shared" si="0"/>
        <v>n/a</v>
      </c>
    </row>
    <row r="217" ht="15" customHeight="1">
      <c r="B217" s="37" t="s">
        <v>92</v>
      </c>
      <c r="C217" s="50" t="s">
        <v>31</v>
      </c>
      <c r="D217" s="50" t="str">
        <f t="shared" si="1"/>
        <v>n/a</v>
      </c>
      <c r="E217" s="50" t="str">
        <f t="shared" si="1"/>
        <v>n/a</v>
      </c>
      <c r="F217" s="50" t="str">
        <f t="shared" si="1"/>
        <v>n/a</v>
      </c>
      <c r="G217" s="50" t="s">
        <v>31</v>
      </c>
      <c r="H217" s="50">
        <f t="shared" si="3"/>
        <v>-356</v>
      </c>
      <c r="I217" s="50">
        <f t="shared" si="1"/>
        <v>-703</v>
      </c>
      <c r="J217" s="51">
        <f t="shared" si="1"/>
        <v>802.5550000000003</v>
      </c>
    </row>
    <row r="218" ht="15" customHeight="1">
      <c r="B218" s="45" t="s">
        <v>190</v>
      </c>
      <c r="C218" s="60">
        <v>1926</v>
      </c>
      <c r="D218" s="60">
        <v>11098</v>
      </c>
      <c r="E218" s="60">
        <v>2364</v>
      </c>
      <c r="F218" s="60">
        <v>3678</v>
      </c>
      <c r="G218" s="41">
        <f t="shared" si="23"/>
        <v>19066</v>
      </c>
      <c r="H218" s="60">
        <v>3411</v>
      </c>
      <c r="I218" s="60">
        <v>2474</v>
      </c>
      <c r="J218" s="42">
        <f>J178+J215</f>
        <v>2918.7050000000004</v>
      </c>
      <c r="K218" s="40" t="s">
        <v>191</v>
      </c>
    </row>
    <row r="219" ht="15" customHeight="1">
      <c r="B219" s="37" t="s">
        <v>75</v>
      </c>
      <c r="C219" s="10" t="s">
        <v>31</v>
      </c>
      <c r="D219" s="10" t="s">
        <v>31</v>
      </c>
      <c r="E219" s="10" t="s">
        <v>31</v>
      </c>
      <c r="F219" s="10" t="s">
        <v>31</v>
      </c>
      <c r="G219" s="10" t="s">
        <v>31</v>
      </c>
      <c r="H219" s="10">
        <f t="shared" si="0"/>
        <v>0.7710280373831775</v>
      </c>
      <c r="I219" s="10">
        <f t="shared" si="0"/>
        <v>-0.7770769508019463</v>
      </c>
      <c r="J219" s="38">
        <f t="shared" si="0"/>
        <v>0.23464678510998316</v>
      </c>
    </row>
    <row r="220" ht="15" customHeight="1">
      <c r="B220" s="37" t="s">
        <v>92</v>
      </c>
      <c r="C220" s="50" t="s">
        <v>31</v>
      </c>
      <c r="D220" s="50">
        <f t="shared" si="1"/>
        <v>9172</v>
      </c>
      <c r="E220" s="50">
        <f t="shared" si="1"/>
        <v>-8734</v>
      </c>
      <c r="F220" s="50">
        <f t="shared" si="1"/>
        <v>1314</v>
      </c>
      <c r="G220" s="50" t="s">
        <v>31</v>
      </c>
      <c r="H220" s="50">
        <f t="shared" si="3"/>
        <v>-267</v>
      </c>
      <c r="I220" s="50">
        <f t="shared" si="1"/>
        <v>-937</v>
      </c>
      <c r="J220" s="51">
        <f t="shared" si="1"/>
        <v>444.7050000000004</v>
      </c>
    </row>
    <row r="221" ht="15" customHeight="1">
      <c r="B221" s="55" t="s">
        <v>192</v>
      </c>
      <c r="C221" s="12">
        <v>1856</v>
      </c>
      <c r="D221" s="12">
        <v>10200</v>
      </c>
      <c r="E221" s="12">
        <v>2163</v>
      </c>
      <c r="F221" s="12">
        <v>3482</v>
      </c>
      <c r="G221" s="9">
        <f t="shared" si="23"/>
        <v>17701</v>
      </c>
      <c r="H221" s="12">
        <v>3236</v>
      </c>
      <c r="I221" s="12">
        <v>2292</v>
      </c>
      <c r="J221" s="54">
        <f>J169+J191-I191</f>
        <v>2762.5600000000013</v>
      </c>
      <c r="K221" s="40" t="s">
        <v>134</v>
      </c>
    </row>
    <row r="222" ht="15" customHeight="1">
      <c r="B222" s="37" t="s">
        <v>75</v>
      </c>
      <c r="C222" s="10" t="s">
        <v>31</v>
      </c>
      <c r="D222" s="10" t="s">
        <v>31</v>
      </c>
      <c r="E222" s="10" t="s">
        <v>31</v>
      </c>
      <c r="F222" s="10" t="s">
        <v>31</v>
      </c>
      <c r="G222" s="10" t="s">
        <v>31</v>
      </c>
      <c r="H222" s="10">
        <f t="shared" si="0"/>
        <v>0.7435344827586208</v>
      </c>
      <c r="I222" s="10">
        <f t="shared" si="0"/>
        <v>-0.7752941176470588</v>
      </c>
      <c r="J222" s="38">
        <f t="shared" si="0"/>
        <v>0.27718908922792473</v>
      </c>
    </row>
    <row r="223" ht="15" customHeight="1">
      <c r="B223" s="37" t="s">
        <v>92</v>
      </c>
      <c r="C223" s="50" t="s">
        <v>31</v>
      </c>
      <c r="D223" s="50">
        <f t="shared" si="1"/>
        <v>8344</v>
      </c>
      <c r="E223" s="50">
        <f t="shared" si="1"/>
        <v>-8037</v>
      </c>
      <c r="F223" s="50">
        <f t="shared" si="1"/>
        <v>1319</v>
      </c>
      <c r="G223" s="50" t="s">
        <v>31</v>
      </c>
      <c r="H223" s="50">
        <f t="shared" si="3"/>
        <v>-246</v>
      </c>
      <c r="I223" s="50">
        <f t="shared" si="1"/>
        <v>-944</v>
      </c>
      <c r="J223" s="51">
        <f t="shared" si="1"/>
        <v>470.5600000000013</v>
      </c>
    </row>
    <row r="224" ht="15" customHeight="1">
      <c r="B224" s="35" t="s">
        <v>193</v>
      </c>
    </row>
    <row r="225" ht="15" customHeight="1">
      <c r="B225" s="24" t="s">
        <v>88</v>
      </c>
      <c r="C225" s="9">
        <f t="shared" si="53" ref="C225:J225">C140</f>
        <v>7165</v>
      </c>
      <c r="D225" s="9">
        <f t="shared" si="53"/>
        <v>9095</v>
      </c>
      <c r="E225" s="9">
        <f t="shared" si="53"/>
        <v>11607</v>
      </c>
      <c r="F225" s="9">
        <f t="shared" si="53"/>
        <v>11693</v>
      </c>
      <c r="G225" s="9">
        <f t="shared" si="53"/>
        <v>39560</v>
      </c>
      <c r="H225" s="9">
        <f t="shared" si="53"/>
        <v>11389</v>
      </c>
      <c r="I225" s="9">
        <f t="shared" si="53"/>
        <v>11765</v>
      </c>
      <c r="J225" s="54">
        <f t="shared" si="53"/>
        <v>12073.321306963473</v>
      </c>
    </row>
    <row r="226" ht="15" customHeight="1">
      <c r="B226" s="37" t="s">
        <v>75</v>
      </c>
      <c r="C226" s="10" t="s">
        <v>31</v>
      </c>
      <c r="D226" s="10" t="s">
        <v>31</v>
      </c>
      <c r="E226" s="10" t="s">
        <v>31</v>
      </c>
      <c r="F226" s="10" t="s">
        <v>31</v>
      </c>
      <c r="G226" s="10" t="s">
        <v>31</v>
      </c>
      <c r="H226" s="10">
        <f t="shared" si="0"/>
        <v>0.5895324494068388</v>
      </c>
      <c r="I226" s="10">
        <f t="shared" si="0"/>
        <v>0.29356789444749865</v>
      </c>
      <c r="J226" s="38">
        <f t="shared" si="0"/>
        <v>0.04017586861062061</v>
      </c>
    </row>
    <row r="227" ht="15" customHeight="1">
      <c r="B227" s="37" t="s">
        <v>92</v>
      </c>
      <c r="C227" s="50" t="s">
        <v>31</v>
      </c>
      <c r="D227" s="50">
        <f t="shared" si="1"/>
        <v>1930</v>
      </c>
      <c r="E227" s="50">
        <f t="shared" si="1"/>
        <v>2512</v>
      </c>
      <c r="F227" s="50">
        <f t="shared" si="1"/>
        <v>86</v>
      </c>
      <c r="G227" s="50" t="s">
        <v>31</v>
      </c>
      <c r="H227" s="50">
        <f t="shared" si="3"/>
        <v>-304</v>
      </c>
      <c r="I227" s="50">
        <f t="shared" si="1"/>
        <v>376</v>
      </c>
      <c r="J227" s="51">
        <f t="shared" si="1"/>
        <v>308.32130696347303</v>
      </c>
    </row>
    <row r="228" ht="15" customHeight="1">
      <c r="B228" s="24" t="s">
        <v>194</v>
      </c>
      <c r="C228" s="9">
        <f t="shared" si="54" ref="C228:J228">C218</f>
        <v>1926</v>
      </c>
      <c r="D228" s="9">
        <f t="shared" si="54"/>
        <v>11098</v>
      </c>
      <c r="E228" s="9">
        <f t="shared" si="54"/>
        <v>2364</v>
      </c>
      <c r="F228" s="9">
        <f t="shared" si="54"/>
        <v>3678</v>
      </c>
      <c r="G228" s="9">
        <f t="shared" si="54"/>
        <v>19066</v>
      </c>
      <c r="H228" s="9">
        <f t="shared" si="54"/>
        <v>3411</v>
      </c>
      <c r="I228" s="9">
        <f t="shared" si="54"/>
        <v>2474</v>
      </c>
      <c r="J228" s="54">
        <f t="shared" si="54"/>
        <v>2918.7050000000004</v>
      </c>
    </row>
    <row r="229" ht="15" customHeight="1">
      <c r="B229" s="37" t="s">
        <v>75</v>
      </c>
      <c r="C229" s="10" t="s">
        <v>31</v>
      </c>
      <c r="D229" s="10" t="s">
        <v>31</v>
      </c>
      <c r="E229" s="10" t="s">
        <v>31</v>
      </c>
      <c r="F229" s="10" t="s">
        <v>31</v>
      </c>
      <c r="G229" s="10" t="s">
        <v>31</v>
      </c>
      <c r="H229" s="10">
        <f t="shared" si="0"/>
        <v>0.7710280373831775</v>
      </c>
      <c r="I229" s="10">
        <f t="shared" si="0"/>
        <v>-0.7770769508019463</v>
      </c>
      <c r="J229" s="38">
        <f t="shared" si="0"/>
        <v>0.23464678510998316</v>
      </c>
    </row>
    <row r="230" ht="15" customHeight="1">
      <c r="B230" s="37" t="s">
        <v>92</v>
      </c>
      <c r="C230" s="50" t="s">
        <v>31</v>
      </c>
      <c r="D230" s="50">
        <f t="shared" si="1"/>
        <v>9172</v>
      </c>
      <c r="E230" s="50">
        <f t="shared" si="1"/>
        <v>-8734</v>
      </c>
      <c r="F230" s="50">
        <f t="shared" si="1"/>
        <v>1314</v>
      </c>
      <c r="G230" s="50" t="s">
        <v>31</v>
      </c>
      <c r="H230" s="50">
        <f t="shared" si="3"/>
        <v>-267</v>
      </c>
      <c r="I230" s="50">
        <f t="shared" si="1"/>
        <v>-937</v>
      </c>
      <c r="J230" s="51">
        <f t="shared" si="1"/>
        <v>444.7050000000004</v>
      </c>
    </row>
    <row r="231" ht="15" customHeight="1">
      <c r="B231" s="24" t="s">
        <v>195</v>
      </c>
      <c r="C231" s="12">
        <v>3638</v>
      </c>
      <c r="D231" s="12">
        <v>4447</v>
      </c>
      <c r="E231" s="12">
        <v>5409</v>
      </c>
      <c r="F231" s="12">
        <v>6147</v>
      </c>
      <c r="G231" s="9">
        <f t="shared" si="23"/>
        <v>19641</v>
      </c>
      <c r="H231" s="12">
        <v>5501</v>
      </c>
      <c r="I231" s="12">
        <v>6098</v>
      </c>
      <c r="J231" s="54">
        <f t="shared" si="55"/>
        <v>6158.9800000000005</v>
      </c>
      <c r="K231" s="40" t="s">
        <v>191</v>
      </c>
    </row>
    <row r="232" ht="15" customHeight="1">
      <c r="B232" s="37" t="s">
        <v>75</v>
      </c>
      <c r="C232" s="10" t="s">
        <v>31</v>
      </c>
      <c r="D232" s="10" t="s">
        <v>31</v>
      </c>
      <c r="E232" s="10" t="s">
        <v>31</v>
      </c>
      <c r="F232" s="10" t="s">
        <v>31</v>
      </c>
      <c r="G232" s="10" t="s">
        <v>31</v>
      </c>
      <c r="H232" s="10">
        <f t="shared" si="0"/>
        <v>0.5120945574491478</v>
      </c>
      <c r="I232" s="10">
        <f t="shared" si="0"/>
        <v>0.3712615246233415</v>
      </c>
      <c r="J232" s="38">
        <f t="shared" si="0"/>
        <v>0.13865409502680737</v>
      </c>
    </row>
    <row r="233" ht="15" customHeight="1">
      <c r="B233" s="37" t="s">
        <v>92</v>
      </c>
      <c r="C233" s="50" t="s">
        <v>31</v>
      </c>
      <c r="D233" s="50">
        <f t="shared" si="1"/>
        <v>809</v>
      </c>
      <c r="E233" s="50">
        <f t="shared" si="1"/>
        <v>962</v>
      </c>
      <c r="F233" s="50">
        <f t="shared" si="1"/>
        <v>738</v>
      </c>
      <c r="G233" s="50" t="s">
        <v>31</v>
      </c>
      <c r="H233" s="50">
        <f t="shared" si="3"/>
        <v>-646</v>
      </c>
      <c r="I233" s="50">
        <f t="shared" si="1"/>
        <v>597</v>
      </c>
      <c r="J233" s="51">
        <f t="shared" si="1"/>
        <v>60.98000000000047</v>
      </c>
    </row>
    <row r="234" ht="15" customHeight="1">
      <c r="B234" s="37" t="s">
        <v>196</v>
      </c>
      <c r="C234" s="10" t="s">
        <v>31</v>
      </c>
      <c r="D234" s="10">
        <f t="shared" si="19"/>
        <v>0.22237493128092356</v>
      </c>
      <c r="E234" s="10">
        <f t="shared" si="19"/>
        <v>0.21632561277265583</v>
      </c>
      <c r="F234" s="10">
        <f t="shared" si="19"/>
        <v>0.13643926788685534</v>
      </c>
      <c r="G234" s="10" t="s">
        <v>31</v>
      </c>
      <c r="H234" s="10">
        <f t="shared" si="56"/>
        <v>-0.1050919147551651</v>
      </c>
      <c r="I234" s="10">
        <f t="shared" si="19"/>
        <v>0.10852572259589155</v>
      </c>
      <c r="J234" s="56">
        <v>0.01</v>
      </c>
      <c r="K234" s="40" t="s">
        <v>136</v>
      </c>
    </row>
    <row r="235" ht="15" customHeight="1">
      <c r="B235" s="57" t="s">
        <v>137</v>
      </c>
      <c r="C235" s="58" t="s">
        <v>31</v>
      </c>
      <c r="D235" s="58" t="str">
        <f t="shared" si="20"/>
        <v>n/a</v>
      </c>
      <c r="E235" s="58">
        <f t="shared" si="20"/>
        <v>-60.493185082677314</v>
      </c>
      <c r="F235" s="58">
        <f t="shared" si="20"/>
        <v>-798.8634488580049</v>
      </c>
      <c r="G235" s="58" t="s">
        <v>31</v>
      </c>
      <c r="H235" s="58">
        <f t="shared" si="27"/>
        <v>-2415.3118264202044</v>
      </c>
      <c r="I235" s="58">
        <f t="shared" si="20"/>
        <v>2136.1763735105665</v>
      </c>
      <c r="J235" s="59">
        <f t="shared" si="20"/>
        <v>-985.2572259589156</v>
      </c>
    </row>
    <row r="236" ht="15" customHeight="1">
      <c r="B236" s="57" t="s">
        <v>138</v>
      </c>
      <c r="C236" s="58" t="s">
        <v>31</v>
      </c>
      <c r="D236" s="58" t="s">
        <v>31</v>
      </c>
      <c r="E236" s="58" t="s">
        <v>31</v>
      </c>
      <c r="F236" s="58" t="s">
        <v>31</v>
      </c>
      <c r="G236" s="58" t="s">
        <v>31</v>
      </c>
      <c r="H236" s="58" t="str">
        <f t="shared" si="28"/>
        <v>n/a</v>
      </c>
      <c r="I236" s="58" t="str">
        <f t="shared" si="14"/>
        <v>n/m</v>
      </c>
      <c r="J236" s="59" t="str">
        <f t="shared" si="14"/>
        <v>n/m</v>
      </c>
      <c r="K236" s="44" t="s">
        <v>139</v>
      </c>
    </row>
    <row r="237" ht="15" customHeight="1">
      <c r="B237" s="37" t="s">
        <v>75</v>
      </c>
      <c r="C237" s="10" t="s">
        <v>31</v>
      </c>
      <c r="D237" s="10" t="s">
        <v>31</v>
      </c>
      <c r="E237" s="10" t="s">
        <v>31</v>
      </c>
      <c r="F237" s="10" t="s">
        <v>31</v>
      </c>
      <c r="G237" s="10" t="s">
        <v>31</v>
      </c>
      <c r="H237" s="10">
        <f t="shared" si="15"/>
        <v>0.5120945574491478</v>
      </c>
      <c r="I237" s="10">
        <f t="shared" si="15"/>
        <v>0.3712615246233415</v>
      </c>
      <c r="J237" s="38">
        <f t="shared" si="15"/>
        <v>0.13865409502680737</v>
      </c>
    </row>
    <row r="238" ht="15" customHeight="1">
      <c r="B238" s="37" t="s">
        <v>92</v>
      </c>
      <c r="C238" s="50" t="s">
        <v>31</v>
      </c>
      <c r="D238" s="50">
        <f t="shared" si="16"/>
        <v>809</v>
      </c>
      <c r="E238" s="50">
        <f t="shared" si="16"/>
        <v>962</v>
      </c>
      <c r="F238" s="50">
        <f t="shared" si="16"/>
        <v>738</v>
      </c>
      <c r="G238" s="50" t="s">
        <v>31</v>
      </c>
      <c r="H238" s="50">
        <f t="shared" si="21"/>
        <v>-646</v>
      </c>
      <c r="I238" s="50">
        <f t="shared" si="16"/>
        <v>597</v>
      </c>
      <c r="J238" s="51">
        <f t="shared" si="16"/>
        <v>60.98000000000047</v>
      </c>
    </row>
    <row r="239" ht="15" customHeight="1">
      <c r="B239" s="4" t="s">
        <v>197</v>
      </c>
      <c r="C239" s="41">
        <f t="shared" si="57" ref="C239:J239">C140-C218-C231</f>
        <v>1601</v>
      </c>
      <c r="D239" s="41">
        <f t="shared" si="57"/>
        <v>-6450</v>
      </c>
      <c r="E239" s="41">
        <f t="shared" si="57"/>
        <v>3834</v>
      </c>
      <c r="F239" s="41">
        <f t="shared" si="57"/>
        <v>1868</v>
      </c>
      <c r="G239" s="41">
        <f t="shared" si="57"/>
        <v>853</v>
      </c>
      <c r="H239" s="41">
        <f t="shared" si="57"/>
        <v>2477</v>
      </c>
      <c r="I239" s="41">
        <f t="shared" si="57"/>
        <v>3193</v>
      </c>
      <c r="J239" s="42">
        <f t="shared" si="57"/>
        <v>2995.6363069634726</v>
      </c>
    </row>
    <row r="240" ht="15" customHeight="1">
      <c r="B240" s="43" t="s">
        <v>75</v>
      </c>
      <c r="C240" s="10" t="s">
        <v>31</v>
      </c>
      <c r="D240" s="10" t="s">
        <v>31</v>
      </c>
      <c r="E240" s="10" t="s">
        <v>31</v>
      </c>
      <c r="F240" s="10" t="s">
        <v>31</v>
      </c>
      <c r="G240" s="10" t="s">
        <v>31</v>
      </c>
      <c r="H240" s="10">
        <f t="shared" si="0"/>
        <v>0.547158026233604</v>
      </c>
      <c r="I240" s="10" t="str">
        <f t="shared" si="0"/>
        <v>n/m</v>
      </c>
      <c r="J240" s="38">
        <f t="shared" si="0"/>
        <v>-0.21866554330634513</v>
      </c>
    </row>
    <row r="241" ht="15" customHeight="1">
      <c r="B241" s="43" t="s">
        <v>92</v>
      </c>
      <c r="C241" s="50" t="s">
        <v>31</v>
      </c>
      <c r="D241" s="50">
        <f t="shared" si="1"/>
        <v>-8051</v>
      </c>
      <c r="E241" s="50">
        <f t="shared" si="1"/>
        <v>10284</v>
      </c>
      <c r="F241" s="50">
        <f t="shared" si="1"/>
        <v>-1966</v>
      </c>
      <c r="G241" s="50" t="s">
        <v>31</v>
      </c>
      <c r="H241" s="50">
        <f t="shared" si="3"/>
        <v>609</v>
      </c>
      <c r="I241" s="50">
        <f t="shared" si="1"/>
        <v>716</v>
      </c>
      <c r="J241" s="51">
        <f t="shared" si="1"/>
        <v>-197.36369303652737</v>
      </c>
    </row>
    <row r="242" ht="15" customHeight="1">
      <c r="B242" s="24" t="s">
        <v>198</v>
      </c>
      <c r="C242" s="12">
        <v>382</v>
      </c>
      <c r="D242" s="12">
        <v>-1533</v>
      </c>
      <c r="E242" s="12">
        <v>914</v>
      </c>
      <c r="F242" s="12">
        <v>445</v>
      </c>
      <c r="G242" s="9">
        <f t="shared" si="23"/>
        <v>208</v>
      </c>
      <c r="H242" s="12">
        <v>608</v>
      </c>
      <c r="I242" s="12">
        <v>782</v>
      </c>
      <c r="J242" s="54">
        <f>J239*J245</f>
        <v>733.9308952060508</v>
      </c>
      <c r="K242" s="40" t="s">
        <v>191</v>
      </c>
    </row>
    <row r="243" ht="15" customHeight="1">
      <c r="B243" s="37" t="s">
        <v>75</v>
      </c>
      <c r="C243" s="10" t="s">
        <v>31</v>
      </c>
      <c r="D243" s="10" t="s">
        <v>31</v>
      </c>
      <c r="E243" s="10" t="s">
        <v>31</v>
      </c>
      <c r="F243" s="10" t="s">
        <v>31</v>
      </c>
      <c r="G243" s="10" t="s">
        <v>31</v>
      </c>
      <c r="H243" s="10">
        <f t="shared" si="0"/>
        <v>0.5916230366492146</v>
      </c>
      <c r="I243" s="10" t="str">
        <f t="shared" si="0"/>
        <v>n/m</v>
      </c>
      <c r="J243" s="38">
        <f t="shared" si="0"/>
        <v>-0.19701214966515235</v>
      </c>
    </row>
    <row r="244" ht="15" customHeight="1">
      <c r="B244" s="37" t="s">
        <v>92</v>
      </c>
      <c r="C244" s="50" t="s">
        <v>31</v>
      </c>
      <c r="D244" s="50">
        <f t="shared" si="1"/>
        <v>-1915</v>
      </c>
      <c r="E244" s="50">
        <f t="shared" si="1"/>
        <v>2447</v>
      </c>
      <c r="F244" s="50">
        <f t="shared" si="1"/>
        <v>-469</v>
      </c>
      <c r="G244" s="50" t="s">
        <v>31</v>
      </c>
      <c r="H244" s="50">
        <f t="shared" si="3"/>
        <v>163</v>
      </c>
      <c r="I244" s="50">
        <f t="shared" si="1"/>
        <v>174</v>
      </c>
      <c r="J244" s="51">
        <f t="shared" si="1"/>
        <v>-48.069104793949236</v>
      </c>
    </row>
    <row r="245" ht="15" customHeight="1">
      <c r="B245" s="37" t="s">
        <v>199</v>
      </c>
      <c r="C245" s="10">
        <f t="shared" si="58" ref="C245:I245">C242/C239</f>
        <v>0.2386008744534666</v>
      </c>
      <c r="D245" s="10">
        <f t="shared" si="58"/>
        <v>0.23767441860465116</v>
      </c>
      <c r="E245" s="10">
        <f t="shared" si="58"/>
        <v>0.23839332290036516</v>
      </c>
      <c r="F245" s="10">
        <f t="shared" si="58"/>
        <v>0.23822269807280513</v>
      </c>
      <c r="G245" s="10">
        <f t="shared" si="58"/>
        <v>0.24384525205158264</v>
      </c>
      <c r="H245" s="10">
        <f t="shared" si="58"/>
        <v>0.24545821558336697</v>
      </c>
      <c r="I245" s="10">
        <f t="shared" si="58"/>
        <v>0.24491074224866896</v>
      </c>
      <c r="J245" s="56">
        <v>0.245</v>
      </c>
      <c r="K245" s="40" t="s">
        <v>136</v>
      </c>
    </row>
    <row r="246" ht="15" customHeight="1">
      <c r="B246" s="57" t="s">
        <v>137</v>
      </c>
      <c r="C246" s="58" t="s">
        <v>31</v>
      </c>
      <c r="D246" s="58">
        <f t="shared" si="20"/>
        <v>-9.264558488154274</v>
      </c>
      <c r="E246" s="58">
        <f t="shared" si="20"/>
        <v>7.189042957140012</v>
      </c>
      <c r="F246" s="58">
        <f t="shared" si="20"/>
        <v>-1.7062482756002861</v>
      </c>
      <c r="G246" s="58" t="s">
        <v>31</v>
      </c>
      <c r="H246" s="58">
        <f t="shared" si="27"/>
        <v>72.3551751056184</v>
      </c>
      <c r="I246" s="58">
        <f t="shared" si="20"/>
        <v>-5.474733346980121</v>
      </c>
      <c r="J246" s="59">
        <f t="shared" si="20"/>
        <v>0.8925775133103442</v>
      </c>
    </row>
    <row r="247" ht="15" customHeight="1">
      <c r="B247" s="57" t="s">
        <v>138</v>
      </c>
      <c r="C247" s="58" t="s">
        <v>31</v>
      </c>
      <c r="D247" s="58" t="s">
        <v>31</v>
      </c>
      <c r="E247" s="58" t="s">
        <v>31</v>
      </c>
      <c r="F247" s="58" t="s">
        <v>31</v>
      </c>
      <c r="G247" s="58" t="s">
        <v>31</v>
      </c>
      <c r="H247" s="58">
        <f t="shared" si="28"/>
        <v>68.57341129900385</v>
      </c>
      <c r="I247" s="58">
        <f t="shared" si="28"/>
        <v>72.363236440178</v>
      </c>
      <c r="J247" s="59">
        <f t="shared" si="28"/>
        <v>66.06677099634834</v>
      </c>
    </row>
    <row r="248" ht="15" customHeight="1">
      <c r="B248" s="4" t="s">
        <v>200</v>
      </c>
      <c r="C248" s="41">
        <f t="shared" si="59" ref="C248:J248">C239-C242</f>
        <v>1219</v>
      </c>
      <c r="D248" s="41">
        <f t="shared" si="59"/>
        <v>-4917</v>
      </c>
      <c r="E248" s="41">
        <f t="shared" si="59"/>
        <v>2920</v>
      </c>
      <c r="F248" s="41">
        <f t="shared" si="59"/>
        <v>1423</v>
      </c>
      <c r="G248" s="41">
        <f t="shared" si="59"/>
        <v>645</v>
      </c>
      <c r="H248" s="41">
        <f t="shared" si="59"/>
        <v>1869</v>
      </c>
      <c r="I248" s="41">
        <f t="shared" si="59"/>
        <v>2411</v>
      </c>
      <c r="J248" s="42">
        <f t="shared" si="59"/>
        <v>2261.7054117574216</v>
      </c>
    </row>
    <row r="249" ht="15" customHeight="1">
      <c r="B249" s="37" t="s">
        <v>75</v>
      </c>
      <c r="C249" s="10" t="s">
        <v>31</v>
      </c>
      <c r="D249" s="10" t="s">
        <v>31</v>
      </c>
      <c r="E249" s="10" t="s">
        <v>31</v>
      </c>
      <c r="F249" s="10" t="s">
        <v>31</v>
      </c>
      <c r="G249" s="10" t="s">
        <v>31</v>
      </c>
      <c r="H249" s="10">
        <f t="shared" si="0"/>
        <v>0.5332239540607056</v>
      </c>
      <c r="I249" s="10" t="str">
        <f t="shared" si="0"/>
        <v>n/m</v>
      </c>
      <c r="J249" s="38">
        <f t="shared" si="0"/>
        <v>-0.22544335213786926</v>
      </c>
    </row>
    <row r="250" ht="15" customHeight="1">
      <c r="B250" s="43" t="s">
        <v>92</v>
      </c>
      <c r="C250" s="50" t="s">
        <v>31</v>
      </c>
      <c r="D250" s="50">
        <f t="shared" si="1"/>
        <v>-6136</v>
      </c>
      <c r="E250" s="50">
        <f t="shared" si="1"/>
        <v>7837</v>
      </c>
      <c r="F250" s="50">
        <f t="shared" si="1"/>
        <v>-1497</v>
      </c>
      <c r="G250" s="50" t="s">
        <v>31</v>
      </c>
      <c r="H250" s="50">
        <f t="shared" si="3"/>
        <v>446</v>
      </c>
      <c r="I250" s="50">
        <f t="shared" si="1"/>
        <v>542</v>
      </c>
      <c r="J250" s="51">
        <f t="shared" si="1"/>
        <v>-149.29458824257836</v>
      </c>
    </row>
    <row r="251" ht="15" customHeight="1">
      <c r="B251" s="43" t="s">
        <v>39</v>
      </c>
      <c r="C251" s="10">
        <f t="shared" si="60" ref="C251:J251">C231/C140</f>
        <v>0.5077459874389393</v>
      </c>
      <c r="D251" s="10">
        <f t="shared" si="60"/>
        <v>0.48894997251236944</v>
      </c>
      <c r="E251" s="10">
        <f t="shared" si="60"/>
        <v>0.46601188937710003</v>
      </c>
      <c r="F251" s="10">
        <f t="shared" si="60"/>
        <v>0.5256991362353545</v>
      </c>
      <c r="G251" s="10">
        <f t="shared" si="60"/>
        <v>0.4964863498483316</v>
      </c>
      <c r="H251" s="10">
        <f t="shared" si="60"/>
        <v>0.48300992185442093</v>
      </c>
      <c r="I251" s="10">
        <f t="shared" si="60"/>
        <v>0.5183170420739481</v>
      </c>
      <c r="J251" s="38">
        <f t="shared" si="60"/>
        <v>0.5101313750713911</v>
      </c>
    </row>
    <row r="252" ht="15" customHeight="1">
      <c r="B252" s="37" t="s">
        <v>137</v>
      </c>
      <c r="C252" s="58" t="s">
        <v>31</v>
      </c>
      <c r="D252" s="58">
        <f t="shared" si="20"/>
        <v>-187.96014926569848</v>
      </c>
      <c r="E252" s="58">
        <f t="shared" si="20"/>
        <v>-229.38083135269406</v>
      </c>
      <c r="F252" s="58">
        <f t="shared" si="20"/>
        <v>596.8724685825443</v>
      </c>
      <c r="G252" s="58" t="s">
        <v>31</v>
      </c>
      <c r="H252" s="58">
        <f t="shared" si="27"/>
        <v>-426.8921438093354</v>
      </c>
      <c r="I252" s="58">
        <f t="shared" si="20"/>
        <v>353.071202195272</v>
      </c>
      <c r="J252" s="59">
        <f t="shared" si="20"/>
        <v>-81.85667002557074</v>
      </c>
    </row>
    <row r="253" ht="15" customHeight="1">
      <c r="B253" s="37" t="s">
        <v>138</v>
      </c>
      <c r="C253" s="58" t="s">
        <v>31</v>
      </c>
      <c r="D253" s="58" t="s">
        <v>31</v>
      </c>
      <c r="E253" s="58" t="s">
        <v>31</v>
      </c>
      <c r="F253" s="58" t="s">
        <v>31</v>
      </c>
      <c r="G253" s="58" t="s">
        <v>31</v>
      </c>
      <c r="H253" s="58">
        <f t="shared" si="28"/>
        <v>-247.36065584518352</v>
      </c>
      <c r="I253" s="58">
        <f t="shared" si="28"/>
        <v>293.67069561578694</v>
      </c>
      <c r="J253" s="59">
        <f t="shared" si="28"/>
        <v>441.1948569429103</v>
      </c>
    </row>
    <row r="254" ht="15" customHeight="1">
      <c r="B254" s="43" t="s">
        <v>201</v>
      </c>
      <c r="C254" s="10">
        <f t="shared" si="61" ref="C254:J254">C239/C140</f>
        <v>0.2234473133286811</v>
      </c>
      <c r="D254" s="10">
        <f t="shared" si="61"/>
        <v>-0.7091808686091259</v>
      </c>
      <c r="E254" s="10">
        <f t="shared" si="61"/>
        <v>0.3303179116050659</v>
      </c>
      <c r="F254" s="10">
        <f t="shared" si="61"/>
        <v>0.15975369879415036</v>
      </c>
      <c r="G254" s="10">
        <f t="shared" si="61"/>
        <v>0.021562184024266937</v>
      </c>
      <c r="H254" s="10">
        <f t="shared" si="61"/>
        <v>0.2174905610676969</v>
      </c>
      <c r="I254" s="10">
        <f t="shared" si="61"/>
        <v>0.27139821504462386</v>
      </c>
      <c r="J254" s="38">
        <f t="shared" si="61"/>
        <v>0.24812031675456972</v>
      </c>
    </row>
    <row r="255" ht="15" customHeight="1">
      <c r="B255" s="37" t="s">
        <v>137</v>
      </c>
      <c r="C255" s="58" t="s">
        <v>31</v>
      </c>
      <c r="D255" s="58">
        <f t="shared" si="20"/>
        <v>-9326.28181937807</v>
      </c>
      <c r="E255" s="58">
        <f t="shared" si="20"/>
        <v>10394.987802141917</v>
      </c>
      <c r="F255" s="58">
        <f t="shared" si="20"/>
        <v>-1705.6421281091555</v>
      </c>
      <c r="G255" s="58" t="s">
        <v>31</v>
      </c>
      <c r="H255" s="58">
        <f t="shared" si="27"/>
        <v>577.3686227354655</v>
      </c>
      <c r="I255" s="58">
        <f t="shared" si="20"/>
        <v>539.0765397692695</v>
      </c>
      <c r="J255" s="59">
        <f t="shared" si="20"/>
        <v>-232.7789829005414</v>
      </c>
    </row>
    <row r="256" ht="15" customHeight="1">
      <c r="B256" s="37" t="s">
        <v>138</v>
      </c>
      <c r="C256" s="58" t="s">
        <v>31</v>
      </c>
      <c r="D256" s="58" t="s">
        <v>31</v>
      </c>
      <c r="E256" s="58" t="s">
        <v>31</v>
      </c>
      <c r="F256" s="58" t="s">
        <v>31</v>
      </c>
      <c r="G256" s="58" t="s">
        <v>31</v>
      </c>
      <c r="H256" s="58">
        <f t="shared" si="28"/>
        <v>-59.56752260984188</v>
      </c>
      <c r="I256" s="58">
        <f t="shared" si="28"/>
        <v>9805.790836537499</v>
      </c>
      <c r="J256" s="59">
        <f t="shared" si="28"/>
        <v>-821.9759485049618</v>
      </c>
    </row>
    <row r="257" ht="15" customHeight="1">
      <c r="B257" s="35" t="s">
        <v>202</v>
      </c>
    </row>
    <row r="258" ht="15" customHeight="1">
      <c r="B258" s="24" t="s">
        <v>203</v>
      </c>
      <c r="C258" s="12">
        <v>3422</v>
      </c>
      <c r="D258" s="12">
        <v>4192</v>
      </c>
      <c r="E258" s="12">
        <v>5092</v>
      </c>
      <c r="F258" s="12">
        <v>5789</v>
      </c>
      <c r="G258" s="9">
        <f t="shared" si="23"/>
        <v>18495</v>
      </c>
      <c r="H258" s="12">
        <v>5179</v>
      </c>
      <c r="I258" s="12">
        <v>5771</v>
      </c>
      <c r="J258" s="54">
        <f>I258*(1+J234)</f>
        <v>5828.71</v>
      </c>
      <c r="K258" s="40" t="s">
        <v>134</v>
      </c>
    </row>
    <row r="259" ht="15" customHeight="1">
      <c r="B259" s="37" t="s">
        <v>75</v>
      </c>
      <c r="C259" s="10" t="s">
        <v>31</v>
      </c>
      <c r="D259" s="10" t="s">
        <v>31</v>
      </c>
      <c r="E259" s="10" t="s">
        <v>31</v>
      </c>
      <c r="F259" s="10" t="s">
        <v>31</v>
      </c>
      <c r="G259" s="10" t="s">
        <v>31</v>
      </c>
      <c r="H259" s="10">
        <f t="shared" si="0"/>
        <v>0.5134424313267096</v>
      </c>
      <c r="I259" s="10">
        <f t="shared" si="0"/>
        <v>0.3766698473282444</v>
      </c>
      <c r="J259" s="38">
        <f t="shared" si="0"/>
        <v>0.1446798900235664</v>
      </c>
    </row>
    <row r="260" ht="15" customHeight="1">
      <c r="B260" s="37" t="s">
        <v>92</v>
      </c>
      <c r="C260" s="50" t="s">
        <v>31</v>
      </c>
      <c r="D260" s="50">
        <f t="shared" si="1"/>
        <v>770</v>
      </c>
      <c r="E260" s="50">
        <f t="shared" si="1"/>
        <v>900</v>
      </c>
      <c r="F260" s="50">
        <f t="shared" si="1"/>
        <v>697</v>
      </c>
      <c r="G260" s="50" t="s">
        <v>31</v>
      </c>
      <c r="H260" s="50">
        <f t="shared" si="3"/>
        <v>-610</v>
      </c>
      <c r="I260" s="50">
        <f t="shared" si="1"/>
        <v>592</v>
      </c>
      <c r="J260" s="51">
        <f t="shared" si="1"/>
        <v>57.710000000000036</v>
      </c>
    </row>
    <row r="261" ht="15" customHeight="1">
      <c r="B261" s="45" t="s">
        <v>204</v>
      </c>
      <c r="C261" s="41">
        <f t="shared" si="62" ref="C261:J261">C126-C221-C258</f>
        <v>1525</v>
      </c>
      <c r="D261" s="41">
        <f t="shared" si="62"/>
        <v>-5821</v>
      </c>
      <c r="E261" s="41">
        <f t="shared" si="62"/>
        <v>3671</v>
      </c>
      <c r="F261" s="41">
        <f t="shared" si="62"/>
        <v>1751</v>
      </c>
      <c r="G261" s="41">
        <f t="shared" si="62"/>
        <v>1126</v>
      </c>
      <c r="H261" s="41">
        <f t="shared" si="62"/>
        <v>2310</v>
      </c>
      <c r="I261" s="41">
        <f t="shared" si="62"/>
        <v>3040</v>
      </c>
      <c r="J261" s="42">
        <f t="shared" si="62"/>
        <v>2829.808019292238</v>
      </c>
    </row>
    <row r="262" ht="15" customHeight="1">
      <c r="B262" s="37" t="s">
        <v>75</v>
      </c>
      <c r="C262" s="10" t="s">
        <v>31</v>
      </c>
      <c r="D262" s="10" t="s">
        <v>31</v>
      </c>
      <c r="E262" s="10" t="s">
        <v>31</v>
      </c>
      <c r="F262" s="10" t="s">
        <v>31</v>
      </c>
      <c r="G262" s="10" t="s">
        <v>31</v>
      </c>
      <c r="H262" s="10">
        <f t="shared" si="0"/>
        <v>0.5147540983606558</v>
      </c>
      <c r="I262" s="10" t="str">
        <f t="shared" si="0"/>
        <v>n/m</v>
      </c>
      <c r="J262" s="38">
        <f t="shared" si="0"/>
        <v>-0.22914518679045548</v>
      </c>
    </row>
    <row r="263" ht="15" customHeight="1">
      <c r="B263" s="37" t="s">
        <v>92</v>
      </c>
      <c r="C263" s="50" t="s">
        <v>31</v>
      </c>
      <c r="D263" s="50">
        <f t="shared" si="1"/>
        <v>-7346</v>
      </c>
      <c r="E263" s="50">
        <f t="shared" si="1"/>
        <v>9492</v>
      </c>
      <c r="F263" s="50">
        <f t="shared" si="1"/>
        <v>-1920</v>
      </c>
      <c r="G263" s="50" t="s">
        <v>31</v>
      </c>
      <c r="H263" s="50">
        <f t="shared" si="3"/>
        <v>559</v>
      </c>
      <c r="I263" s="50">
        <f t="shared" si="1"/>
        <v>730</v>
      </c>
      <c r="J263" s="51">
        <f t="shared" si="1"/>
        <v>-210.191980707762</v>
      </c>
    </row>
    <row r="264" ht="15" customHeight="1">
      <c r="B264" s="24" t="s">
        <v>205</v>
      </c>
      <c r="C264" s="12">
        <v>363</v>
      </c>
      <c r="D264" s="12">
        <v>-1385</v>
      </c>
      <c r="E264" s="12">
        <v>873</v>
      </c>
      <c r="F264" s="12">
        <v>417</v>
      </c>
      <c r="G264" s="9">
        <f t="shared" si="23"/>
        <v>268</v>
      </c>
      <c r="H264" s="12">
        <v>566</v>
      </c>
      <c r="I264" s="12">
        <v>745</v>
      </c>
      <c r="J264" s="54">
        <f>J261*J245</f>
        <v>693.3029647265982</v>
      </c>
      <c r="K264" s="40" t="s">
        <v>134</v>
      </c>
    </row>
    <row r="265" ht="15" customHeight="1">
      <c r="B265" s="37" t="s">
        <v>75</v>
      </c>
      <c r="C265" s="10" t="s">
        <v>31</v>
      </c>
      <c r="D265" s="10" t="s">
        <v>31</v>
      </c>
      <c r="E265" s="10" t="s">
        <v>31</v>
      </c>
      <c r="F265" s="10" t="s">
        <v>31</v>
      </c>
      <c r="G265" s="10" t="s">
        <v>31</v>
      </c>
      <c r="H265" s="10">
        <f t="shared" si="0"/>
        <v>0.559228650137741</v>
      </c>
      <c r="I265" s="10" t="str">
        <f t="shared" si="0"/>
        <v>n/m</v>
      </c>
      <c r="J265" s="38">
        <f t="shared" si="0"/>
        <v>-0.20583852837732164</v>
      </c>
    </row>
    <row r="266" ht="15" customHeight="1">
      <c r="B266" s="37" t="s">
        <v>92</v>
      </c>
      <c r="C266" s="50" t="s">
        <v>31</v>
      </c>
      <c r="D266" s="50">
        <f t="shared" si="1"/>
        <v>-1748</v>
      </c>
      <c r="E266" s="50">
        <f t="shared" si="1"/>
        <v>2258</v>
      </c>
      <c r="F266" s="50">
        <f t="shared" si="1"/>
        <v>-456</v>
      </c>
      <c r="G266" s="50" t="s">
        <v>31</v>
      </c>
      <c r="H266" s="50">
        <f t="shared" si="3"/>
        <v>149</v>
      </c>
      <c r="I266" s="50">
        <f t="shared" si="1"/>
        <v>179</v>
      </c>
      <c r="J266" s="51">
        <f t="shared" si="1"/>
        <v>-51.69703527340175</v>
      </c>
    </row>
    <row r="267" ht="15" customHeight="1">
      <c r="B267" s="45" t="s">
        <v>206</v>
      </c>
      <c r="C267" s="41">
        <f t="shared" si="63" ref="C267:J267">C261-C264</f>
        <v>1162</v>
      </c>
      <c r="D267" s="41">
        <f t="shared" si="63"/>
        <v>-4436</v>
      </c>
      <c r="E267" s="41">
        <f t="shared" si="63"/>
        <v>2798</v>
      </c>
      <c r="F267" s="41">
        <f t="shared" si="63"/>
        <v>1334</v>
      </c>
      <c r="G267" s="41">
        <f t="shared" si="63"/>
        <v>858</v>
      </c>
      <c r="H267" s="41">
        <f t="shared" si="63"/>
        <v>1744</v>
      </c>
      <c r="I267" s="41">
        <f t="shared" si="63"/>
        <v>2295</v>
      </c>
      <c r="J267" s="42">
        <f t="shared" si="63"/>
        <v>2136.5050545656395</v>
      </c>
    </row>
    <row r="268" ht="15" customHeight="1">
      <c r="B268" s="37" t="s">
        <v>75</v>
      </c>
      <c r="C268" s="10" t="s">
        <v>31</v>
      </c>
      <c r="D268" s="10" t="s">
        <v>31</v>
      </c>
      <c r="E268" s="10" t="s">
        <v>31</v>
      </c>
      <c r="F268" s="10" t="s">
        <v>31</v>
      </c>
      <c r="G268" s="10" t="s">
        <v>31</v>
      </c>
      <c r="H268" s="10">
        <f t="shared" si="0"/>
        <v>0.5008605851979346</v>
      </c>
      <c r="I268" s="10" t="str">
        <f t="shared" si="0"/>
        <v>n/m</v>
      </c>
      <c r="J268" s="38">
        <f t="shared" si="0"/>
        <v>-0.23641706412950692</v>
      </c>
    </row>
    <row r="269" ht="15" customHeight="1">
      <c r="B269" s="37" t="s">
        <v>92</v>
      </c>
      <c r="C269" s="50" t="s">
        <v>31</v>
      </c>
      <c r="D269" s="50">
        <f t="shared" si="1"/>
        <v>-5598</v>
      </c>
      <c r="E269" s="50">
        <f t="shared" si="1"/>
        <v>7234</v>
      </c>
      <c r="F269" s="50">
        <f t="shared" si="1"/>
        <v>-1464</v>
      </c>
      <c r="G269" s="50" t="s">
        <v>31</v>
      </c>
      <c r="H269" s="50">
        <f t="shared" si="3"/>
        <v>410</v>
      </c>
      <c r="I269" s="50">
        <f t="shared" si="1"/>
        <v>551</v>
      </c>
      <c r="J269" s="51">
        <f t="shared" si="1"/>
        <v>-158.4949454343605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3CFAA88-48D8-CE58-4E67-B7FCCE3EB03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10" width="12.00390625" customWidth="1"/>
    <col min="11" max="11" width="16.00390625" customWidth="1"/>
  </cols>
  <sheetData>
    <row r="1" ht="15" customHeight="1">
      <c r="B1" s="1" t="s">
        <v>0</v>
      </c>
    </row>
    <row r="2" ht="15" customHeight="1">
      <c r="B2" s="2" t="s">
        <v>207</v>
      </c>
    </row>
    <row r="3" ht="15" customHeight="1">
      <c r="B3" s="3" t="s">
        <v>2</v>
      </c>
    </row>
    <row r="5" ht="15" customHeight="1">
      <c r="B5" s="26" t="s">
        <v>55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7" t="s">
        <v>61</v>
      </c>
      <c r="I5" s="27" t="s">
        <v>62</v>
      </c>
      <c r="J5" s="28" t="s">
        <v>63</v>
      </c>
      <c r="K5" s="26" t="s">
        <v>64</v>
      </c>
    </row>
    <row r="6" ht="15" customHeight="1">
      <c r="B6" s="29" t="s">
        <v>65</v>
      </c>
      <c r="C6" s="30">
        <v>45747</v>
      </c>
      <c r="D6" s="30">
        <v>45838</v>
      </c>
      <c r="E6" s="30">
        <v>45930</v>
      </c>
      <c r="F6" s="30">
        <v>46022</v>
      </c>
      <c r="G6" s="30">
        <v>46022</v>
      </c>
      <c r="H6" s="30">
        <v>46112</v>
      </c>
      <c r="I6" s="30">
        <v>46203</v>
      </c>
      <c r="J6" s="31">
        <v>46295</v>
      </c>
      <c r="K6" s="29"/>
    </row>
    <row r="7" ht="15" customHeight="1">
      <c r="B7" s="32" t="s">
        <v>66</v>
      </c>
      <c r="C7" s="33">
        <v>90</v>
      </c>
      <c r="D7" s="33">
        <v>91</v>
      </c>
      <c r="E7" s="33">
        <v>92</v>
      </c>
      <c r="F7" s="33">
        <v>92</v>
      </c>
      <c r="G7" s="33">
        <v>365</v>
      </c>
      <c r="H7" s="33">
        <v>90</v>
      </c>
      <c r="I7" s="33">
        <v>91</v>
      </c>
      <c r="J7" s="34">
        <v>92</v>
      </c>
      <c r="K7" s="32"/>
    </row>
    <row r="9" ht="15" customHeight="1">
      <c r="B9" s="35" t="s">
        <v>101</v>
      </c>
    </row>
    <row r="10" ht="15" customHeight="1">
      <c r="B10" s="24" t="s">
        <v>208</v>
      </c>
      <c r="C10" s="12">
        <v>77656</v>
      </c>
      <c r="D10" s="12">
        <v>80017</v>
      </c>
      <c r="E10" s="12">
        <v>82035</v>
      </c>
      <c r="F10" s="12">
        <v>83600</v>
      </c>
      <c r="G10" s="9">
        <f t="shared" si="2" ref="G10:G140">F10</f>
        <v>83600</v>
      </c>
      <c r="H10" s="12">
        <v>85700</v>
      </c>
      <c r="I10" s="12">
        <v>89311</v>
      </c>
      <c r="J10" s="39">
        <v>92900</v>
      </c>
      <c r="K10" s="40" t="s">
        <v>209</v>
      </c>
    </row>
    <row r="11" ht="15" customHeight="1">
      <c r="B11" s="37" t="s">
        <v>75</v>
      </c>
      <c r="C11" s="10" t="s">
        <v>31</v>
      </c>
      <c r="D11" s="10" t="s">
        <v>31</v>
      </c>
      <c r="E11" s="10" t="s">
        <v>31</v>
      </c>
      <c r="F11" s="10" t="s">
        <v>31</v>
      </c>
      <c r="G11" s="10" t="s">
        <v>31</v>
      </c>
      <c r="H11" s="10">
        <f t="shared" si="0" ref="H11:J186">IF(AND(ISNUMBER(H10),ISNUMBER(C10)),IF(C10&gt;0,H10/C10-1,"n/m"),"n/a")</f>
        <v>0.10358504172246841</v>
      </c>
      <c r="I11" s="10">
        <f t="shared" si="0"/>
        <v>0.11615031805741283</v>
      </c>
      <c r="J11" s="38">
        <f t="shared" si="0"/>
        <v>0.13244346925092954</v>
      </c>
    </row>
    <row r="12" ht="15" customHeight="1">
      <c r="B12" s="37" t="s">
        <v>92</v>
      </c>
      <c r="C12" s="50" t="s">
        <v>31</v>
      </c>
      <c r="D12" s="50">
        <f t="shared" si="1" ref="D12:J187">IF(AND(ISNUMBER(D10),ISNUMBER(C10)),D10-C10,"n/a")</f>
        <v>2361</v>
      </c>
      <c r="E12" s="50">
        <f t="shared" si="1"/>
        <v>2018</v>
      </c>
      <c r="F12" s="50">
        <f t="shared" si="1"/>
        <v>1565</v>
      </c>
      <c r="G12" s="50" t="s">
        <v>31</v>
      </c>
      <c r="H12" s="50">
        <f t="shared" si="3" ref="H12:H187">IF(AND(ISNUMBER(H10),ISNUMBER(F10)),H10-F10,"n/a")</f>
        <v>2100</v>
      </c>
      <c r="I12" s="50">
        <f t="shared" si="1"/>
        <v>3611</v>
      </c>
      <c r="J12" s="51">
        <f t="shared" si="1"/>
        <v>3589</v>
      </c>
    </row>
    <row r="13" ht="15" customHeight="1">
      <c r="B13" s="24" t="s">
        <v>210</v>
      </c>
      <c r="C13" s="12">
        <v>1240</v>
      </c>
      <c r="D13" s="12">
        <v>1216</v>
      </c>
      <c r="E13" s="12">
        <v>1195</v>
      </c>
      <c r="F13" s="12">
        <v>1190</v>
      </c>
      <c r="G13" s="9">
        <f t="shared" si="2"/>
        <v>1190</v>
      </c>
      <c r="H13" s="12">
        <v>1173</v>
      </c>
      <c r="I13" s="12">
        <v>1156</v>
      </c>
      <c r="J13" s="39">
        <v>1140</v>
      </c>
      <c r="K13" s="40" t="s">
        <v>106</v>
      </c>
    </row>
    <row r="14" ht="15" customHeight="1">
      <c r="B14" s="37" t="s">
        <v>75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>
        <f t="shared" si="0"/>
        <v>-0.05403225806451617</v>
      </c>
      <c r="I14" s="10">
        <f t="shared" si="0"/>
        <v>-0.049342105263157854</v>
      </c>
      <c r="J14" s="38">
        <f t="shared" si="0"/>
        <v>-0.046025104602510414</v>
      </c>
    </row>
    <row r="15" ht="15" customHeight="1">
      <c r="B15" s="37" t="s">
        <v>92</v>
      </c>
      <c r="C15" s="50" t="s">
        <v>31</v>
      </c>
      <c r="D15" s="50">
        <f t="shared" si="1"/>
        <v>-24</v>
      </c>
      <c r="E15" s="50">
        <f t="shared" si="1"/>
        <v>-21</v>
      </c>
      <c r="F15" s="50">
        <f t="shared" si="1"/>
        <v>-5</v>
      </c>
      <c r="G15" s="50" t="s">
        <v>31</v>
      </c>
      <c r="H15" s="50">
        <f t="shared" si="3"/>
        <v>-17</v>
      </c>
      <c r="I15" s="50">
        <f t="shared" si="1"/>
        <v>-17</v>
      </c>
      <c r="J15" s="51">
        <f t="shared" si="1"/>
        <v>-16</v>
      </c>
    </row>
    <row r="16" ht="15" customHeight="1">
      <c r="B16" s="4" t="s">
        <v>211</v>
      </c>
      <c r="C16" s="41">
        <f t="shared" si="4" ref="C16:J143">C10+C13</f>
        <v>78896</v>
      </c>
      <c r="D16" s="41">
        <f t="shared" si="4"/>
        <v>81233</v>
      </c>
      <c r="E16" s="41">
        <f t="shared" si="4"/>
        <v>83230</v>
      </c>
      <c r="F16" s="41">
        <f t="shared" si="4"/>
        <v>84790</v>
      </c>
      <c r="G16" s="41">
        <f t="shared" si="4"/>
        <v>84790</v>
      </c>
      <c r="H16" s="41">
        <f t="shared" si="4"/>
        <v>86873</v>
      </c>
      <c r="I16" s="41">
        <f t="shared" si="4"/>
        <v>90467</v>
      </c>
      <c r="J16" s="42">
        <f t="shared" si="4"/>
        <v>94040</v>
      </c>
    </row>
    <row r="17" ht="15" customHeight="1">
      <c r="B17" s="37" t="s">
        <v>75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>
        <f t="shared" si="0"/>
        <v>0.10110778746704518</v>
      </c>
      <c r="I17" s="10">
        <f t="shared" si="0"/>
        <v>0.11367301466152924</v>
      </c>
      <c r="J17" s="38">
        <f t="shared" si="0"/>
        <v>0.1298810525051064</v>
      </c>
    </row>
    <row r="18" ht="15" customHeight="1">
      <c r="B18" s="37" t="s">
        <v>92</v>
      </c>
      <c r="C18" s="50" t="s">
        <v>31</v>
      </c>
      <c r="D18" s="50">
        <f t="shared" si="1"/>
        <v>2337</v>
      </c>
      <c r="E18" s="50">
        <f t="shared" si="1"/>
        <v>1997</v>
      </c>
      <c r="F18" s="50">
        <f t="shared" si="1"/>
        <v>1560</v>
      </c>
      <c r="G18" s="50" t="s">
        <v>31</v>
      </c>
      <c r="H18" s="50">
        <f t="shared" si="3"/>
        <v>2083</v>
      </c>
      <c r="I18" s="50">
        <f t="shared" si="1"/>
        <v>3594</v>
      </c>
      <c r="J18" s="51">
        <f t="shared" si="1"/>
        <v>3573</v>
      </c>
    </row>
    <row r="19" ht="15" customHeight="1">
      <c r="B19" s="35" t="s">
        <v>109</v>
      </c>
    </row>
    <row r="20" ht="15" customHeight="1">
      <c r="B20" s="24" t="s">
        <v>110</v>
      </c>
      <c r="C20" s="12">
        <v>78092</v>
      </c>
      <c r="D20" s="9">
        <f t="shared" si="5" ref="D20:J20">C16</f>
        <v>78896</v>
      </c>
      <c r="E20" s="9">
        <f t="shared" si="5"/>
        <v>81233</v>
      </c>
      <c r="F20" s="9">
        <f t="shared" si="5"/>
        <v>83230</v>
      </c>
      <c r="G20" s="9">
        <f>C20</f>
        <v>78092</v>
      </c>
      <c r="H20" s="9">
        <f>F16</f>
        <v>84790</v>
      </c>
      <c r="I20" s="9">
        <f t="shared" si="5"/>
        <v>86873</v>
      </c>
      <c r="J20" s="54">
        <f t="shared" si="5"/>
        <v>90467</v>
      </c>
      <c r="K20" s="40" t="s">
        <v>111</v>
      </c>
    </row>
    <row r="21" ht="15" customHeight="1">
      <c r="B21" s="55" t="s">
        <v>212</v>
      </c>
      <c r="C21" s="9">
        <f t="shared" si="6" ref="C21:J21">C46</f>
        <v>9210</v>
      </c>
      <c r="D21" s="9">
        <f t="shared" si="6"/>
        <v>10861</v>
      </c>
      <c r="E21" s="9">
        <f t="shared" si="6"/>
        <v>10731</v>
      </c>
      <c r="F21" s="9">
        <f t="shared" si="6"/>
        <v>10194</v>
      </c>
      <c r="G21" s="9">
        <f t="shared" si="6"/>
        <v>40996</v>
      </c>
      <c r="H21" s="9">
        <f t="shared" si="6"/>
        <v>11130</v>
      </c>
      <c r="I21" s="9">
        <f t="shared" si="6"/>
        <v>12916</v>
      </c>
      <c r="J21" s="54">
        <f t="shared" si="6"/>
        <v>13000</v>
      </c>
    </row>
    <row r="22" ht="15" customHeight="1">
      <c r="B22" s="55" t="s">
        <v>213</v>
      </c>
      <c r="C22" s="9">
        <f t="shared" si="7" ref="C22:J22">C16-C20-C21+C127</f>
        <v>-8091.874</v>
      </c>
      <c r="D22" s="9">
        <f t="shared" si="7"/>
        <v>-8263.668625</v>
      </c>
      <c r="E22" s="9">
        <f t="shared" si="7"/>
        <v>-8408.547075</v>
      </c>
      <c r="F22" s="9">
        <f t="shared" si="7"/>
        <v>-8239.44115</v>
      </c>
      <c r="G22" s="9">
        <f t="shared" si="7"/>
        <v>-33003.53085</v>
      </c>
      <c r="H22" s="9">
        <f t="shared" si="7"/>
        <v>-8682.804275</v>
      </c>
      <c r="I22" s="9">
        <f t="shared" si="7"/>
        <v>-8993.792175</v>
      </c>
      <c r="J22" s="54">
        <f t="shared" si="7"/>
        <v>-9039.1875</v>
      </c>
    </row>
    <row r="23" ht="15" customHeight="1">
      <c r="B23" s="55" t="s">
        <v>113</v>
      </c>
      <c r="C23" s="9">
        <f t="shared" si="8" ref="C23:J23">-C127</f>
        <v>-314.126</v>
      </c>
      <c r="D23" s="9">
        <f t="shared" si="8"/>
        <v>-260.331375</v>
      </c>
      <c r="E23" s="9">
        <f t="shared" si="8"/>
        <v>-325.452925</v>
      </c>
      <c r="F23" s="9">
        <f t="shared" si="8"/>
        <v>-394.55885</v>
      </c>
      <c r="G23" s="9">
        <f t="shared" si="8"/>
        <v>-1294.46915</v>
      </c>
      <c r="H23" s="9">
        <f t="shared" si="8"/>
        <v>-364.19572500000004</v>
      </c>
      <c r="I23" s="9">
        <f t="shared" si="8"/>
        <v>-328.207825</v>
      </c>
      <c r="J23" s="54">
        <f t="shared" si="8"/>
        <v>-387.8125</v>
      </c>
    </row>
    <row r="24" ht="15" customHeight="1">
      <c r="B24" s="45" t="s">
        <v>114</v>
      </c>
      <c r="C24" s="41">
        <f t="shared" si="9" ref="C24:J24">C16</f>
        <v>78896</v>
      </c>
      <c r="D24" s="41">
        <f t="shared" si="9"/>
        <v>81233</v>
      </c>
      <c r="E24" s="41">
        <f t="shared" si="9"/>
        <v>83230</v>
      </c>
      <c r="F24" s="41">
        <f t="shared" si="9"/>
        <v>84790</v>
      </c>
      <c r="G24" s="41">
        <f t="shared" si="9"/>
        <v>84790</v>
      </c>
      <c r="H24" s="41">
        <f t="shared" si="9"/>
        <v>86873</v>
      </c>
      <c r="I24" s="41">
        <f t="shared" si="9"/>
        <v>90467</v>
      </c>
      <c r="J24" s="42">
        <f t="shared" si="9"/>
        <v>94040</v>
      </c>
    </row>
    <row r="25" ht="15" customHeight="1">
      <c r="B25" s="24" t="s">
        <v>115</v>
      </c>
      <c r="C25" s="9">
        <f t="shared" si="10" ref="C25:J25">C24-C20</f>
        <v>804</v>
      </c>
      <c r="D25" s="9">
        <f t="shared" si="10"/>
        <v>2337</v>
      </c>
      <c r="E25" s="9">
        <f t="shared" si="10"/>
        <v>1997</v>
      </c>
      <c r="F25" s="9">
        <f t="shared" si="10"/>
        <v>1560</v>
      </c>
      <c r="G25" s="9">
        <f t="shared" si="10"/>
        <v>6698</v>
      </c>
      <c r="H25" s="9">
        <f t="shared" si="10"/>
        <v>2083</v>
      </c>
      <c r="I25" s="9">
        <f t="shared" si="10"/>
        <v>3594</v>
      </c>
      <c r="J25" s="54">
        <f t="shared" si="10"/>
        <v>3573</v>
      </c>
    </row>
    <row r="26" ht="15" customHeight="1">
      <c r="B26" s="37" t="s">
        <v>116</v>
      </c>
      <c r="C26" s="10">
        <f t="shared" si="11" ref="C26:J26">C25/C20</f>
        <v>0.010295548839829945</v>
      </c>
      <c r="D26" s="10">
        <f t="shared" si="11"/>
        <v>0.02962127357533969</v>
      </c>
      <c r="E26" s="10">
        <f t="shared" si="11"/>
        <v>0.02458360518508488</v>
      </c>
      <c r="F26" s="10">
        <f t="shared" si="11"/>
        <v>0.018743241619608313</v>
      </c>
      <c r="G26" s="10">
        <f t="shared" si="11"/>
        <v>0.08577062951390667</v>
      </c>
      <c r="H26" s="10">
        <f t="shared" si="11"/>
        <v>0.024566576247198962</v>
      </c>
      <c r="I26" s="10">
        <f t="shared" si="11"/>
        <v>0.04137073659249709</v>
      </c>
      <c r="J26" s="38">
        <f t="shared" si="11"/>
        <v>0.039495064498656966</v>
      </c>
    </row>
    <row r="27" ht="15" customHeight="1">
      <c r="B27" s="37" t="s">
        <v>118</v>
      </c>
      <c r="C27" s="10">
        <f t="shared" si="12" ref="C27:J27">C127*4/C20</f>
        <v>0.016090047636121495</v>
      </c>
      <c r="D27" s="10">
        <f t="shared" si="12"/>
        <v>0.013198710961265462</v>
      </c>
      <c r="E27" s="10">
        <f t="shared" si="12"/>
        <v>0.01602565090542021</v>
      </c>
      <c r="F27" s="10">
        <f t="shared" si="12"/>
        <v>0.01896233809924306</v>
      </c>
      <c r="G27" s="10">
        <f>G127/G20</f>
        <v>0.016576206909798698</v>
      </c>
      <c r="H27" s="10">
        <f t="shared" si="12"/>
        <v>0.01718106970161576</v>
      </c>
      <c r="I27" s="10">
        <f t="shared" si="12"/>
        <v>0.015112075098131757</v>
      </c>
      <c r="J27" s="38">
        <f t="shared" si="12"/>
        <v>0.01714713652492069</v>
      </c>
    </row>
    <row r="28" ht="15" customHeight="1">
      <c r="B28" s="24" t="s">
        <v>120</v>
      </c>
      <c r="C28" s="9">
        <f t="shared" si="13" ref="C28:J28">C42</f>
        <v>78480</v>
      </c>
      <c r="D28" s="9">
        <f t="shared" si="13"/>
        <v>80095</v>
      </c>
      <c r="E28" s="9">
        <f t="shared" si="13"/>
        <v>82295</v>
      </c>
      <c r="F28" s="9">
        <f t="shared" si="13"/>
        <v>83957</v>
      </c>
      <c r="G28" s="9">
        <f t="shared" si="13"/>
        <v>81225</v>
      </c>
      <c r="H28" s="9">
        <f t="shared" si="13"/>
        <v>85701</v>
      </c>
      <c r="I28" s="9">
        <f t="shared" si="13"/>
        <v>88583</v>
      </c>
      <c r="J28" s="54">
        <f t="shared" si="13"/>
        <v>92359</v>
      </c>
    </row>
    <row r="29" ht="15" customHeight="1">
      <c r="B29" s="37" t="s">
        <v>121</v>
      </c>
      <c r="C29" s="10">
        <f t="shared" si="14" ref="C29:J29">C42/C24</f>
        <v>0.9947272358547962</v>
      </c>
      <c r="D29" s="10">
        <f t="shared" si="14"/>
        <v>0.98599091502222</v>
      </c>
      <c r="E29" s="10">
        <f t="shared" si="14"/>
        <v>0.9887660699267091</v>
      </c>
      <c r="F29" s="10">
        <f t="shared" si="14"/>
        <v>0.9901757282698431</v>
      </c>
      <c r="G29" s="10">
        <f t="shared" si="14"/>
        <v>0.957954947517396</v>
      </c>
      <c r="H29" s="10">
        <f t="shared" si="14"/>
        <v>0.9865090419347784</v>
      </c>
      <c r="I29" s="10">
        <f t="shared" si="14"/>
        <v>0.9791747266959223</v>
      </c>
      <c r="J29" s="38">
        <f t="shared" si="14"/>
        <v>0.9821246278179498</v>
      </c>
    </row>
    <row r="30" ht="15" customHeight="1">
      <c r="B30" s="35" t="s">
        <v>123</v>
      </c>
    </row>
    <row r="31" ht="15" customHeight="1">
      <c r="B31" s="24" t="s">
        <v>208</v>
      </c>
      <c r="C31" s="12">
        <v>77228</v>
      </c>
      <c r="D31" s="12">
        <v>78875</v>
      </c>
      <c r="E31" s="12">
        <v>81094</v>
      </c>
      <c r="F31" s="12">
        <v>82767</v>
      </c>
      <c r="G31" s="12">
        <v>80009</v>
      </c>
      <c r="H31" s="12">
        <v>84522</v>
      </c>
      <c r="I31" s="12">
        <v>87419</v>
      </c>
      <c r="J31" s="54">
        <f>AVERAGE(J34:J36)</f>
        <v>91209</v>
      </c>
      <c r="K31" s="40" t="s">
        <v>106</v>
      </c>
    </row>
    <row r="32" ht="15" customHeight="1">
      <c r="B32" s="37" t="s">
        <v>75</v>
      </c>
      <c r="C32" s="10" t="s">
        <v>31</v>
      </c>
      <c r="D32" s="10" t="s">
        <v>31</v>
      </c>
      <c r="E32" s="10" t="s">
        <v>31</v>
      </c>
      <c r="F32" s="10" t="s">
        <v>31</v>
      </c>
      <c r="G32" s="10" t="s">
        <v>31</v>
      </c>
      <c r="H32" s="10">
        <f t="shared" si="0"/>
        <v>0.09444760967524735</v>
      </c>
      <c r="I32" s="10">
        <f t="shared" si="0"/>
        <v>0.10832329635499205</v>
      </c>
      <c r="J32" s="38">
        <f t="shared" si="0"/>
        <v>0.12473179273435764</v>
      </c>
    </row>
    <row r="33" ht="15" customHeight="1">
      <c r="B33" s="37" t="s">
        <v>92</v>
      </c>
      <c r="C33" s="50" t="s">
        <v>31</v>
      </c>
      <c r="D33" s="50">
        <f t="shared" si="1"/>
        <v>1647</v>
      </c>
      <c r="E33" s="50">
        <f t="shared" si="1"/>
        <v>2219</v>
      </c>
      <c r="F33" s="50">
        <f t="shared" si="1"/>
        <v>1673</v>
      </c>
      <c r="G33" s="50" t="s">
        <v>31</v>
      </c>
      <c r="H33" s="50">
        <f t="shared" si="3"/>
        <v>1755</v>
      </c>
      <c r="I33" s="50">
        <f t="shared" si="1"/>
        <v>2897</v>
      </c>
      <c r="J33" s="51">
        <f t="shared" si="1"/>
        <v>3790</v>
      </c>
    </row>
    <row r="34" ht="15" customHeight="1">
      <c r="B34" s="55" t="s">
        <v>214</v>
      </c>
      <c r="J34" s="39">
        <v>89899</v>
      </c>
      <c r="K34" s="40" t="s">
        <v>125</v>
      </c>
    </row>
    <row r="35" ht="15" customHeight="1">
      <c r="B35" s="55" t="s">
        <v>215</v>
      </c>
      <c r="J35" s="39">
        <v>91228</v>
      </c>
      <c r="K35" s="40" t="s">
        <v>127</v>
      </c>
    </row>
    <row r="36" ht="15" customHeight="1">
      <c r="B36" s="55" t="s">
        <v>216</v>
      </c>
      <c r="J36" s="39">
        <v>92500</v>
      </c>
      <c r="K36" s="40" t="s">
        <v>129</v>
      </c>
    </row>
    <row r="37" ht="15" customHeight="1">
      <c r="B37" s="37" t="s">
        <v>75</v>
      </c>
      <c r="C37" s="10" t="s">
        <v>31</v>
      </c>
      <c r="D37" s="10" t="s">
        <v>31</v>
      </c>
      <c r="E37" s="10" t="s">
        <v>31</v>
      </c>
      <c r="F37" s="10" t="s">
        <v>31</v>
      </c>
      <c r="G37" s="10" t="s">
        <v>31</v>
      </c>
      <c r="H37" s="10">
        <f t="shared" si="15" ref="H37:J174">IF(AND(ISNUMBER(H31),ISNUMBER(C31)),IF(C31&gt;0,H31/C31-1,"n/m"),"n/a")</f>
        <v>0.09444760967524735</v>
      </c>
      <c r="I37" s="10">
        <f t="shared" si="15"/>
        <v>0.10832329635499205</v>
      </c>
      <c r="J37" s="38">
        <f t="shared" si="15"/>
        <v>0.12473179273435764</v>
      </c>
    </row>
    <row r="38" ht="15" customHeight="1">
      <c r="B38" s="37" t="s">
        <v>92</v>
      </c>
      <c r="C38" s="50" t="s">
        <v>31</v>
      </c>
      <c r="D38" s="50">
        <f t="shared" si="16" ref="D38:J175">IF(AND(ISNUMBER(D31),ISNUMBER(C31)),D31-C31,"n/a")</f>
        <v>1647</v>
      </c>
      <c r="E38" s="50">
        <f t="shared" si="16"/>
        <v>2219</v>
      </c>
      <c r="F38" s="50">
        <f t="shared" si="16"/>
        <v>1673</v>
      </c>
      <c r="G38" s="50" t="s">
        <v>31</v>
      </c>
      <c r="H38" s="50">
        <f t="shared" si="26" ref="H38:H175">IF(AND(ISNUMBER(H31),ISNUMBER(F31)),H31-F31,"n/a")</f>
        <v>1755</v>
      </c>
      <c r="I38" s="50">
        <f t="shared" si="16"/>
        <v>2897</v>
      </c>
      <c r="J38" s="51">
        <f t="shared" si="16"/>
        <v>3790</v>
      </c>
    </row>
    <row r="39" ht="15" customHeight="1">
      <c r="B39" s="24" t="s">
        <v>210</v>
      </c>
      <c r="C39" s="12">
        <v>1252</v>
      </c>
      <c r="D39" s="12">
        <v>1220</v>
      </c>
      <c r="E39" s="12">
        <v>1201</v>
      </c>
      <c r="F39" s="12">
        <v>1190</v>
      </c>
      <c r="G39" s="12">
        <v>1216</v>
      </c>
      <c r="H39" s="12">
        <v>1179</v>
      </c>
      <c r="I39" s="12">
        <v>1164</v>
      </c>
      <c r="J39" s="39">
        <v>1150</v>
      </c>
      <c r="K39" s="40" t="s">
        <v>106</v>
      </c>
    </row>
    <row r="40" ht="15" customHeight="1">
      <c r="B40" s="37" t="s">
        <v>75</v>
      </c>
      <c r="C40" s="10" t="s">
        <v>31</v>
      </c>
      <c r="D40" s="10" t="s">
        <v>31</v>
      </c>
      <c r="E40" s="10" t="s">
        <v>31</v>
      </c>
      <c r="F40" s="10" t="s">
        <v>31</v>
      </c>
      <c r="G40" s="10" t="s">
        <v>31</v>
      </c>
      <c r="H40" s="10">
        <f t="shared" si="0"/>
        <v>-0.05830670926517567</v>
      </c>
      <c r="I40" s="10">
        <f t="shared" si="0"/>
        <v>-0.04590163934426228</v>
      </c>
      <c r="J40" s="38">
        <f t="shared" si="0"/>
        <v>-0.042464612822647796</v>
      </c>
    </row>
    <row r="41" ht="15" customHeight="1">
      <c r="B41" s="37" t="s">
        <v>92</v>
      </c>
      <c r="C41" s="50" t="s">
        <v>31</v>
      </c>
      <c r="D41" s="50">
        <f t="shared" si="1"/>
        <v>-32</v>
      </c>
      <c r="E41" s="50">
        <f t="shared" si="1"/>
        <v>-19</v>
      </c>
      <c r="F41" s="50">
        <f t="shared" si="1"/>
        <v>-11</v>
      </c>
      <c r="G41" s="50" t="s">
        <v>31</v>
      </c>
      <c r="H41" s="50">
        <f t="shared" si="3"/>
        <v>-11</v>
      </c>
      <c r="I41" s="50">
        <f t="shared" si="1"/>
        <v>-15</v>
      </c>
      <c r="J41" s="51">
        <f t="shared" si="1"/>
        <v>-14</v>
      </c>
    </row>
    <row r="42" ht="15" customHeight="1">
      <c r="B42" s="4" t="s">
        <v>130</v>
      </c>
      <c r="C42" s="41">
        <f t="shared" si="17" ref="C42:J42">C31+C39</f>
        <v>78480</v>
      </c>
      <c r="D42" s="41">
        <f t="shared" si="17"/>
        <v>80095</v>
      </c>
      <c r="E42" s="41">
        <f t="shared" si="17"/>
        <v>82295</v>
      </c>
      <c r="F42" s="41">
        <f t="shared" si="17"/>
        <v>83957</v>
      </c>
      <c r="G42" s="41">
        <f t="shared" si="17"/>
        <v>81225</v>
      </c>
      <c r="H42" s="41">
        <f t="shared" si="17"/>
        <v>85701</v>
      </c>
      <c r="I42" s="41">
        <f t="shared" si="17"/>
        <v>88583</v>
      </c>
      <c r="J42" s="42">
        <f t="shared" si="17"/>
        <v>92359</v>
      </c>
    </row>
    <row r="43" ht="15" customHeight="1">
      <c r="B43" s="37" t="s">
        <v>75</v>
      </c>
      <c r="C43" s="10" t="s">
        <v>31</v>
      </c>
      <c r="D43" s="10" t="s">
        <v>31</v>
      </c>
      <c r="E43" s="10" t="s">
        <v>31</v>
      </c>
      <c r="F43" s="10" t="s">
        <v>31</v>
      </c>
      <c r="G43" s="10" t="s">
        <v>31</v>
      </c>
      <c r="H43" s="10">
        <f t="shared" si="0"/>
        <v>0.09201070336391437</v>
      </c>
      <c r="I43" s="10">
        <f t="shared" si="0"/>
        <v>0.10597415569011792</v>
      </c>
      <c r="J43" s="38">
        <f t="shared" si="0"/>
        <v>0.1222917552706726</v>
      </c>
    </row>
    <row r="44" ht="15" customHeight="1">
      <c r="B44" s="37" t="s">
        <v>92</v>
      </c>
      <c r="C44" s="50" t="s">
        <v>31</v>
      </c>
      <c r="D44" s="50">
        <f t="shared" si="1"/>
        <v>1615</v>
      </c>
      <c r="E44" s="50">
        <f t="shared" si="1"/>
        <v>2200</v>
      </c>
      <c r="F44" s="50">
        <f t="shared" si="1"/>
        <v>1662</v>
      </c>
      <c r="G44" s="50" t="s">
        <v>31</v>
      </c>
      <c r="H44" s="50">
        <f t="shared" si="3"/>
        <v>1744</v>
      </c>
      <c r="I44" s="50">
        <f t="shared" si="1"/>
        <v>2882</v>
      </c>
      <c r="J44" s="51">
        <f t="shared" si="1"/>
        <v>3776</v>
      </c>
    </row>
    <row r="45" ht="15" customHeight="1">
      <c r="B45" s="43" t="s">
        <v>217</v>
      </c>
      <c r="C45" s="10">
        <f t="shared" si="18" ref="C45:J45">IF(AND(ISNUMBER(C31),C42&lt;&gt;0),C31/C42,"n/a")</f>
        <v>0.9840468909276249</v>
      </c>
      <c r="D45" s="10">
        <f t="shared" si="18"/>
        <v>0.984768087895624</v>
      </c>
      <c r="E45" s="10">
        <f t="shared" si="18"/>
        <v>0.9854061607631084</v>
      </c>
      <c r="F45" s="10">
        <f t="shared" si="18"/>
        <v>0.9858260776349798</v>
      </c>
      <c r="G45" s="10">
        <f t="shared" si="18"/>
        <v>0.9850292397660819</v>
      </c>
      <c r="H45" s="10">
        <f t="shared" si="18"/>
        <v>0.9862428676444849</v>
      </c>
      <c r="I45" s="10">
        <f t="shared" si="18"/>
        <v>0.9868597812221307</v>
      </c>
      <c r="J45" s="38">
        <f t="shared" si="18"/>
        <v>0.9875485875767386</v>
      </c>
    </row>
    <row r="46" ht="15" customHeight="1">
      <c r="B46" s="24" t="s">
        <v>218</v>
      </c>
      <c r="C46" s="12">
        <v>9210</v>
      </c>
      <c r="D46" s="12">
        <v>10861</v>
      </c>
      <c r="E46" s="12">
        <v>10731</v>
      </c>
      <c r="F46" s="12">
        <v>10194</v>
      </c>
      <c r="G46" s="9">
        <f t="shared" si="24" ref="G46:G179">SUM(C46:F46)</f>
        <v>40996</v>
      </c>
      <c r="H46" s="12">
        <v>11130</v>
      </c>
      <c r="I46" s="12">
        <v>12916</v>
      </c>
      <c r="J46" s="39">
        <v>13000</v>
      </c>
      <c r="K46" s="40" t="s">
        <v>219</v>
      </c>
    </row>
    <row r="47" ht="15" customHeight="1">
      <c r="B47" s="37" t="s">
        <v>75</v>
      </c>
      <c r="C47" s="10" t="s">
        <v>31</v>
      </c>
      <c r="D47" s="10" t="s">
        <v>31</v>
      </c>
      <c r="E47" s="10" t="s">
        <v>31</v>
      </c>
      <c r="F47" s="10" t="s">
        <v>31</v>
      </c>
      <c r="G47" s="10" t="s">
        <v>31</v>
      </c>
      <c r="H47" s="10">
        <f t="shared" si="0"/>
        <v>0.20846905537459293</v>
      </c>
      <c r="I47" s="10">
        <f t="shared" si="0"/>
        <v>0.18920909676825337</v>
      </c>
      <c r="J47" s="38">
        <f t="shared" si="0"/>
        <v>0.21144348150218994</v>
      </c>
    </row>
    <row r="48" ht="15" customHeight="1">
      <c r="B48" s="37" t="s">
        <v>92</v>
      </c>
      <c r="C48" s="50" t="s">
        <v>31</v>
      </c>
      <c r="D48" s="50">
        <f t="shared" si="1"/>
        <v>1651</v>
      </c>
      <c r="E48" s="50">
        <f t="shared" si="1"/>
        <v>-130</v>
      </c>
      <c r="F48" s="50">
        <f t="shared" si="1"/>
        <v>-537</v>
      </c>
      <c r="G48" s="50" t="s">
        <v>31</v>
      </c>
      <c r="H48" s="50">
        <f t="shared" si="3"/>
        <v>936</v>
      </c>
      <c r="I48" s="50">
        <f t="shared" si="1"/>
        <v>1786</v>
      </c>
      <c r="J48" s="51">
        <f t="shared" si="1"/>
        <v>84</v>
      </c>
    </row>
    <row r="49" ht="15" customHeight="1">
      <c r="B49" s="43" t="s">
        <v>152</v>
      </c>
      <c r="C49" s="20">
        <v>0.0903</v>
      </c>
      <c r="D49" s="20">
        <v>0.093</v>
      </c>
      <c r="E49" s="20">
        <v>0.0952</v>
      </c>
      <c r="F49" s="20">
        <v>0.0959</v>
      </c>
      <c r="G49" s="20">
        <v>0.0936</v>
      </c>
      <c r="H49" s="20">
        <v>0.0943</v>
      </c>
      <c r="I49" s="20">
        <v>0.0957</v>
      </c>
      <c r="J49" s="56">
        <v>0.096</v>
      </c>
      <c r="K49" s="40" t="s">
        <v>219</v>
      </c>
    </row>
    <row r="50" ht="15" customHeight="1">
      <c r="B50" s="37" t="s">
        <v>137</v>
      </c>
      <c r="C50" s="58" t="s">
        <v>31</v>
      </c>
      <c r="D50" s="58">
        <f t="shared" si="19" ref="D50:J189">IF(AND(ISNUMBER(D49),ISNUMBER(C49)),(D49-C49)*10000,"n/a")</f>
        <v>26.99999999999994</v>
      </c>
      <c r="E50" s="58">
        <f t="shared" si="19"/>
        <v>22.000000000000075</v>
      </c>
      <c r="F50" s="58">
        <f t="shared" si="19"/>
        <v>6.999999999999923</v>
      </c>
      <c r="G50" s="58" t="s">
        <v>31</v>
      </c>
      <c r="H50" s="58">
        <f t="shared" si="22" ref="H50:H189">IF(AND(ISNUMBER(H49),ISNUMBER(F49)),(H49-F49)*10000,"n/a")</f>
        <v>-16.000000000000043</v>
      </c>
      <c r="I50" s="58">
        <f t="shared" si="19"/>
        <v>13.999999999999984</v>
      </c>
      <c r="J50" s="59">
        <f t="shared" si="19"/>
        <v>3.000000000000086</v>
      </c>
    </row>
    <row r="51" ht="15" customHeight="1">
      <c r="B51" s="37" t="s">
        <v>138</v>
      </c>
      <c r="C51" s="58" t="s">
        <v>31</v>
      </c>
      <c r="D51" s="58" t="s">
        <v>31</v>
      </c>
      <c r="E51" s="58" t="s">
        <v>31</v>
      </c>
      <c r="F51" s="58" t="s">
        <v>31</v>
      </c>
      <c r="G51" s="58" t="s">
        <v>31</v>
      </c>
      <c r="H51" s="58">
        <f t="shared" si="20" ref="H51:J190">IF(AND(ISNUMBER(H49),ISNUMBER(C49)),(H49-C49)*10000,"n/a")</f>
        <v>39.99999999999989</v>
      </c>
      <c r="I51" s="58">
        <f t="shared" si="20"/>
        <v>26.99999999999994</v>
      </c>
      <c r="J51" s="59">
        <f t="shared" si="20"/>
        <v>7.999999999999952</v>
      </c>
    </row>
    <row r="52" ht="15" customHeight="1">
      <c r="B52" s="37" t="s">
        <v>220</v>
      </c>
      <c r="C52" s="50">
        <f t="shared" si="21" ref="C52:J52">C49*C42/4</f>
        <v>1771.6860000000001</v>
      </c>
      <c r="D52" s="50">
        <f t="shared" si="21"/>
        <v>1862.20875</v>
      </c>
      <c r="E52" s="50">
        <f t="shared" si="21"/>
        <v>1958.621</v>
      </c>
      <c r="F52" s="50">
        <f t="shared" si="21"/>
        <v>2012.869075</v>
      </c>
      <c r="G52" s="50">
        <f>G49*G42</f>
        <v>7602.66</v>
      </c>
      <c r="H52" s="50">
        <f t="shared" si="21"/>
        <v>2020.401075</v>
      </c>
      <c r="I52" s="50">
        <f t="shared" si="21"/>
        <v>2119.348275</v>
      </c>
      <c r="J52" s="51">
        <f t="shared" si="21"/>
        <v>2216.616</v>
      </c>
    </row>
    <row r="53" ht="15" customHeight="1">
      <c r="B53" s="57" t="s">
        <v>75</v>
      </c>
      <c r="C53" s="10" t="s">
        <v>31</v>
      </c>
      <c r="D53" s="10" t="s">
        <v>31</v>
      </c>
      <c r="E53" s="10" t="s">
        <v>31</v>
      </c>
      <c r="F53" s="10" t="s">
        <v>31</v>
      </c>
      <c r="G53" s="10" t="s">
        <v>31</v>
      </c>
      <c r="H53" s="10">
        <f t="shared" si="0"/>
        <v>0.14038327051181754</v>
      </c>
      <c r="I53" s="10">
        <f t="shared" si="0"/>
        <v>0.13808308279079884</v>
      </c>
      <c r="J53" s="38">
        <f t="shared" si="0"/>
        <v>0.13172277842420765</v>
      </c>
    </row>
    <row r="54" ht="15" customHeight="1">
      <c r="B54" s="57" t="s">
        <v>92</v>
      </c>
      <c r="C54" s="50" t="s">
        <v>31</v>
      </c>
      <c r="D54" s="50">
        <f t="shared" si="1"/>
        <v>90.52274999999986</v>
      </c>
      <c r="E54" s="50">
        <f t="shared" si="1"/>
        <v>96.41225000000009</v>
      </c>
      <c r="F54" s="50">
        <f t="shared" si="1"/>
        <v>54.24807499999997</v>
      </c>
      <c r="G54" s="50" t="s">
        <v>31</v>
      </c>
      <c r="H54" s="50">
        <f t="shared" si="3"/>
        <v>7.531999999999925</v>
      </c>
      <c r="I54" s="50">
        <f t="shared" si="1"/>
        <v>98.94719999999984</v>
      </c>
      <c r="J54" s="51">
        <f t="shared" si="1"/>
        <v>97.26772500000015</v>
      </c>
    </row>
    <row r="55" ht="15" customHeight="1">
      <c r="B55" s="35" t="s">
        <v>221</v>
      </c>
    </row>
    <row r="56" ht="15" customHeight="1">
      <c r="B56" s="24" t="s">
        <v>222</v>
      </c>
      <c r="C56" s="12">
        <v>324920</v>
      </c>
      <c r="D56" s="12">
        <v>414044</v>
      </c>
      <c r="E56" s="12">
        <v>416765</v>
      </c>
      <c r="F56" s="12">
        <v>423932</v>
      </c>
      <c r="G56" s="9">
        <f t="shared" si="2"/>
        <v>423932</v>
      </c>
      <c r="H56" s="12">
        <v>438034</v>
      </c>
      <c r="I56" s="12">
        <v>435221</v>
      </c>
      <c r="J56" s="39">
        <v>438000</v>
      </c>
      <c r="K56" s="40" t="s">
        <v>219</v>
      </c>
    </row>
    <row r="57" ht="15" customHeight="1">
      <c r="B57" s="37" t="s">
        <v>75</v>
      </c>
      <c r="C57" s="10" t="s">
        <v>31</v>
      </c>
      <c r="D57" s="10" t="s">
        <v>31</v>
      </c>
      <c r="E57" s="10" t="s">
        <v>31</v>
      </c>
      <c r="F57" s="10" t="s">
        <v>31</v>
      </c>
      <c r="G57" s="10" t="s">
        <v>31</v>
      </c>
      <c r="H57" s="10">
        <f t="shared" si="0"/>
        <v>0.3481287701588083</v>
      </c>
      <c r="I57" s="10">
        <f t="shared" si="0"/>
        <v>0.05114673802784253</v>
      </c>
      <c r="J57" s="38">
        <f t="shared" si="0"/>
        <v>0.05095197533382123</v>
      </c>
    </row>
    <row r="58" ht="15" customHeight="1">
      <c r="B58" s="37" t="s">
        <v>92</v>
      </c>
      <c r="C58" s="50" t="s">
        <v>31</v>
      </c>
      <c r="D58" s="50">
        <f t="shared" si="1"/>
        <v>89124</v>
      </c>
      <c r="E58" s="50">
        <f t="shared" si="1"/>
        <v>2721</v>
      </c>
      <c r="F58" s="50">
        <f t="shared" si="1"/>
        <v>7167</v>
      </c>
      <c r="G58" s="50" t="s">
        <v>31</v>
      </c>
      <c r="H58" s="50">
        <f t="shared" si="3"/>
        <v>14102</v>
      </c>
      <c r="I58" s="50">
        <f t="shared" si="1"/>
        <v>-2813</v>
      </c>
      <c r="J58" s="51">
        <f t="shared" si="1"/>
        <v>2779</v>
      </c>
    </row>
    <row r="59" ht="15" customHeight="1">
      <c r="B59" s="24" t="s">
        <v>223</v>
      </c>
      <c r="C59" s="12">
        <v>319950</v>
      </c>
      <c r="D59" s="12">
        <v>365359</v>
      </c>
      <c r="E59" s="12">
        <v>414219</v>
      </c>
      <c r="F59" s="12">
        <v>418673</v>
      </c>
      <c r="G59" s="12">
        <v>379915</v>
      </c>
      <c r="H59" s="12">
        <v>428391</v>
      </c>
      <c r="I59" s="12">
        <v>435890</v>
      </c>
      <c r="J59" s="39">
        <v>437000</v>
      </c>
      <c r="K59" s="40" t="s">
        <v>219</v>
      </c>
    </row>
    <row r="60" ht="15" customHeight="1">
      <c r="B60" s="37" t="s">
        <v>75</v>
      </c>
      <c r="C60" s="10" t="s">
        <v>31</v>
      </c>
      <c r="D60" s="10" t="s">
        <v>31</v>
      </c>
      <c r="E60" s="10" t="s">
        <v>31</v>
      </c>
      <c r="F60" s="10" t="s">
        <v>31</v>
      </c>
      <c r="G60" s="10" t="s">
        <v>31</v>
      </c>
      <c r="H60" s="10">
        <f t="shared" si="0"/>
        <v>0.3389310829817158</v>
      </c>
      <c r="I60" s="10">
        <f t="shared" si="0"/>
        <v>0.19304574404900388</v>
      </c>
      <c r="J60" s="38">
        <f t="shared" si="0"/>
        <v>0.054997477179945964</v>
      </c>
    </row>
    <row r="61" ht="15" customHeight="1">
      <c r="B61" s="37" t="s">
        <v>92</v>
      </c>
      <c r="C61" s="50" t="s">
        <v>31</v>
      </c>
      <c r="D61" s="50">
        <f t="shared" si="1"/>
        <v>45409</v>
      </c>
      <c r="E61" s="50">
        <f t="shared" si="1"/>
        <v>48860</v>
      </c>
      <c r="F61" s="50">
        <f t="shared" si="1"/>
        <v>4454</v>
      </c>
      <c r="G61" s="50" t="s">
        <v>31</v>
      </c>
      <c r="H61" s="50">
        <f t="shared" si="3"/>
        <v>9718</v>
      </c>
      <c r="I61" s="50">
        <f t="shared" si="1"/>
        <v>7499</v>
      </c>
      <c r="J61" s="51">
        <f t="shared" si="1"/>
        <v>1110</v>
      </c>
    </row>
    <row r="62" ht="15" customHeight="1">
      <c r="B62" s="43" t="s">
        <v>224</v>
      </c>
      <c r="C62" s="20">
        <v>0.03</v>
      </c>
      <c r="D62" s="20">
        <v>0.0302</v>
      </c>
      <c r="E62" s="20">
        <v>0.0307</v>
      </c>
      <c r="F62" s="20">
        <v>0.0298</v>
      </c>
      <c r="G62" s="20">
        <v>0.0302</v>
      </c>
      <c r="H62" s="20">
        <v>0.0284</v>
      </c>
      <c r="I62" s="20">
        <v>0.0276</v>
      </c>
      <c r="J62" s="56">
        <v>0.0272</v>
      </c>
      <c r="K62" s="40" t="s">
        <v>219</v>
      </c>
    </row>
    <row r="63" ht="15" customHeight="1">
      <c r="B63" s="37" t="s">
        <v>137</v>
      </c>
      <c r="C63" s="58" t="s">
        <v>31</v>
      </c>
      <c r="D63" s="58">
        <f t="shared" si="19"/>
        <v>2.0000000000000226</v>
      </c>
      <c r="E63" s="58">
        <f t="shared" si="19"/>
        <v>5.000000000000004</v>
      </c>
      <c r="F63" s="58">
        <f t="shared" si="19"/>
        <v>-9.000000000000014</v>
      </c>
      <c r="G63" s="58" t="s">
        <v>31</v>
      </c>
      <c r="H63" s="58">
        <f t="shared" si="22"/>
        <v>-13.999999999999984</v>
      </c>
      <c r="I63" s="58">
        <f t="shared" si="19"/>
        <v>-8.000000000000021</v>
      </c>
      <c r="J63" s="59">
        <f t="shared" si="19"/>
        <v>-4.000000000000011</v>
      </c>
    </row>
    <row r="64" ht="15" customHeight="1">
      <c r="B64" s="37" t="s">
        <v>138</v>
      </c>
      <c r="C64" s="58" t="s">
        <v>31</v>
      </c>
      <c r="D64" s="58" t="s">
        <v>31</v>
      </c>
      <c r="E64" s="58" t="s">
        <v>31</v>
      </c>
      <c r="F64" s="58" t="s">
        <v>31</v>
      </c>
      <c r="G64" s="58" t="s">
        <v>31</v>
      </c>
      <c r="H64" s="58">
        <f t="shared" si="20"/>
        <v>-15.999999999999973</v>
      </c>
      <c r="I64" s="58">
        <f t="shared" si="20"/>
        <v>-26.000000000000018</v>
      </c>
      <c r="J64" s="59">
        <f t="shared" si="20"/>
        <v>-35.00000000000003</v>
      </c>
    </row>
    <row r="65" ht="15" customHeight="1">
      <c r="B65" s="43" t="s">
        <v>225</v>
      </c>
      <c r="C65" s="10">
        <f t="shared" si="23" ref="C65:J65">C42/C59</f>
        <v>0.24528832630098452</v>
      </c>
      <c r="D65" s="10">
        <f t="shared" si="23"/>
        <v>0.21922273708872644</v>
      </c>
      <c r="E65" s="10">
        <f t="shared" si="23"/>
        <v>0.19867509698975663</v>
      </c>
      <c r="F65" s="10">
        <f t="shared" si="23"/>
        <v>0.2005312021553814</v>
      </c>
      <c r="G65" s="10">
        <f t="shared" si="23"/>
        <v>0.21379782319729412</v>
      </c>
      <c r="H65" s="10">
        <f t="shared" si="23"/>
        <v>0.2000532224066332</v>
      </c>
      <c r="I65" s="10">
        <f t="shared" si="23"/>
        <v>0.20322329027965771</v>
      </c>
      <c r="J65" s="38">
        <f t="shared" si="23"/>
        <v>0.21134782608695651</v>
      </c>
    </row>
    <row r="66" ht="15" customHeight="1">
      <c r="B66" s="37" t="s">
        <v>137</v>
      </c>
      <c r="C66" s="58" t="s">
        <v>31</v>
      </c>
      <c r="D66" s="58">
        <f t="shared" si="19"/>
        <v>-260.6558921225807</v>
      </c>
      <c r="E66" s="58">
        <f t="shared" si="19"/>
        <v>-205.4764009896981</v>
      </c>
      <c r="F66" s="58">
        <f t="shared" si="19"/>
        <v>18.561051656247606</v>
      </c>
      <c r="G66" s="58" t="s">
        <v>31</v>
      </c>
      <c r="H66" s="58">
        <f t="shared" si="22"/>
        <v>-4.779797487481918</v>
      </c>
      <c r="I66" s="58">
        <f t="shared" si="19"/>
        <v>31.700678730245123</v>
      </c>
      <c r="J66" s="59">
        <f t="shared" si="19"/>
        <v>81.245358072988</v>
      </c>
    </row>
    <row r="67" ht="15" customHeight="1">
      <c r="B67" s="37" t="s">
        <v>138</v>
      </c>
      <c r="C67" s="58" t="s">
        <v>31</v>
      </c>
      <c r="D67" s="58" t="s">
        <v>31</v>
      </c>
      <c r="E67" s="58" t="s">
        <v>31</v>
      </c>
      <c r="F67" s="58" t="s">
        <v>31</v>
      </c>
      <c r="G67" s="58" t="s">
        <v>31</v>
      </c>
      <c r="H67" s="58">
        <f t="shared" si="20"/>
        <v>-452.3510389435131</v>
      </c>
      <c r="I67" s="58">
        <f t="shared" si="20"/>
        <v>-159.9944680906873</v>
      </c>
      <c r="J67" s="59">
        <f t="shared" si="20"/>
        <v>126.72729097199881</v>
      </c>
    </row>
    <row r="68" ht="15" customHeight="1">
      <c r="B68" s="35" t="s">
        <v>226</v>
      </c>
    </row>
    <row r="69" ht="15" customHeight="1">
      <c r="B69" s="24" t="s">
        <v>227</v>
      </c>
      <c r="C69" s="12">
        <v>1943</v>
      </c>
      <c r="D69" s="12">
        <v>2162</v>
      </c>
      <c r="E69" s="12">
        <v>2357</v>
      </c>
      <c r="F69" s="12">
        <v>2296</v>
      </c>
      <c r="G69" s="9">
        <f t="shared" si="24"/>
        <v>8758</v>
      </c>
      <c r="H69" s="12">
        <v>2229</v>
      </c>
      <c r="I69" s="12">
        <v>2431</v>
      </c>
      <c r="J69" s="54">
        <f>J59*J72*J$7/365</f>
        <v>2478.328767123288</v>
      </c>
      <c r="K69" s="40" t="s">
        <v>219</v>
      </c>
    </row>
    <row r="70" ht="15" customHeight="1">
      <c r="B70" s="37" t="s">
        <v>75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>
        <f t="shared" si="0"/>
        <v>0.14719505918682452</v>
      </c>
      <c r="I70" s="10">
        <f t="shared" si="0"/>
        <v>0.12442183163737286</v>
      </c>
      <c r="J70" s="38">
        <f t="shared" si="0"/>
        <v>0.0514759300480645</v>
      </c>
    </row>
    <row r="71" ht="15" customHeight="1">
      <c r="B71" s="37" t="s">
        <v>92</v>
      </c>
      <c r="C71" s="50" t="s">
        <v>31</v>
      </c>
      <c r="D71" s="50">
        <f t="shared" si="1"/>
        <v>219</v>
      </c>
      <c r="E71" s="50">
        <f t="shared" si="1"/>
        <v>195</v>
      </c>
      <c r="F71" s="50">
        <f t="shared" si="1"/>
        <v>-61</v>
      </c>
      <c r="G71" s="50" t="s">
        <v>31</v>
      </c>
      <c r="H71" s="50">
        <f t="shared" si="3"/>
        <v>-67</v>
      </c>
      <c r="I71" s="50">
        <f t="shared" si="1"/>
        <v>202</v>
      </c>
      <c r="J71" s="51">
        <f t="shared" si="1"/>
        <v>47.32876712328789</v>
      </c>
    </row>
    <row r="72" ht="15" customHeight="1">
      <c r="B72" s="37" t="s">
        <v>228</v>
      </c>
      <c r="C72" s="10">
        <f t="shared" si="25" ref="C72:I72">IF(C59&gt;0,C69/C59*365/C$7,"n/a")</f>
        <v>0.024628674619298154</v>
      </c>
      <c r="D72" s="10">
        <f t="shared" si="25"/>
        <v>0.023734897023908654</v>
      </c>
      <c r="E72" s="10">
        <f t="shared" si="25"/>
        <v>0.02257535580054953</v>
      </c>
      <c r="F72" s="10">
        <f t="shared" si="25"/>
        <v>0.0217571480243116</v>
      </c>
      <c r="G72" s="10">
        <f>G69/G59</f>
        <v>0.023052524906887067</v>
      </c>
      <c r="H72" s="10">
        <f t="shared" si="25"/>
        <v>0.021101828314164708</v>
      </c>
      <c r="I72" s="10">
        <f t="shared" si="25"/>
        <v>0.022369667314492844</v>
      </c>
      <c r="J72" s="56">
        <v>0.0225</v>
      </c>
      <c r="K72" s="40" t="s">
        <v>145</v>
      </c>
    </row>
    <row r="73" ht="15" customHeight="1">
      <c r="B73" s="57" t="s">
        <v>137</v>
      </c>
      <c r="C73" s="58" t="s">
        <v>31</v>
      </c>
      <c r="D73" s="58">
        <f t="shared" si="19"/>
        <v>-8.937775953894999</v>
      </c>
      <c r="E73" s="58">
        <f t="shared" si="19"/>
        <v>-11.59541223359123</v>
      </c>
      <c r="F73" s="58">
        <f t="shared" si="19"/>
        <v>-8.182077762379329</v>
      </c>
      <c r="G73" s="58" t="s">
        <v>31</v>
      </c>
      <c r="H73" s="58">
        <f t="shared" si="22"/>
        <v>-6.553197101468906</v>
      </c>
      <c r="I73" s="58">
        <f t="shared" si="19"/>
        <v>12.678390003281367</v>
      </c>
      <c r="J73" s="59">
        <f t="shared" si="19"/>
        <v>1.3033268550715489</v>
      </c>
    </row>
    <row r="74" ht="15" customHeight="1">
      <c r="B74" s="57" t="s">
        <v>138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>
        <f t="shared" si="20"/>
        <v>-35.268463051334464</v>
      </c>
      <c r="I74" s="58">
        <f t="shared" si="20"/>
        <v>-13.652297094158099</v>
      </c>
      <c r="J74" s="59">
        <f t="shared" si="20"/>
        <v>-0.7535580054953208</v>
      </c>
    </row>
    <row r="75" ht="15" customHeight="1">
      <c r="B75" s="37" t="s">
        <v>75</v>
      </c>
      <c r="C75" s="10" t="s">
        <v>31</v>
      </c>
      <c r="D75" s="10" t="s">
        <v>31</v>
      </c>
      <c r="E75" s="10" t="s">
        <v>31</v>
      </c>
      <c r="F75" s="10" t="s">
        <v>31</v>
      </c>
      <c r="G75" s="10" t="s">
        <v>31</v>
      </c>
      <c r="H75" s="10">
        <f t="shared" si="15"/>
        <v>0.14719505918682452</v>
      </c>
      <c r="I75" s="10">
        <f t="shared" si="15"/>
        <v>0.12442183163737286</v>
      </c>
      <c r="J75" s="38">
        <f t="shared" si="15"/>
        <v>0.0514759300480645</v>
      </c>
    </row>
    <row r="76" ht="15" customHeight="1">
      <c r="B76" s="37" t="s">
        <v>92</v>
      </c>
      <c r="C76" s="50" t="s">
        <v>31</v>
      </c>
      <c r="D76" s="50">
        <f t="shared" si="16"/>
        <v>219</v>
      </c>
      <c r="E76" s="50">
        <f t="shared" si="16"/>
        <v>195</v>
      </c>
      <c r="F76" s="50">
        <f t="shared" si="16"/>
        <v>-61</v>
      </c>
      <c r="G76" s="50" t="s">
        <v>31</v>
      </c>
      <c r="H76" s="50">
        <f t="shared" si="26"/>
        <v>-67</v>
      </c>
      <c r="I76" s="50">
        <f t="shared" si="16"/>
        <v>202</v>
      </c>
      <c r="J76" s="51">
        <f t="shared" si="16"/>
        <v>47.32876712328789</v>
      </c>
    </row>
    <row r="77" ht="15" customHeight="1">
      <c r="B77" s="37" t="s">
        <v>71</v>
      </c>
      <c r="C77" s="10" t="s">
        <v>31</v>
      </c>
      <c r="D77" s="10" t="s">
        <v>31</v>
      </c>
      <c r="E77" s="10" t="s">
        <v>31</v>
      </c>
      <c r="F77" s="10" t="s">
        <v>31</v>
      </c>
      <c r="G77" s="10" t="s">
        <v>31</v>
      </c>
      <c r="H77" s="10">
        <f t="shared" si="27" ref="H77:J97">IF(AND(ISNUMBER(H69),ISNUMBER(C69)),IF(C69&gt;0,H69/C69-1,"n/m"),"n/a")</f>
        <v>0.14719505918682452</v>
      </c>
      <c r="I77" s="10">
        <f t="shared" si="27"/>
        <v>0.12442183163737286</v>
      </c>
      <c r="J77" s="38">
        <f t="shared" si="27"/>
        <v>0.0514759300480645</v>
      </c>
    </row>
    <row r="78" ht="15" customHeight="1">
      <c r="B78" s="37" t="s">
        <v>72</v>
      </c>
      <c r="C78" s="10" t="s">
        <v>31</v>
      </c>
      <c r="D78" s="10" t="s">
        <v>31</v>
      </c>
      <c r="E78" s="10" t="s">
        <v>31</v>
      </c>
      <c r="F78" s="10" t="s">
        <v>31</v>
      </c>
      <c r="G78" s="10" t="s">
        <v>31</v>
      </c>
      <c r="H78" s="10" t="s">
        <v>31</v>
      </c>
      <c r="I78" s="10" t="s">
        <v>31</v>
      </c>
      <c r="J78" s="38" t="s">
        <v>31</v>
      </c>
    </row>
    <row r="79" ht="15" customHeight="1">
      <c r="B79" s="37" t="s">
        <v>73</v>
      </c>
      <c r="C79" s="10" t="s">
        <v>31</v>
      </c>
      <c r="D79" s="10" t="s">
        <v>31</v>
      </c>
      <c r="E79" s="10" t="s">
        <v>31</v>
      </c>
      <c r="F79" s="10" t="s">
        <v>31</v>
      </c>
      <c r="G79" s="10" t="s">
        <v>31</v>
      </c>
      <c r="H79" s="10" t="s">
        <v>31</v>
      </c>
      <c r="I79" s="10" t="s">
        <v>31</v>
      </c>
      <c r="J79" s="38" t="s">
        <v>31</v>
      </c>
    </row>
    <row r="80" ht="15" customHeight="1">
      <c r="B80" s="37" t="s">
        <v>74</v>
      </c>
      <c r="C80" s="10" t="str">
        <f t="shared" si="28" ref="C80:J107">IF(AND(ISNUMBER(C77),ISNUMBER(C78),ISNUMBER(C79)),(1+C77)/((1+C78)*(1+C79))-1,"n/a")</f>
        <v>n/a</v>
      </c>
      <c r="D80" s="10" t="str">
        <f t="shared" si="28"/>
        <v>n/a</v>
      </c>
      <c r="E80" s="10" t="str">
        <f t="shared" si="28"/>
        <v>n/a</v>
      </c>
      <c r="F80" s="10" t="str">
        <f t="shared" si="28"/>
        <v>n/a</v>
      </c>
      <c r="G80" s="10" t="str">
        <f t="shared" si="28"/>
        <v>n/a</v>
      </c>
      <c r="H80" s="10" t="str">
        <f t="shared" si="28"/>
        <v>n/a</v>
      </c>
      <c r="I80" s="10" t="str">
        <f t="shared" si="28"/>
        <v>n/a</v>
      </c>
      <c r="J80" s="38" t="str">
        <f t="shared" si="28"/>
        <v>n/a</v>
      </c>
    </row>
    <row r="81" ht="15" customHeight="1">
      <c r="B81" s="24" t="s">
        <v>229</v>
      </c>
      <c r="C81" s="12">
        <v>0</v>
      </c>
      <c r="D81" s="12">
        <v>74014</v>
      </c>
      <c r="E81" s="12">
        <v>153117</v>
      </c>
      <c r="F81" s="12">
        <v>174644</v>
      </c>
      <c r="G81" s="9">
        <f t="shared" si="24"/>
        <v>401775</v>
      </c>
      <c r="H81" s="12">
        <v>174332</v>
      </c>
      <c r="I81" s="12">
        <v>189612</v>
      </c>
      <c r="J81" s="54">
        <f t="shared" si="45" ref="J81:J168">I81*(1+J84)</f>
        <v>195300.36000000002</v>
      </c>
      <c r="K81" s="40" t="s">
        <v>219</v>
      </c>
    </row>
    <row r="82" ht="15" customHeight="1">
      <c r="B82" s="37" t="s">
        <v>75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 t="str">
        <f t="shared" si="0"/>
        <v>n/m</v>
      </c>
      <c r="I82" s="10">
        <f t="shared" si="0"/>
        <v>1.5618396519577376</v>
      </c>
      <c r="J82" s="38">
        <f t="shared" si="0"/>
        <v>0.275497560688885</v>
      </c>
    </row>
    <row r="83" ht="15" customHeight="1">
      <c r="B83" s="37" t="s">
        <v>92</v>
      </c>
      <c r="C83" s="50" t="s">
        <v>31</v>
      </c>
      <c r="D83" s="50">
        <f t="shared" si="1"/>
        <v>74014</v>
      </c>
      <c r="E83" s="50">
        <f t="shared" si="1"/>
        <v>79103</v>
      </c>
      <c r="F83" s="50">
        <f t="shared" si="1"/>
        <v>21527</v>
      </c>
      <c r="G83" s="50" t="s">
        <v>31</v>
      </c>
      <c r="H83" s="50">
        <f t="shared" si="3"/>
        <v>-312</v>
      </c>
      <c r="I83" s="50">
        <f t="shared" si="1"/>
        <v>15280</v>
      </c>
      <c r="J83" s="51">
        <f t="shared" si="1"/>
        <v>5688.360000000015</v>
      </c>
    </row>
    <row r="84" ht="15" customHeight="1">
      <c r="B84" s="37" t="s">
        <v>230</v>
      </c>
      <c r="C84" s="10" t="s">
        <v>31</v>
      </c>
      <c r="D84" s="10" t="s">
        <v>31</v>
      </c>
      <c r="E84" s="10">
        <f t="shared" si="29" ref="E84:I84">E81/D81-1</f>
        <v>1.068757262139595</v>
      </c>
      <c r="F84" s="10">
        <f t="shared" si="29"/>
        <v>0.1405918350019919</v>
      </c>
      <c r="G84" s="10" t="s">
        <v>31</v>
      </c>
      <c r="H84" s="10">
        <f t="shared" si="47" ref="H84:H171">H81/F81-1</f>
        <v>-0.001786491376743582</v>
      </c>
      <c r="I84" s="10">
        <f t="shared" si="29"/>
        <v>0.08764885391092858</v>
      </c>
      <c r="J84" s="56">
        <v>0.03</v>
      </c>
      <c r="K84" s="40" t="s">
        <v>136</v>
      </c>
    </row>
    <row r="85" ht="15" customHeight="1">
      <c r="B85" s="57" t="s">
        <v>137</v>
      </c>
      <c r="C85" s="58" t="s">
        <v>31</v>
      </c>
      <c r="D85" s="58" t="str">
        <f t="shared" si="19"/>
        <v>n/a</v>
      </c>
      <c r="E85" s="58" t="str">
        <f t="shared" si="19"/>
        <v>n/a</v>
      </c>
      <c r="F85" s="58">
        <f t="shared" si="19"/>
        <v>-9281.654271376032</v>
      </c>
      <c r="G85" s="58" t="s">
        <v>31</v>
      </c>
      <c r="H85" s="58">
        <f t="shared" si="22"/>
        <v>-1423.7832637873548</v>
      </c>
      <c r="I85" s="58">
        <f t="shared" si="19"/>
        <v>894.3534528767216</v>
      </c>
      <c r="J85" s="59">
        <f t="shared" si="19"/>
        <v>-576.4885391092859</v>
      </c>
    </row>
    <row r="86" ht="15" customHeight="1">
      <c r="B86" s="57" t="s">
        <v>138</v>
      </c>
      <c r="C86" s="58" t="s">
        <v>31</v>
      </c>
      <c r="D86" s="58" t="s">
        <v>31</v>
      </c>
      <c r="E86" s="58" t="s">
        <v>31</v>
      </c>
      <c r="F86" s="58" t="s">
        <v>31</v>
      </c>
      <c r="G86" s="58" t="s">
        <v>31</v>
      </c>
      <c r="H86" s="58" t="str">
        <f t="shared" si="20"/>
        <v>n/a</v>
      </c>
      <c r="I86" s="58" t="str">
        <f t="shared" si="20"/>
        <v>n/a</v>
      </c>
      <c r="J86" s="59">
        <f t="shared" si="20"/>
        <v>-10387.572621395952</v>
      </c>
    </row>
    <row r="87" ht="15" customHeight="1">
      <c r="B87" s="37" t="s">
        <v>75</v>
      </c>
      <c r="C87" s="10" t="s">
        <v>31</v>
      </c>
      <c r="D87" s="10" t="s">
        <v>31</v>
      </c>
      <c r="E87" s="10" t="s">
        <v>31</v>
      </c>
      <c r="F87" s="10" t="s">
        <v>31</v>
      </c>
      <c r="G87" s="10" t="s">
        <v>31</v>
      </c>
      <c r="H87" s="10" t="str">
        <f t="shared" si="15"/>
        <v>n/m</v>
      </c>
      <c r="I87" s="10">
        <f t="shared" si="15"/>
        <v>1.5618396519577376</v>
      </c>
      <c r="J87" s="38">
        <f t="shared" si="15"/>
        <v>0.275497560688885</v>
      </c>
    </row>
    <row r="88" ht="15" customHeight="1">
      <c r="B88" s="37" t="s">
        <v>92</v>
      </c>
      <c r="C88" s="50" t="s">
        <v>31</v>
      </c>
      <c r="D88" s="50">
        <f t="shared" si="16"/>
        <v>74014</v>
      </c>
      <c r="E88" s="50">
        <f t="shared" si="16"/>
        <v>79103</v>
      </c>
      <c r="F88" s="50">
        <f t="shared" si="16"/>
        <v>21527</v>
      </c>
      <c r="G88" s="50" t="s">
        <v>31</v>
      </c>
      <c r="H88" s="50">
        <f t="shared" si="26"/>
        <v>-312</v>
      </c>
      <c r="I88" s="50">
        <f t="shared" si="16"/>
        <v>15280</v>
      </c>
      <c r="J88" s="51">
        <f t="shared" si="16"/>
        <v>5688.360000000015</v>
      </c>
    </row>
    <row r="89" ht="15" customHeight="1">
      <c r="B89" s="24" t="s">
        <v>231</v>
      </c>
      <c r="C89" s="12">
        <v>183</v>
      </c>
      <c r="D89" s="12">
        <v>394</v>
      </c>
      <c r="E89" s="12">
        <v>475</v>
      </c>
      <c r="F89" s="12">
        <v>623</v>
      </c>
      <c r="G89" s="9">
        <f t="shared" si="24"/>
        <v>1675</v>
      </c>
      <c r="H89" s="12">
        <v>683</v>
      </c>
      <c r="I89" s="12">
        <v>778</v>
      </c>
      <c r="J89" s="54">
        <f>J81*J92/10000</f>
        <v>790.9664580000001</v>
      </c>
      <c r="K89" s="40" t="s">
        <v>219</v>
      </c>
    </row>
    <row r="90" ht="15" customHeight="1">
      <c r="B90" s="37" t="s">
        <v>75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>
        <f t="shared" si="0"/>
        <v>2.73224043715847</v>
      </c>
      <c r="I90" s="10">
        <f t="shared" si="0"/>
        <v>0.9746192893401016</v>
      </c>
      <c r="J90" s="38">
        <f t="shared" si="0"/>
        <v>0.6651925431578949</v>
      </c>
    </row>
    <row r="91" ht="15" customHeight="1">
      <c r="B91" s="37" t="s">
        <v>92</v>
      </c>
      <c r="C91" s="50" t="s">
        <v>31</v>
      </c>
      <c r="D91" s="50">
        <f t="shared" si="1"/>
        <v>211</v>
      </c>
      <c r="E91" s="50">
        <f t="shared" si="1"/>
        <v>81</v>
      </c>
      <c r="F91" s="50">
        <f t="shared" si="1"/>
        <v>148</v>
      </c>
      <c r="G91" s="50" t="s">
        <v>31</v>
      </c>
      <c r="H91" s="50">
        <f t="shared" si="3"/>
        <v>60</v>
      </c>
      <c r="I91" s="50">
        <f t="shared" si="1"/>
        <v>95</v>
      </c>
      <c r="J91" s="51">
        <f t="shared" si="1"/>
        <v>12.966458000000102</v>
      </c>
    </row>
    <row r="92" ht="15" customHeight="1">
      <c r="B92" s="55" t="s">
        <v>232</v>
      </c>
      <c r="C92" s="9" t="s">
        <v>31</v>
      </c>
      <c r="D92" s="9">
        <f t="shared" si="30" ref="D92:I92">D89/D81*10000</f>
        <v>53.23317210257519</v>
      </c>
      <c r="E92" s="9">
        <f t="shared" si="30"/>
        <v>31.02202890599999</v>
      </c>
      <c r="F92" s="9">
        <f t="shared" si="30"/>
        <v>35.67256819587275</v>
      </c>
      <c r="G92" s="9">
        <f t="shared" si="30"/>
        <v>41.69000062223881</v>
      </c>
      <c r="H92" s="9">
        <f t="shared" si="30"/>
        <v>39.178119909138886</v>
      </c>
      <c r="I92" s="9">
        <f t="shared" si="30"/>
        <v>41.0311583655043</v>
      </c>
      <c r="J92" s="39">
        <v>40.5</v>
      </c>
      <c r="K92" s="40" t="s">
        <v>145</v>
      </c>
    </row>
    <row r="93" ht="15" customHeight="1">
      <c r="B93" s="57" t="s">
        <v>75</v>
      </c>
      <c r="C93" s="10" t="s">
        <v>31</v>
      </c>
      <c r="D93" s="10" t="s">
        <v>31</v>
      </c>
      <c r="E93" s="10" t="s">
        <v>31</v>
      </c>
      <c r="F93" s="10" t="s">
        <v>31</v>
      </c>
      <c r="G93" s="10" t="s">
        <v>31</v>
      </c>
      <c r="H93" s="10" t="str">
        <f t="shared" si="0"/>
        <v>n/a</v>
      </c>
      <c r="I93" s="10">
        <f t="shared" si="0"/>
        <v>-0.22921823470445812</v>
      </c>
      <c r="J93" s="38">
        <f t="shared" si="0"/>
        <v>0.30552389473684194</v>
      </c>
    </row>
    <row r="94" ht="15" customHeight="1">
      <c r="B94" s="57" t="s">
        <v>92</v>
      </c>
      <c r="C94" s="50" t="s">
        <v>31</v>
      </c>
      <c r="D94" s="50" t="str">
        <f t="shared" si="1"/>
        <v>n/a</v>
      </c>
      <c r="E94" s="50">
        <f t="shared" si="1"/>
        <v>-22.2111431965752</v>
      </c>
      <c r="F94" s="50">
        <f t="shared" si="1"/>
        <v>4.650539289872761</v>
      </c>
      <c r="G94" s="50" t="s">
        <v>31</v>
      </c>
      <c r="H94" s="50">
        <f t="shared" si="3"/>
        <v>3.5055517132661365</v>
      </c>
      <c r="I94" s="50">
        <f t="shared" si="1"/>
        <v>1.853038456365411</v>
      </c>
      <c r="J94" s="51">
        <f t="shared" si="1"/>
        <v>-0.5311583655042966</v>
      </c>
    </row>
    <row r="95" ht="15" customHeight="1">
      <c r="B95" s="37" t="s">
        <v>75</v>
      </c>
      <c r="C95" s="10" t="s">
        <v>31</v>
      </c>
      <c r="D95" s="10" t="s">
        <v>31</v>
      </c>
      <c r="E95" s="10" t="s">
        <v>31</v>
      </c>
      <c r="F95" s="10" t="s">
        <v>31</v>
      </c>
      <c r="G95" s="10" t="s">
        <v>31</v>
      </c>
      <c r="H95" s="10">
        <f t="shared" si="15"/>
        <v>2.73224043715847</v>
      </c>
      <c r="I95" s="10">
        <f t="shared" si="15"/>
        <v>0.9746192893401016</v>
      </c>
      <c r="J95" s="38">
        <f t="shared" si="15"/>
        <v>0.6651925431578949</v>
      </c>
    </row>
    <row r="96" ht="15" customHeight="1">
      <c r="B96" s="37" t="s">
        <v>92</v>
      </c>
      <c r="C96" s="50" t="s">
        <v>31</v>
      </c>
      <c r="D96" s="50">
        <f t="shared" si="16"/>
        <v>211</v>
      </c>
      <c r="E96" s="50">
        <f t="shared" si="16"/>
        <v>81</v>
      </c>
      <c r="F96" s="50">
        <f t="shared" si="16"/>
        <v>148</v>
      </c>
      <c r="G96" s="50" t="s">
        <v>31</v>
      </c>
      <c r="H96" s="50">
        <f t="shared" si="26"/>
        <v>60</v>
      </c>
      <c r="I96" s="50">
        <f t="shared" si="16"/>
        <v>95</v>
      </c>
      <c r="J96" s="51">
        <f t="shared" si="16"/>
        <v>12.966458000000102</v>
      </c>
    </row>
    <row r="97" ht="15" customHeight="1">
      <c r="B97" s="37" t="s">
        <v>71</v>
      </c>
      <c r="C97" s="10" t="s">
        <v>31</v>
      </c>
      <c r="D97" s="10" t="s">
        <v>31</v>
      </c>
      <c r="E97" s="10" t="s">
        <v>31</v>
      </c>
      <c r="F97" s="10" t="s">
        <v>31</v>
      </c>
      <c r="G97" s="10" t="s">
        <v>31</v>
      </c>
      <c r="H97" s="10">
        <f t="shared" si="27"/>
        <v>2.73224043715847</v>
      </c>
      <c r="I97" s="10">
        <f t="shared" si="27"/>
        <v>0.9746192893401016</v>
      </c>
      <c r="J97" s="38">
        <f t="shared" si="27"/>
        <v>0.6651925431578949</v>
      </c>
    </row>
    <row r="98" ht="15" customHeight="1">
      <c r="B98" s="37" t="s">
        <v>72</v>
      </c>
      <c r="C98" s="10" t="s">
        <v>31</v>
      </c>
      <c r="D98" s="10" t="s">
        <v>31</v>
      </c>
      <c r="E98" s="10" t="s">
        <v>31</v>
      </c>
      <c r="F98" s="10" t="s">
        <v>31</v>
      </c>
      <c r="G98" s="10" t="s">
        <v>31</v>
      </c>
      <c r="H98" s="10" t="s">
        <v>31</v>
      </c>
      <c r="I98" s="10" t="s">
        <v>31</v>
      </c>
      <c r="J98" s="38" t="s">
        <v>31</v>
      </c>
    </row>
    <row r="99" ht="15" customHeight="1">
      <c r="B99" s="37" t="s">
        <v>73</v>
      </c>
      <c r="C99" s="10" t="s">
        <v>31</v>
      </c>
      <c r="D99" s="10" t="s">
        <v>31</v>
      </c>
      <c r="E99" s="10" t="s">
        <v>31</v>
      </c>
      <c r="F99" s="10" t="s">
        <v>31</v>
      </c>
      <c r="G99" s="10" t="s">
        <v>31</v>
      </c>
      <c r="H99" s="10" t="s">
        <v>31</v>
      </c>
      <c r="I99" s="10" t="s">
        <v>31</v>
      </c>
      <c r="J99" s="38" t="s">
        <v>31</v>
      </c>
    </row>
    <row r="100" ht="15" customHeight="1">
      <c r="B100" s="37" t="s">
        <v>74</v>
      </c>
      <c r="C100" s="10" t="str">
        <f t="shared" si="28"/>
        <v>n/a</v>
      </c>
      <c r="D100" s="10" t="str">
        <f t="shared" si="28"/>
        <v>n/a</v>
      </c>
      <c r="E100" s="10" t="str">
        <f t="shared" si="28"/>
        <v>n/a</v>
      </c>
      <c r="F100" s="10" t="str">
        <f t="shared" si="28"/>
        <v>n/a</v>
      </c>
      <c r="G100" s="10" t="str">
        <f t="shared" si="28"/>
        <v>n/a</v>
      </c>
      <c r="H100" s="10" t="str">
        <f t="shared" si="28"/>
        <v>n/a</v>
      </c>
      <c r="I100" s="10" t="str">
        <f t="shared" si="28"/>
        <v>n/a</v>
      </c>
      <c r="J100" s="38" t="str">
        <f t="shared" si="28"/>
        <v>n/a</v>
      </c>
    </row>
    <row r="101" ht="15" customHeight="1">
      <c r="B101" s="4" t="s">
        <v>233</v>
      </c>
      <c r="C101" s="41">
        <f t="shared" si="31" ref="C101:J101">C69+C89</f>
        <v>2126</v>
      </c>
      <c r="D101" s="41">
        <f t="shared" si="31"/>
        <v>2556</v>
      </c>
      <c r="E101" s="41">
        <f t="shared" si="31"/>
        <v>2832</v>
      </c>
      <c r="F101" s="41">
        <f t="shared" si="31"/>
        <v>2919</v>
      </c>
      <c r="G101" s="41">
        <f t="shared" si="31"/>
        <v>10433</v>
      </c>
      <c r="H101" s="41">
        <f t="shared" si="31"/>
        <v>2912</v>
      </c>
      <c r="I101" s="41">
        <f t="shared" si="31"/>
        <v>3209</v>
      </c>
      <c r="J101" s="42">
        <f t="shared" si="31"/>
        <v>3269.295225123288</v>
      </c>
    </row>
    <row r="102" ht="15" customHeight="1">
      <c r="B102" s="37" t="s">
        <v>75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>
        <f t="shared" si="0"/>
        <v>0.36970837253057387</v>
      </c>
      <c r="I102" s="10">
        <f t="shared" si="0"/>
        <v>0.25547730829420967</v>
      </c>
      <c r="J102" s="38">
        <f t="shared" si="0"/>
        <v>0.1544121557638729</v>
      </c>
    </row>
    <row r="103" ht="15" customHeight="1">
      <c r="B103" s="37" t="s">
        <v>69</v>
      </c>
      <c r="C103" s="10" t="s">
        <v>31</v>
      </c>
      <c r="D103" s="10">
        <f t="shared" si="32" ref="D103:J103">IF(AND(ISNUMBER(D101),ISNUMBER(C101)),IF(C101&gt;0,D101/C101-1,"n/m"),"n/a")</f>
        <v>0.2022577610536218</v>
      </c>
      <c r="E103" s="10">
        <f t="shared" si="32"/>
        <v>0.107981220657277</v>
      </c>
      <c r="F103" s="10">
        <f t="shared" si="32"/>
        <v>0.03072033898305082</v>
      </c>
      <c r="G103" s="10" t="s">
        <v>31</v>
      </c>
      <c r="H103" s="10">
        <f>IF(AND(ISNUMBER(H101),ISNUMBER(F101)),IF(F101&gt;0,H101/F101-1,"n/m"),"n/a")</f>
        <v>-0.0023980815347721673</v>
      </c>
      <c r="I103" s="10">
        <f t="shared" si="32"/>
        <v>0.10199175824175821</v>
      </c>
      <c r="J103" s="38">
        <f t="shared" si="32"/>
        <v>0.01878941262801126</v>
      </c>
    </row>
    <row r="104" ht="15" customHeight="1">
      <c r="B104" s="37" t="s">
        <v>71</v>
      </c>
      <c r="C104" s="10" t="s">
        <v>31</v>
      </c>
      <c r="D104" s="10" t="s">
        <v>31</v>
      </c>
      <c r="E104" s="10" t="s">
        <v>31</v>
      </c>
      <c r="F104" s="10" t="s">
        <v>31</v>
      </c>
      <c r="G104" s="10" t="s">
        <v>31</v>
      </c>
      <c r="H104" s="10">
        <f t="shared" si="33" ref="H104:J104">IF(AND(ISNUMBER(H101),ISNUMBER(C101)),IF(C101&gt;0,H101/C101-1,"n/m"),"n/a")</f>
        <v>0.36970837253057387</v>
      </c>
      <c r="I104" s="10">
        <f t="shared" si="33"/>
        <v>0.25547730829420967</v>
      </c>
      <c r="J104" s="38">
        <f t="shared" si="33"/>
        <v>0.1544121557638729</v>
      </c>
    </row>
    <row r="105" ht="15" customHeight="1">
      <c r="B105" s="37" t="s">
        <v>72</v>
      </c>
      <c r="C105" s="10" t="s">
        <v>31</v>
      </c>
      <c r="D105" s="10" t="s">
        <v>31</v>
      </c>
      <c r="E105" s="10" t="s">
        <v>31</v>
      </c>
      <c r="F105" s="10" t="s">
        <v>31</v>
      </c>
      <c r="G105" s="10" t="s">
        <v>31</v>
      </c>
      <c r="H105" s="10" t="s">
        <v>31</v>
      </c>
      <c r="I105" s="10" t="s">
        <v>31</v>
      </c>
      <c r="J105" s="38" t="s">
        <v>31</v>
      </c>
    </row>
    <row r="106" ht="15" customHeight="1">
      <c r="B106" s="37" t="s">
        <v>73</v>
      </c>
      <c r="C106" s="10" t="s">
        <v>31</v>
      </c>
      <c r="D106" s="10" t="s">
        <v>31</v>
      </c>
      <c r="E106" s="10" t="s">
        <v>31</v>
      </c>
      <c r="F106" s="10" t="s">
        <v>31</v>
      </c>
      <c r="G106" s="10" t="s">
        <v>31</v>
      </c>
      <c r="H106" s="10" t="s">
        <v>31</v>
      </c>
      <c r="I106" s="10" t="s">
        <v>31</v>
      </c>
      <c r="J106" s="38" t="s">
        <v>31</v>
      </c>
    </row>
    <row r="107" ht="15" customHeight="1">
      <c r="B107" s="37" t="s">
        <v>74</v>
      </c>
      <c r="C107" s="10" t="str">
        <f t="shared" si="28"/>
        <v>n/a</v>
      </c>
      <c r="D107" s="10" t="str">
        <f t="shared" si="28"/>
        <v>n/a</v>
      </c>
      <c r="E107" s="10" t="str">
        <f t="shared" si="28"/>
        <v>n/a</v>
      </c>
      <c r="F107" s="10" t="str">
        <f t="shared" si="28"/>
        <v>n/a</v>
      </c>
      <c r="G107" s="10" t="str">
        <f t="shared" si="28"/>
        <v>n/a</v>
      </c>
      <c r="H107" s="10" t="str">
        <f t="shared" si="28"/>
        <v>n/a</v>
      </c>
      <c r="I107" s="10" t="str">
        <f t="shared" si="28"/>
        <v>n/a</v>
      </c>
      <c r="J107" s="38" t="str">
        <f t="shared" si="28"/>
        <v>n/a</v>
      </c>
    </row>
    <row r="108" ht="15" customHeight="1">
      <c r="B108" s="43" t="s">
        <v>234</v>
      </c>
      <c r="C108" s="10">
        <f t="shared" si="34" ref="C108:J108">IF(AND(ISNUMBER(C69),C101&lt;&gt;0),C69/C101,"n/a")</f>
        <v>0.9139228598306679</v>
      </c>
      <c r="D108" s="10">
        <f t="shared" si="34"/>
        <v>0.8458528951486698</v>
      </c>
      <c r="E108" s="10">
        <f t="shared" si="34"/>
        <v>0.832274011299435</v>
      </c>
      <c r="F108" s="10">
        <f t="shared" si="34"/>
        <v>0.7865707434052758</v>
      </c>
      <c r="G108" s="10">
        <f t="shared" si="34"/>
        <v>0.839451739672194</v>
      </c>
      <c r="H108" s="10">
        <f t="shared" si="34"/>
        <v>0.7654532967032966</v>
      </c>
      <c r="I108" s="10">
        <f t="shared" si="34"/>
        <v>0.7575568712994702</v>
      </c>
      <c r="J108" s="38">
        <f t="shared" si="34"/>
        <v>0.7580620887579304</v>
      </c>
    </row>
    <row r="109" ht="15" customHeight="1">
      <c r="B109" s="35" t="s">
        <v>163</v>
      </c>
    </row>
    <row r="110" ht="15" customHeight="1">
      <c r="B110" s="43" t="s">
        <v>235</v>
      </c>
      <c r="C110" s="20">
        <v>0.0155</v>
      </c>
      <c r="D110" s="20">
        <v>0.0125</v>
      </c>
      <c r="E110" s="20">
        <v>0.0154</v>
      </c>
      <c r="F110" s="20">
        <v>0.0182</v>
      </c>
      <c r="G110" s="20">
        <v>0.0154</v>
      </c>
      <c r="H110" s="20">
        <v>0.0164</v>
      </c>
      <c r="I110" s="20">
        <v>0.0143</v>
      </c>
      <c r="J110" s="38">
        <f>SUM(J113:J115)*4/J31</f>
        <v>0.016314179521757722</v>
      </c>
      <c r="K110" s="40" t="s">
        <v>165</v>
      </c>
    </row>
    <row r="111" ht="15" customHeight="1">
      <c r="B111" s="37" t="s">
        <v>137</v>
      </c>
      <c r="C111" s="58" t="s">
        <v>31</v>
      </c>
      <c r="D111" s="58">
        <f t="shared" si="19"/>
        <v>-29.999999999999993</v>
      </c>
      <c r="E111" s="58">
        <f t="shared" si="19"/>
        <v>28.999999999999996</v>
      </c>
      <c r="F111" s="58">
        <f t="shared" si="19"/>
        <v>28.000000000000004</v>
      </c>
      <c r="G111" s="58" t="s">
        <v>31</v>
      </c>
      <c r="H111" s="58">
        <f t="shared" si="22"/>
        <v>-17.999999999999996</v>
      </c>
      <c r="I111" s="58">
        <f t="shared" si="19"/>
        <v>-21.00000000000001</v>
      </c>
      <c r="J111" s="59">
        <f t="shared" si="19"/>
        <v>20.14179521757722</v>
      </c>
    </row>
    <row r="112" ht="15" customHeight="1">
      <c r="B112" s="37" t="s">
        <v>138</v>
      </c>
      <c r="C112" s="58" t="s">
        <v>31</v>
      </c>
      <c r="D112" s="58" t="s">
        <v>31</v>
      </c>
      <c r="E112" s="58" t="s">
        <v>31</v>
      </c>
      <c r="F112" s="58" t="s">
        <v>31</v>
      </c>
      <c r="G112" s="58" t="s">
        <v>31</v>
      </c>
      <c r="H112" s="58">
        <f t="shared" si="20"/>
        <v>9.000000000000014</v>
      </c>
      <c r="I112" s="58">
        <f t="shared" si="20"/>
        <v>17.999999999999996</v>
      </c>
      <c r="J112" s="59">
        <f t="shared" si="20"/>
        <v>9.141795217577215</v>
      </c>
    </row>
    <row r="113" ht="15" customHeight="1">
      <c r="B113" s="55" t="s">
        <v>236</v>
      </c>
      <c r="J113" s="39">
        <v>111</v>
      </c>
      <c r="K113" s="40" t="s">
        <v>125</v>
      </c>
    </row>
    <row r="114" ht="15" customHeight="1">
      <c r="B114" s="55" t="s">
        <v>237</v>
      </c>
      <c r="J114" s="39">
        <v>126</v>
      </c>
      <c r="K114" s="40" t="s">
        <v>127</v>
      </c>
    </row>
    <row r="115" ht="15" customHeight="1">
      <c r="B115" s="55" t="s">
        <v>238</v>
      </c>
      <c r="J115" s="39">
        <v>135</v>
      </c>
      <c r="K115" s="40" t="s">
        <v>129</v>
      </c>
    </row>
    <row r="116" ht="15" customHeight="1">
      <c r="B116" s="37" t="s">
        <v>137</v>
      </c>
      <c r="C116" s="58" t="s">
        <v>31</v>
      </c>
      <c r="D116" s="58">
        <f t="shared" si="35" ref="D116:J116">IF(AND(ISNUMBER(D110),ISNUMBER(C110)),(D110-C110)*10000,"n/a")</f>
        <v>-29.999999999999993</v>
      </c>
      <c r="E116" s="58">
        <f t="shared" si="35"/>
        <v>28.999999999999996</v>
      </c>
      <c r="F116" s="58">
        <f t="shared" si="35"/>
        <v>28.000000000000004</v>
      </c>
      <c r="G116" s="58" t="s">
        <v>31</v>
      </c>
      <c r="H116" s="58">
        <f>IF(AND(ISNUMBER(H110),ISNUMBER(F110)),(H110-F110)*10000,"n/a")</f>
        <v>-17.999999999999996</v>
      </c>
      <c r="I116" s="58">
        <f t="shared" si="35"/>
        <v>-21.00000000000001</v>
      </c>
      <c r="J116" s="59">
        <f t="shared" si="35"/>
        <v>20.14179521757722</v>
      </c>
    </row>
    <row r="117" ht="15" customHeight="1">
      <c r="B117" s="37" t="s">
        <v>138</v>
      </c>
      <c r="C117" s="58" t="s">
        <v>31</v>
      </c>
      <c r="D117" s="58" t="s">
        <v>31</v>
      </c>
      <c r="E117" s="58" t="s">
        <v>31</v>
      </c>
      <c r="F117" s="58" t="s">
        <v>31</v>
      </c>
      <c r="G117" s="58" t="s">
        <v>31</v>
      </c>
      <c r="H117" s="58">
        <f t="shared" si="36" ref="H117:J117">IF(AND(ISNUMBER(H110),ISNUMBER(C110)),(H110-C110)*10000,"n/a")</f>
        <v>9.000000000000014</v>
      </c>
      <c r="I117" s="58">
        <f t="shared" si="36"/>
        <v>17.999999999999996</v>
      </c>
      <c r="J117" s="59">
        <f t="shared" si="36"/>
        <v>9.141795217577215</v>
      </c>
    </row>
    <row r="118" ht="15" customHeight="1">
      <c r="B118" s="43" t="s">
        <v>239</v>
      </c>
      <c r="C118" s="20">
        <v>0.0475</v>
      </c>
      <c r="D118" s="20">
        <v>0.0454</v>
      </c>
      <c r="E118" s="20">
        <v>0.0441</v>
      </c>
      <c r="F118" s="20">
        <v>0.0604</v>
      </c>
      <c r="G118" s="20">
        <v>0.0493</v>
      </c>
      <c r="H118" s="20">
        <v>0.0599</v>
      </c>
      <c r="I118" s="20">
        <v>0.0539</v>
      </c>
      <c r="J118" s="56">
        <v>0.055</v>
      </c>
      <c r="K118" s="40" t="s">
        <v>106</v>
      </c>
    </row>
    <row r="119" ht="15" customHeight="1">
      <c r="B119" s="37" t="s">
        <v>137</v>
      </c>
      <c r="C119" s="58" t="s">
        <v>31</v>
      </c>
      <c r="D119" s="58">
        <f t="shared" si="19"/>
        <v>-20.99999999999998</v>
      </c>
      <c r="E119" s="58">
        <f t="shared" si="19"/>
        <v>-13.000000000000025</v>
      </c>
      <c r="F119" s="58">
        <f t="shared" si="19"/>
        <v>163.00000000000003</v>
      </c>
      <c r="G119" s="58" t="s">
        <v>31</v>
      </c>
      <c r="H119" s="58">
        <f t="shared" si="22"/>
        <v>-5.000000000000004</v>
      </c>
      <c r="I119" s="58">
        <f t="shared" si="19"/>
        <v>-59.999999999999986</v>
      </c>
      <c r="J119" s="59">
        <f t="shared" si="19"/>
        <v>10.999999999999968</v>
      </c>
    </row>
    <row r="120" ht="15" customHeight="1">
      <c r="B120" s="37" t="s">
        <v>138</v>
      </c>
      <c r="C120" s="58" t="s">
        <v>31</v>
      </c>
      <c r="D120" s="58" t="s">
        <v>31</v>
      </c>
      <c r="E120" s="58" t="s">
        <v>31</v>
      </c>
      <c r="F120" s="58" t="s">
        <v>31</v>
      </c>
      <c r="G120" s="58" t="s">
        <v>31</v>
      </c>
      <c r="H120" s="58">
        <f t="shared" si="20"/>
        <v>124.00000000000001</v>
      </c>
      <c r="I120" s="58">
        <f t="shared" si="20"/>
        <v>85</v>
      </c>
      <c r="J120" s="59">
        <f t="shared" si="20"/>
        <v>109</v>
      </c>
    </row>
    <row r="121" ht="15" customHeight="1">
      <c r="B121" s="24" t="s">
        <v>240</v>
      </c>
      <c r="C121" s="9">
        <f t="shared" si="37" ref="C121:J121">IF(ISNUMBER(C110),C110*C31/4,0)</f>
        <v>299.25849999999997</v>
      </c>
      <c r="D121" s="9">
        <f t="shared" si="37"/>
        <v>246.484375</v>
      </c>
      <c r="E121" s="9">
        <f t="shared" si="37"/>
        <v>312.2119</v>
      </c>
      <c r="F121" s="9">
        <f t="shared" si="37"/>
        <v>376.58985</v>
      </c>
      <c r="G121" s="9">
        <f t="shared" si="24"/>
        <v>1234.544625</v>
      </c>
      <c r="H121" s="9">
        <f t="shared" si="37"/>
        <v>346.5402</v>
      </c>
      <c r="I121" s="9">
        <f t="shared" si="37"/>
        <v>312.522925</v>
      </c>
      <c r="J121" s="54">
        <f t="shared" si="37"/>
        <v>372</v>
      </c>
    </row>
    <row r="122" ht="15" customHeight="1">
      <c r="B122" s="37" t="s">
        <v>75</v>
      </c>
      <c r="C122" s="10" t="s">
        <v>31</v>
      </c>
      <c r="D122" s="10" t="s">
        <v>31</v>
      </c>
      <c r="E122" s="10" t="s">
        <v>31</v>
      </c>
      <c r="F122" s="10" t="s">
        <v>31</v>
      </c>
      <c r="G122" s="10" t="s">
        <v>31</v>
      </c>
      <c r="H122" s="10">
        <f t="shared" si="0"/>
        <v>0.15799618055961662</v>
      </c>
      <c r="I122" s="10">
        <f t="shared" si="0"/>
        <v>0.2679218510301109</v>
      </c>
      <c r="J122" s="38">
        <f t="shared" si="0"/>
        <v>0.19149846626601996</v>
      </c>
    </row>
    <row r="123" ht="15" customHeight="1">
      <c r="B123" s="37" t="s">
        <v>92</v>
      </c>
      <c r="C123" s="50" t="s">
        <v>31</v>
      </c>
      <c r="D123" s="50">
        <f t="shared" si="1"/>
        <v>-52.77412499999997</v>
      </c>
      <c r="E123" s="50">
        <f t="shared" si="1"/>
        <v>65.72752500000001</v>
      </c>
      <c r="F123" s="50">
        <f t="shared" si="1"/>
        <v>64.37795</v>
      </c>
      <c r="G123" s="50" t="s">
        <v>31</v>
      </c>
      <c r="H123" s="50">
        <f t="shared" si="3"/>
        <v>-30.049649999999986</v>
      </c>
      <c r="I123" s="50">
        <f t="shared" si="1"/>
        <v>-34.01727500000004</v>
      </c>
      <c r="J123" s="51">
        <f t="shared" si="1"/>
        <v>59.47707500000001</v>
      </c>
    </row>
    <row r="124" ht="15" customHeight="1">
      <c r="B124" s="24" t="s">
        <v>241</v>
      </c>
      <c r="C124" s="9">
        <f t="shared" si="38" ref="C124:J124">IF(ISNUMBER(C118),C118*C39/4,0)</f>
        <v>14.8675</v>
      </c>
      <c r="D124" s="9">
        <f t="shared" si="38"/>
        <v>13.847000000000001</v>
      </c>
      <c r="E124" s="9">
        <f t="shared" si="38"/>
        <v>13.241025</v>
      </c>
      <c r="F124" s="9">
        <f t="shared" si="38"/>
        <v>17.969</v>
      </c>
      <c r="G124" s="9">
        <f t="shared" si="24"/>
        <v>59.924525</v>
      </c>
      <c r="H124" s="9">
        <f t="shared" si="38"/>
        <v>17.655525</v>
      </c>
      <c r="I124" s="9">
        <f t="shared" si="38"/>
        <v>15.6849</v>
      </c>
      <c r="J124" s="54">
        <f t="shared" si="38"/>
        <v>15.8125</v>
      </c>
    </row>
    <row r="125" ht="15" customHeight="1">
      <c r="B125" s="37" t="s">
        <v>75</v>
      </c>
      <c r="C125" s="10" t="s">
        <v>31</v>
      </c>
      <c r="D125" s="10" t="s">
        <v>31</v>
      </c>
      <c r="E125" s="10" t="s">
        <v>31</v>
      </c>
      <c r="F125" s="10" t="s">
        <v>31</v>
      </c>
      <c r="G125" s="10" t="s">
        <v>31</v>
      </c>
      <c r="H125" s="10">
        <f t="shared" si="0"/>
        <v>0.18752480242138891</v>
      </c>
      <c r="I125" s="10">
        <f t="shared" si="0"/>
        <v>0.13272911099877227</v>
      </c>
      <c r="J125" s="38">
        <f t="shared" si="0"/>
        <v>0.19420513140032591</v>
      </c>
    </row>
    <row r="126" ht="15" customHeight="1">
      <c r="B126" s="37" t="s">
        <v>92</v>
      </c>
      <c r="C126" s="50" t="s">
        <v>31</v>
      </c>
      <c r="D126" s="50">
        <f t="shared" si="1"/>
        <v>-1.0204999999999984</v>
      </c>
      <c r="E126" s="50">
        <f t="shared" si="1"/>
        <v>-0.6059750000000008</v>
      </c>
      <c r="F126" s="50">
        <f t="shared" si="1"/>
        <v>4.727975000000001</v>
      </c>
      <c r="G126" s="50" t="s">
        <v>31</v>
      </c>
      <c r="H126" s="50">
        <f t="shared" si="3"/>
        <v>-0.3134750000000004</v>
      </c>
      <c r="I126" s="50">
        <f t="shared" si="1"/>
        <v>-1.970625</v>
      </c>
      <c r="J126" s="51">
        <f t="shared" si="1"/>
        <v>0.12759999999999927</v>
      </c>
    </row>
    <row r="127" ht="15" customHeight="1">
      <c r="B127" s="4" t="s">
        <v>242</v>
      </c>
      <c r="C127" s="41">
        <f t="shared" si="4"/>
        <v>314.126</v>
      </c>
      <c r="D127" s="41">
        <f t="shared" si="4"/>
        <v>260.331375</v>
      </c>
      <c r="E127" s="41">
        <f t="shared" si="4"/>
        <v>325.452925</v>
      </c>
      <c r="F127" s="41">
        <f t="shared" si="4"/>
        <v>394.55885</v>
      </c>
      <c r="G127" s="41">
        <f t="shared" si="4"/>
        <v>1294.46915</v>
      </c>
      <c r="H127" s="41">
        <f t="shared" si="4"/>
        <v>364.19572500000004</v>
      </c>
      <c r="I127" s="41">
        <f t="shared" si="4"/>
        <v>328.207825</v>
      </c>
      <c r="J127" s="42">
        <f t="shared" si="4"/>
        <v>387.8125</v>
      </c>
    </row>
    <row r="128" ht="15" customHeight="1">
      <c r="B128" s="37" t="s">
        <v>75</v>
      </c>
      <c r="C128" s="10" t="s">
        <v>31</v>
      </c>
      <c r="D128" s="10" t="s">
        <v>31</v>
      </c>
      <c r="E128" s="10" t="s">
        <v>31</v>
      </c>
      <c r="F128" s="10" t="s">
        <v>31</v>
      </c>
      <c r="G128" s="10" t="s">
        <v>31</v>
      </c>
      <c r="H128" s="10">
        <f t="shared" si="0"/>
        <v>0.15939376237560743</v>
      </c>
      <c r="I128" s="10">
        <f t="shared" si="0"/>
        <v>0.2607309626048726</v>
      </c>
      <c r="J128" s="38">
        <f t="shared" si="0"/>
        <v>0.19160858671035141</v>
      </c>
    </row>
    <row r="129" ht="15" customHeight="1">
      <c r="B129" s="37" t="s">
        <v>92</v>
      </c>
      <c r="C129" s="50" t="s">
        <v>31</v>
      </c>
      <c r="D129" s="50">
        <f t="shared" si="1"/>
        <v>-53.794624999999996</v>
      </c>
      <c r="E129" s="50">
        <f t="shared" si="1"/>
        <v>65.12155000000001</v>
      </c>
      <c r="F129" s="50">
        <f t="shared" si="1"/>
        <v>69.10592500000001</v>
      </c>
      <c r="G129" s="50" t="s">
        <v>31</v>
      </c>
      <c r="H129" s="50">
        <f t="shared" si="3"/>
        <v>-30.363124999999968</v>
      </c>
      <c r="I129" s="50">
        <f t="shared" si="1"/>
        <v>-35.987900000000025</v>
      </c>
      <c r="J129" s="51">
        <f t="shared" si="1"/>
        <v>59.604674999999986</v>
      </c>
    </row>
    <row r="130" ht="15" customHeight="1">
      <c r="B130" s="43" t="s">
        <v>243</v>
      </c>
      <c r="C130" s="10">
        <f t="shared" si="39" ref="C130:J130">C127*4/C42</f>
        <v>0.016010499490316004</v>
      </c>
      <c r="D130" s="10">
        <f t="shared" si="39"/>
        <v>0.01300112990823397</v>
      </c>
      <c r="E130" s="10">
        <f t="shared" si="39"/>
        <v>0.01581884318609879</v>
      </c>
      <c r="F130" s="10">
        <f t="shared" si="39"/>
        <v>0.018798139523803853</v>
      </c>
      <c r="G130" s="10">
        <f>G127/G42</f>
        <v>0.01593683164050477</v>
      </c>
      <c r="H130" s="10">
        <f t="shared" si="39"/>
        <v>0.01699843525746491</v>
      </c>
      <c r="I130" s="10">
        <f t="shared" si="39"/>
        <v>0.014820352663603627</v>
      </c>
      <c r="J130" s="38">
        <f t="shared" si="39"/>
        <v>0.016795872627464566</v>
      </c>
    </row>
    <row r="131" ht="15" customHeight="1">
      <c r="B131" s="37" t="s">
        <v>137</v>
      </c>
      <c r="C131" s="58" t="s">
        <v>31</v>
      </c>
      <c r="D131" s="58">
        <f t="shared" si="19"/>
        <v>-30.093695820820333</v>
      </c>
      <c r="E131" s="58">
        <f t="shared" si="19"/>
        <v>28.177132778648208</v>
      </c>
      <c r="F131" s="58">
        <f t="shared" si="19"/>
        <v>29.79296337705061</v>
      </c>
      <c r="G131" s="58" t="s">
        <v>31</v>
      </c>
      <c r="H131" s="58">
        <f t="shared" si="22"/>
        <v>-17.997042663389433</v>
      </c>
      <c r="I131" s="58">
        <f t="shared" si="19"/>
        <v>-21.780825938612825</v>
      </c>
      <c r="J131" s="59">
        <f t="shared" si="19"/>
        <v>19.75519963860939</v>
      </c>
    </row>
    <row r="132" ht="15" customHeight="1">
      <c r="B132" s="37" t="s">
        <v>138</v>
      </c>
      <c r="C132" s="58" t="s">
        <v>31</v>
      </c>
      <c r="D132" s="58" t="s">
        <v>31</v>
      </c>
      <c r="E132" s="58" t="s">
        <v>31</v>
      </c>
      <c r="F132" s="58" t="s">
        <v>31</v>
      </c>
      <c r="G132" s="58" t="s">
        <v>31</v>
      </c>
      <c r="H132" s="58">
        <f t="shared" si="20"/>
        <v>9.879357671489057</v>
      </c>
      <c r="I132" s="58">
        <f t="shared" si="20"/>
        <v>18.19222755369656</v>
      </c>
      <c r="J132" s="59">
        <f t="shared" si="20"/>
        <v>9.770294413657746</v>
      </c>
    </row>
    <row r="133" ht="15" customHeight="1">
      <c r="B133" s="43" t="s">
        <v>244</v>
      </c>
      <c r="C133" s="20">
        <v>0.0493</v>
      </c>
      <c r="D133" s="20">
        <v>0.0484</v>
      </c>
      <c r="E133" s="20">
        <v>0.0499</v>
      </c>
      <c r="F133" s="20">
        <v>0.0523</v>
      </c>
      <c r="G133" s="10">
        <f t="shared" si="2"/>
        <v>0.0523</v>
      </c>
      <c r="H133" s="20">
        <v>0.0421</v>
      </c>
      <c r="I133" s="20">
        <v>0.0432</v>
      </c>
      <c r="J133" s="56">
        <v>0.0454</v>
      </c>
      <c r="K133" s="40" t="s">
        <v>178</v>
      </c>
    </row>
    <row r="134" ht="15" customHeight="1">
      <c r="B134" s="37" t="s">
        <v>137</v>
      </c>
      <c r="C134" s="58" t="s">
        <v>31</v>
      </c>
      <c r="D134" s="58">
        <f t="shared" si="19"/>
        <v>-8.99999999999998</v>
      </c>
      <c r="E134" s="58">
        <f t="shared" si="19"/>
        <v>15.000000000000014</v>
      </c>
      <c r="F134" s="58">
        <f t="shared" si="19"/>
        <v>23.999999999999993</v>
      </c>
      <c r="G134" s="58" t="s">
        <v>31</v>
      </c>
      <c r="H134" s="58">
        <f t="shared" si="22"/>
        <v>-102.00000000000001</v>
      </c>
      <c r="I134" s="58">
        <f t="shared" si="19"/>
        <v>11.000000000000037</v>
      </c>
      <c r="J134" s="59">
        <f t="shared" si="19"/>
        <v>22.000000000000007</v>
      </c>
    </row>
    <row r="135" ht="15" customHeight="1">
      <c r="B135" s="37" t="s">
        <v>138</v>
      </c>
      <c r="C135" s="58" t="s">
        <v>31</v>
      </c>
      <c r="D135" s="58" t="s">
        <v>31</v>
      </c>
      <c r="E135" s="58" t="s">
        <v>31</v>
      </c>
      <c r="F135" s="58" t="s">
        <v>31</v>
      </c>
      <c r="G135" s="58" t="s">
        <v>31</v>
      </c>
      <c r="H135" s="58">
        <f t="shared" si="20"/>
        <v>-71.99999999999999</v>
      </c>
      <c r="I135" s="58">
        <f t="shared" si="20"/>
        <v>-51.999999999999964</v>
      </c>
      <c r="J135" s="59">
        <f t="shared" si="20"/>
        <v>-44.99999999999997</v>
      </c>
    </row>
    <row r="136" ht="15" customHeight="1">
      <c r="B136" s="35" t="s">
        <v>179</v>
      </c>
    </row>
    <row r="137" ht="15" customHeight="1">
      <c r="B137" s="24" t="s">
        <v>245</v>
      </c>
      <c r="C137" s="9" t="s">
        <v>31</v>
      </c>
      <c r="D137" s="9" t="s">
        <v>31</v>
      </c>
      <c r="E137" s="12">
        <v>1855</v>
      </c>
      <c r="F137" s="12">
        <v>1869</v>
      </c>
      <c r="G137" s="9">
        <f t="shared" si="2"/>
        <v>1869</v>
      </c>
      <c r="H137" s="12">
        <v>2026</v>
      </c>
      <c r="I137" s="12">
        <v>2142</v>
      </c>
      <c r="J137" s="54">
        <f t="shared" si="40" ref="J137:J140">J10*J146</f>
        <v>2229.6</v>
      </c>
      <c r="K137" s="40" t="s">
        <v>181</v>
      </c>
    </row>
    <row r="138" ht="15" customHeight="1">
      <c r="B138" s="37" t="s">
        <v>75</v>
      </c>
      <c r="C138" s="10" t="s">
        <v>31</v>
      </c>
      <c r="D138" s="10" t="s">
        <v>31</v>
      </c>
      <c r="E138" s="10" t="s">
        <v>31</v>
      </c>
      <c r="F138" s="10" t="s">
        <v>31</v>
      </c>
      <c r="G138" s="10" t="s">
        <v>31</v>
      </c>
      <c r="H138" s="10" t="str">
        <f t="shared" si="0"/>
        <v>n/a</v>
      </c>
      <c r="I138" s="10" t="str">
        <f t="shared" si="0"/>
        <v>n/a</v>
      </c>
      <c r="J138" s="38">
        <f t="shared" si="0"/>
        <v>0.20194070080862536</v>
      </c>
    </row>
    <row r="139" ht="15" customHeight="1">
      <c r="B139" s="37" t="s">
        <v>92</v>
      </c>
      <c r="C139" s="50" t="s">
        <v>31</v>
      </c>
      <c r="D139" s="50" t="str">
        <f t="shared" si="1"/>
        <v>n/a</v>
      </c>
      <c r="E139" s="50" t="str">
        <f t="shared" si="1"/>
        <v>n/a</v>
      </c>
      <c r="F139" s="50">
        <f t="shared" si="1"/>
        <v>14</v>
      </c>
      <c r="G139" s="50" t="s">
        <v>31</v>
      </c>
      <c r="H139" s="50">
        <f t="shared" si="3"/>
        <v>157</v>
      </c>
      <c r="I139" s="50">
        <f t="shared" si="1"/>
        <v>116</v>
      </c>
      <c r="J139" s="51">
        <f t="shared" si="1"/>
        <v>87.59999999999991</v>
      </c>
    </row>
    <row r="140" ht="15" customHeight="1">
      <c r="B140" s="24" t="s">
        <v>246</v>
      </c>
      <c r="C140" s="9" t="s">
        <v>31</v>
      </c>
      <c r="D140" s="9" t="s">
        <v>31</v>
      </c>
      <c r="E140" s="12">
        <v>23</v>
      </c>
      <c r="F140" s="12">
        <v>23</v>
      </c>
      <c r="G140" s="9">
        <f t="shared" si="2"/>
        <v>23</v>
      </c>
      <c r="H140" s="12">
        <v>21</v>
      </c>
      <c r="I140" s="12">
        <v>20</v>
      </c>
      <c r="J140" s="54">
        <f t="shared" si="40"/>
        <v>19.721999999999998</v>
      </c>
      <c r="K140" s="40" t="s">
        <v>181</v>
      </c>
    </row>
    <row r="141" ht="15" customHeight="1">
      <c r="B141" s="37" t="s">
        <v>75</v>
      </c>
      <c r="C141" s="10" t="s">
        <v>31</v>
      </c>
      <c r="D141" s="10" t="s">
        <v>31</v>
      </c>
      <c r="E141" s="10" t="s">
        <v>31</v>
      </c>
      <c r="F141" s="10" t="s">
        <v>31</v>
      </c>
      <c r="G141" s="10" t="s">
        <v>31</v>
      </c>
      <c r="H141" s="10" t="str">
        <f t="shared" si="0"/>
        <v>n/a</v>
      </c>
      <c r="I141" s="10" t="str">
        <f t="shared" si="0"/>
        <v>n/a</v>
      </c>
      <c r="J141" s="38">
        <f t="shared" si="0"/>
        <v>-0.14252173913043487</v>
      </c>
    </row>
    <row r="142" ht="15" customHeight="1">
      <c r="B142" s="37" t="s">
        <v>92</v>
      </c>
      <c r="C142" s="50" t="s">
        <v>31</v>
      </c>
      <c r="D142" s="50" t="str">
        <f t="shared" si="1"/>
        <v>n/a</v>
      </c>
      <c r="E142" s="50" t="str">
        <f t="shared" si="1"/>
        <v>n/a</v>
      </c>
      <c r="F142" s="50">
        <f t="shared" si="1"/>
        <v>0</v>
      </c>
      <c r="G142" s="50" t="s">
        <v>31</v>
      </c>
      <c r="H142" s="50">
        <f t="shared" si="3"/>
        <v>-2</v>
      </c>
      <c r="I142" s="50">
        <f t="shared" si="1"/>
        <v>-1</v>
      </c>
      <c r="J142" s="51">
        <f t="shared" si="1"/>
        <v>-0.27800000000000225</v>
      </c>
    </row>
    <row r="143" ht="15" customHeight="1">
      <c r="B143" s="4" t="s">
        <v>247</v>
      </c>
      <c r="C143" s="41" t="s">
        <v>31</v>
      </c>
      <c r="D143" s="41" t="s">
        <v>31</v>
      </c>
      <c r="E143" s="41">
        <f t="shared" si="4"/>
        <v>1878</v>
      </c>
      <c r="F143" s="41">
        <f t="shared" si="4"/>
        <v>1892</v>
      </c>
      <c r="G143" s="41">
        <f t="shared" si="4"/>
        <v>1892</v>
      </c>
      <c r="H143" s="41">
        <f t="shared" si="4"/>
        <v>2047</v>
      </c>
      <c r="I143" s="41">
        <f t="shared" si="4"/>
        <v>2162</v>
      </c>
      <c r="J143" s="42">
        <f t="shared" si="4"/>
        <v>2249.322</v>
      </c>
    </row>
    <row r="144" ht="15" customHeight="1">
      <c r="B144" s="37" t="s">
        <v>75</v>
      </c>
      <c r="C144" s="10" t="s">
        <v>31</v>
      </c>
      <c r="D144" s="10" t="s">
        <v>31</v>
      </c>
      <c r="E144" s="10" t="s">
        <v>31</v>
      </c>
      <c r="F144" s="10" t="s">
        <v>31</v>
      </c>
      <c r="G144" s="10" t="s">
        <v>31</v>
      </c>
      <c r="H144" s="10" t="str">
        <f t="shared" si="0"/>
        <v>n/a</v>
      </c>
      <c r="I144" s="10" t="str">
        <f t="shared" si="0"/>
        <v>n/a</v>
      </c>
      <c r="J144" s="38">
        <f t="shared" si="0"/>
        <v>0.19772204472843447</v>
      </c>
    </row>
    <row r="145" ht="15" customHeight="1">
      <c r="B145" s="37" t="s">
        <v>92</v>
      </c>
      <c r="C145" s="50" t="s">
        <v>31</v>
      </c>
      <c r="D145" s="50" t="str">
        <f t="shared" si="1"/>
        <v>n/a</v>
      </c>
      <c r="E145" s="50" t="str">
        <f t="shared" si="1"/>
        <v>n/a</v>
      </c>
      <c r="F145" s="50">
        <f t="shared" si="1"/>
        <v>14</v>
      </c>
      <c r="G145" s="50" t="s">
        <v>31</v>
      </c>
      <c r="H145" s="50">
        <f t="shared" si="3"/>
        <v>155</v>
      </c>
      <c r="I145" s="50">
        <f t="shared" si="1"/>
        <v>115</v>
      </c>
      <c r="J145" s="51">
        <f t="shared" si="1"/>
        <v>87.32200000000012</v>
      </c>
    </row>
    <row r="146" ht="15" customHeight="1">
      <c r="B146" s="37" t="s">
        <v>248</v>
      </c>
      <c r="C146" s="10" t="s">
        <v>31</v>
      </c>
      <c r="D146" s="10" t="s">
        <v>31</v>
      </c>
      <c r="E146" s="10">
        <f t="shared" si="41" ref="E146:J152">E137/E10</f>
        <v>0.02261229962820747</v>
      </c>
      <c r="F146" s="10">
        <f t="shared" si="41"/>
        <v>0.02235645933014354</v>
      </c>
      <c r="G146" s="10">
        <f t="shared" si="41"/>
        <v>0.02235645933014354</v>
      </c>
      <c r="H146" s="10">
        <f t="shared" si="41"/>
        <v>0.02364060676779463</v>
      </c>
      <c r="I146" s="10">
        <f t="shared" si="41"/>
        <v>0.023983607842259072</v>
      </c>
      <c r="J146" s="56">
        <v>0.024</v>
      </c>
    </row>
    <row r="147" ht="15" customHeight="1">
      <c r="B147" s="57" t="s">
        <v>137</v>
      </c>
      <c r="C147" s="58" t="s">
        <v>31</v>
      </c>
      <c r="D147" s="58" t="str">
        <f t="shared" si="19"/>
        <v>n/a</v>
      </c>
      <c r="E147" s="58" t="str">
        <f t="shared" si="19"/>
        <v>n/a</v>
      </c>
      <c r="F147" s="58">
        <f t="shared" si="19"/>
        <v>-2.5584029806393143</v>
      </c>
      <c r="G147" s="58" t="s">
        <v>31</v>
      </c>
      <c r="H147" s="58">
        <f t="shared" si="22"/>
        <v>12.841474376510918</v>
      </c>
      <c r="I147" s="58">
        <f t="shared" si="19"/>
        <v>3.430010744644406</v>
      </c>
      <c r="J147" s="59">
        <f t="shared" si="19"/>
        <v>0.16392157740928448</v>
      </c>
    </row>
    <row r="148" ht="15" customHeight="1">
      <c r="B148" s="57" t="s">
        <v>138</v>
      </c>
      <c r="C148" s="58" t="s">
        <v>31</v>
      </c>
      <c r="D148" s="58" t="s">
        <v>31</v>
      </c>
      <c r="E148" s="58" t="s">
        <v>31</v>
      </c>
      <c r="F148" s="58" t="s">
        <v>31</v>
      </c>
      <c r="G148" s="58" t="s">
        <v>31</v>
      </c>
      <c r="H148" s="58" t="str">
        <f t="shared" si="20"/>
        <v>n/a</v>
      </c>
      <c r="I148" s="58" t="str">
        <f t="shared" si="20"/>
        <v>n/a</v>
      </c>
      <c r="J148" s="59">
        <f t="shared" si="20"/>
        <v>13.877003717925295</v>
      </c>
    </row>
    <row r="149" ht="15" customHeight="1">
      <c r="B149" s="37" t="s">
        <v>249</v>
      </c>
      <c r="C149" s="10" t="s">
        <v>31</v>
      </c>
      <c r="D149" s="10" t="s">
        <v>31</v>
      </c>
      <c r="E149" s="10">
        <f t="shared" si="41"/>
        <v>0.019246861924686193</v>
      </c>
      <c r="F149" s="10">
        <f t="shared" si="41"/>
        <v>0.019327731092436976</v>
      </c>
      <c r="G149" s="10">
        <f t="shared" si="41"/>
        <v>0.019327731092436976</v>
      </c>
      <c r="H149" s="10">
        <f t="shared" si="41"/>
        <v>0.017902813299232736</v>
      </c>
      <c r="I149" s="10">
        <f t="shared" si="41"/>
        <v>0.01730103806228374</v>
      </c>
      <c r="J149" s="56">
        <v>0.0173</v>
      </c>
    </row>
    <row r="150" ht="15" customHeight="1">
      <c r="B150" s="57" t="s">
        <v>137</v>
      </c>
      <c r="C150" s="58" t="s">
        <v>31</v>
      </c>
      <c r="D150" s="58" t="str">
        <f t="shared" si="19"/>
        <v>n/a</v>
      </c>
      <c r="E150" s="58" t="str">
        <f t="shared" si="19"/>
        <v>n/a</v>
      </c>
      <c r="F150" s="58">
        <f t="shared" si="19"/>
        <v>0.8086916775078279</v>
      </c>
      <c r="G150" s="58" t="s">
        <v>31</v>
      </c>
      <c r="H150" s="58">
        <f t="shared" si="22"/>
        <v>-14.249177932042397</v>
      </c>
      <c r="I150" s="58">
        <f t="shared" si="19"/>
        <v>-6.017752369489974</v>
      </c>
      <c r="J150" s="59">
        <f t="shared" si="19"/>
        <v>-0.010380622837390108</v>
      </c>
    </row>
    <row r="151" ht="15" customHeight="1">
      <c r="B151" s="57" t="s">
        <v>138</v>
      </c>
      <c r="C151" s="58" t="s">
        <v>31</v>
      </c>
      <c r="D151" s="58" t="s">
        <v>31</v>
      </c>
      <c r="E151" s="58" t="s">
        <v>31</v>
      </c>
      <c r="F151" s="58" t="s">
        <v>31</v>
      </c>
      <c r="G151" s="58" t="s">
        <v>31</v>
      </c>
      <c r="H151" s="58" t="str">
        <f t="shared" si="20"/>
        <v>n/a</v>
      </c>
      <c r="I151" s="58" t="str">
        <f t="shared" si="20"/>
        <v>n/a</v>
      </c>
      <c r="J151" s="59">
        <f t="shared" si="20"/>
        <v>-19.468619246861934</v>
      </c>
    </row>
    <row r="152" ht="15" customHeight="1">
      <c r="B152" s="43" t="s">
        <v>188</v>
      </c>
      <c r="C152" s="10" t="s">
        <v>31</v>
      </c>
      <c r="D152" s="10" t="s">
        <v>31</v>
      </c>
      <c r="E152" s="10">
        <f t="shared" si="41"/>
        <v>0.022563979334374623</v>
      </c>
      <c r="F152" s="10">
        <f t="shared" si="41"/>
        <v>0.02231395211699493</v>
      </c>
      <c r="G152" s="10">
        <f t="shared" si="41"/>
        <v>0.02231395211699493</v>
      </c>
      <c r="H152" s="10">
        <f t="shared" si="41"/>
        <v>0.023563132388659307</v>
      </c>
      <c r="I152" s="10">
        <f t="shared" si="41"/>
        <v>0.02389821702941404</v>
      </c>
      <c r="J152" s="38">
        <f t="shared" si="41"/>
        <v>0.023918779242875374</v>
      </c>
    </row>
    <row r="153" ht="15" customHeight="1">
      <c r="B153" s="37" t="s">
        <v>137</v>
      </c>
      <c r="C153" s="58" t="s">
        <v>31</v>
      </c>
      <c r="D153" s="58" t="str">
        <f t="shared" si="19"/>
        <v>n/a</v>
      </c>
      <c r="E153" s="58" t="str">
        <f t="shared" si="19"/>
        <v>n/a</v>
      </c>
      <c r="F153" s="58">
        <f t="shared" si="19"/>
        <v>-2.50027217379694</v>
      </c>
      <c r="G153" s="58" t="s">
        <v>31</v>
      </c>
      <c r="H153" s="58">
        <f t="shared" si="22"/>
        <v>12.491802716643775</v>
      </c>
      <c r="I153" s="58">
        <f t="shared" si="19"/>
        <v>3.350846407547334</v>
      </c>
      <c r="J153" s="59">
        <f t="shared" si="19"/>
        <v>0.2056221346133369</v>
      </c>
    </row>
    <row r="154" ht="15" customHeight="1">
      <c r="B154" s="37" t="s">
        <v>138</v>
      </c>
      <c r="C154" s="58" t="s">
        <v>31</v>
      </c>
      <c r="D154" s="58" t="s">
        <v>31</v>
      </c>
      <c r="E154" s="58" t="s">
        <v>31</v>
      </c>
      <c r="F154" s="58" t="s">
        <v>31</v>
      </c>
      <c r="G154" s="58" t="s">
        <v>31</v>
      </c>
      <c r="H154" s="58" t="str">
        <f t="shared" si="20"/>
        <v>n/a</v>
      </c>
      <c r="I154" s="58" t="str">
        <f t="shared" si="20"/>
        <v>n/a</v>
      </c>
      <c r="J154" s="59">
        <f t="shared" si="20"/>
        <v>13.547999085007506</v>
      </c>
    </row>
    <row r="155" ht="15" customHeight="1">
      <c r="B155" s="24" t="s">
        <v>189</v>
      </c>
      <c r="C155" s="9" t="s">
        <v>31</v>
      </c>
      <c r="D155" s="9" t="s">
        <v>31</v>
      </c>
      <c r="E155" s="9" t="s">
        <v>31</v>
      </c>
      <c r="F155" s="9">
        <f t="shared" si="42" ref="F155:J155">F143-E143</f>
        <v>14</v>
      </c>
      <c r="G155" s="9" t="s">
        <v>31</v>
      </c>
      <c r="H155" s="9">
        <f>H143-F143</f>
        <v>155</v>
      </c>
      <c r="I155" s="9">
        <f t="shared" si="42"/>
        <v>115</v>
      </c>
      <c r="J155" s="54">
        <f t="shared" si="42"/>
        <v>87.32200000000012</v>
      </c>
    </row>
    <row r="156" ht="15" customHeight="1">
      <c r="B156" s="37" t="s">
        <v>75</v>
      </c>
      <c r="C156" s="10" t="s">
        <v>31</v>
      </c>
      <c r="D156" s="10" t="s">
        <v>31</v>
      </c>
      <c r="E156" s="10" t="s">
        <v>31</v>
      </c>
      <c r="F156" s="10" t="s">
        <v>31</v>
      </c>
      <c r="G156" s="10" t="s">
        <v>31</v>
      </c>
      <c r="H156" s="10" t="str">
        <f t="shared" si="0"/>
        <v>n/a</v>
      </c>
      <c r="I156" s="10" t="str">
        <f t="shared" si="0"/>
        <v>n/a</v>
      </c>
      <c r="J156" s="38" t="str">
        <f t="shared" si="0"/>
        <v>n/a</v>
      </c>
    </row>
    <row r="157" ht="15" customHeight="1">
      <c r="B157" s="37" t="s">
        <v>92</v>
      </c>
      <c r="C157" s="50" t="s">
        <v>31</v>
      </c>
      <c r="D157" s="50" t="str">
        <f t="shared" si="1"/>
        <v>n/a</v>
      </c>
      <c r="E157" s="50" t="str">
        <f t="shared" si="1"/>
        <v>n/a</v>
      </c>
      <c r="F157" s="50" t="str">
        <f t="shared" si="1"/>
        <v>n/a</v>
      </c>
      <c r="G157" s="50" t="s">
        <v>31</v>
      </c>
      <c r="H157" s="50">
        <f t="shared" si="3"/>
        <v>141</v>
      </c>
      <c r="I157" s="50">
        <f t="shared" si="1"/>
        <v>-40</v>
      </c>
      <c r="J157" s="51">
        <f t="shared" si="1"/>
        <v>-27.677999999999884</v>
      </c>
    </row>
    <row r="158" ht="15" customHeight="1">
      <c r="B158" s="45" t="s">
        <v>250</v>
      </c>
      <c r="C158" s="60">
        <v>301</v>
      </c>
      <c r="D158" s="60">
        <v>252</v>
      </c>
      <c r="E158" s="60">
        <v>340</v>
      </c>
      <c r="F158" s="60">
        <v>409</v>
      </c>
      <c r="G158" s="41">
        <f t="shared" si="24"/>
        <v>1302</v>
      </c>
      <c r="H158" s="60">
        <v>519</v>
      </c>
      <c r="I158" s="60">
        <v>444</v>
      </c>
      <c r="J158" s="42">
        <f>J127+J155</f>
        <v>475.1345000000001</v>
      </c>
      <c r="K158" s="40" t="s">
        <v>191</v>
      </c>
    </row>
    <row r="159" ht="15" customHeight="1">
      <c r="B159" s="37" t="s">
        <v>75</v>
      </c>
      <c r="C159" s="10" t="s">
        <v>31</v>
      </c>
      <c r="D159" s="10" t="s">
        <v>31</v>
      </c>
      <c r="E159" s="10" t="s">
        <v>31</v>
      </c>
      <c r="F159" s="10" t="s">
        <v>31</v>
      </c>
      <c r="G159" s="10" t="s">
        <v>31</v>
      </c>
      <c r="H159" s="10">
        <f t="shared" si="0"/>
        <v>0.7242524916943522</v>
      </c>
      <c r="I159" s="10">
        <f t="shared" si="0"/>
        <v>0.7619047619047619</v>
      </c>
      <c r="J159" s="38">
        <f t="shared" si="0"/>
        <v>0.3974544117647063</v>
      </c>
    </row>
    <row r="160" ht="15" customHeight="1">
      <c r="B160" s="37" t="s">
        <v>92</v>
      </c>
      <c r="C160" s="50" t="s">
        <v>31</v>
      </c>
      <c r="D160" s="50">
        <f t="shared" si="1"/>
        <v>-49</v>
      </c>
      <c r="E160" s="50">
        <f t="shared" si="1"/>
        <v>88</v>
      </c>
      <c r="F160" s="50">
        <f t="shared" si="1"/>
        <v>69</v>
      </c>
      <c r="G160" s="50" t="s">
        <v>31</v>
      </c>
      <c r="H160" s="50">
        <f t="shared" si="3"/>
        <v>110</v>
      </c>
      <c r="I160" s="50">
        <f t="shared" si="1"/>
        <v>-75</v>
      </c>
      <c r="J160" s="51">
        <f t="shared" si="1"/>
        <v>31.134500000000116</v>
      </c>
    </row>
    <row r="161" ht="15" customHeight="1">
      <c r="B161" s="35" t="s">
        <v>193</v>
      </c>
    </row>
    <row r="162" ht="15" customHeight="1">
      <c r="B162" s="24" t="s">
        <v>88</v>
      </c>
      <c r="C162" s="9">
        <f t="shared" si="43" ref="C162:J162">C101</f>
        <v>2126</v>
      </c>
      <c r="D162" s="9">
        <f t="shared" si="43"/>
        <v>2556</v>
      </c>
      <c r="E162" s="9">
        <f t="shared" si="43"/>
        <v>2832</v>
      </c>
      <c r="F162" s="9">
        <f t="shared" si="43"/>
        <v>2919</v>
      </c>
      <c r="G162" s="9">
        <f t="shared" si="43"/>
        <v>10433</v>
      </c>
      <c r="H162" s="9">
        <f t="shared" si="43"/>
        <v>2912</v>
      </c>
      <c r="I162" s="9">
        <f t="shared" si="43"/>
        <v>3209</v>
      </c>
      <c r="J162" s="54">
        <f t="shared" si="43"/>
        <v>3269.295225123288</v>
      </c>
    </row>
    <row r="163" ht="15" customHeight="1">
      <c r="B163" s="37" t="s">
        <v>75</v>
      </c>
      <c r="C163" s="10" t="s">
        <v>31</v>
      </c>
      <c r="D163" s="10" t="s">
        <v>31</v>
      </c>
      <c r="E163" s="10" t="s">
        <v>31</v>
      </c>
      <c r="F163" s="10" t="s">
        <v>31</v>
      </c>
      <c r="G163" s="10" t="s">
        <v>31</v>
      </c>
      <c r="H163" s="10">
        <f t="shared" si="0"/>
        <v>0.36970837253057387</v>
      </c>
      <c r="I163" s="10">
        <f t="shared" si="0"/>
        <v>0.25547730829420967</v>
      </c>
      <c r="J163" s="38">
        <f t="shared" si="0"/>
        <v>0.1544121557638729</v>
      </c>
    </row>
    <row r="164" ht="15" customHeight="1">
      <c r="B164" s="37" t="s">
        <v>92</v>
      </c>
      <c r="C164" s="50" t="s">
        <v>31</v>
      </c>
      <c r="D164" s="50">
        <f t="shared" si="1"/>
        <v>430</v>
      </c>
      <c r="E164" s="50">
        <f t="shared" si="1"/>
        <v>276</v>
      </c>
      <c r="F164" s="50">
        <f t="shared" si="1"/>
        <v>87</v>
      </c>
      <c r="G164" s="50" t="s">
        <v>31</v>
      </c>
      <c r="H164" s="50">
        <f t="shared" si="3"/>
        <v>-7</v>
      </c>
      <c r="I164" s="50">
        <f t="shared" si="1"/>
        <v>297</v>
      </c>
      <c r="J164" s="51">
        <f t="shared" si="1"/>
        <v>60.29522512328822</v>
      </c>
    </row>
    <row r="165" ht="15" customHeight="1">
      <c r="B165" s="24" t="s">
        <v>194</v>
      </c>
      <c r="C165" s="9">
        <f t="shared" si="44" ref="C165:J165">C158</f>
        <v>301</v>
      </c>
      <c r="D165" s="9">
        <f t="shared" si="44"/>
        <v>252</v>
      </c>
      <c r="E165" s="9">
        <f t="shared" si="44"/>
        <v>340</v>
      </c>
      <c r="F165" s="9">
        <f t="shared" si="44"/>
        <v>409</v>
      </c>
      <c r="G165" s="9">
        <f t="shared" si="44"/>
        <v>1302</v>
      </c>
      <c r="H165" s="9">
        <f t="shared" si="44"/>
        <v>519</v>
      </c>
      <c r="I165" s="9">
        <f t="shared" si="44"/>
        <v>444</v>
      </c>
      <c r="J165" s="54">
        <f t="shared" si="44"/>
        <v>475.1345000000001</v>
      </c>
    </row>
    <row r="166" ht="15" customHeight="1">
      <c r="B166" s="37" t="s">
        <v>75</v>
      </c>
      <c r="C166" s="10" t="s">
        <v>31</v>
      </c>
      <c r="D166" s="10" t="s">
        <v>31</v>
      </c>
      <c r="E166" s="10" t="s">
        <v>31</v>
      </c>
      <c r="F166" s="10" t="s">
        <v>31</v>
      </c>
      <c r="G166" s="10" t="s">
        <v>31</v>
      </c>
      <c r="H166" s="10">
        <f t="shared" si="0"/>
        <v>0.7242524916943522</v>
      </c>
      <c r="I166" s="10">
        <f t="shared" si="0"/>
        <v>0.7619047619047619</v>
      </c>
      <c r="J166" s="38">
        <f t="shared" si="0"/>
        <v>0.3974544117647063</v>
      </c>
    </row>
    <row r="167" ht="15" customHeight="1">
      <c r="B167" s="37" t="s">
        <v>92</v>
      </c>
      <c r="C167" s="50" t="s">
        <v>31</v>
      </c>
      <c r="D167" s="50">
        <f t="shared" si="1"/>
        <v>-49</v>
      </c>
      <c r="E167" s="50">
        <f t="shared" si="1"/>
        <v>88</v>
      </c>
      <c r="F167" s="50">
        <f t="shared" si="1"/>
        <v>69</v>
      </c>
      <c r="G167" s="50" t="s">
        <v>31</v>
      </c>
      <c r="H167" s="50">
        <f t="shared" si="3"/>
        <v>110</v>
      </c>
      <c r="I167" s="50">
        <f t="shared" si="1"/>
        <v>-75</v>
      </c>
      <c r="J167" s="51">
        <f t="shared" si="1"/>
        <v>31.134500000000116</v>
      </c>
    </row>
    <row r="168" ht="15" customHeight="1">
      <c r="B168" s="24" t="s">
        <v>195</v>
      </c>
      <c r="C168" s="12">
        <v>1581</v>
      </c>
      <c r="D168" s="12">
        <v>1713</v>
      </c>
      <c r="E168" s="12">
        <v>1941</v>
      </c>
      <c r="F168" s="12">
        <v>2289</v>
      </c>
      <c r="G168" s="9">
        <f t="shared" si="24"/>
        <v>7524</v>
      </c>
      <c r="H168" s="12">
        <v>1998</v>
      </c>
      <c r="I168" s="12">
        <v>2121</v>
      </c>
      <c r="J168" s="54">
        <f t="shared" si="45"/>
        <v>2152.8149999999996</v>
      </c>
      <c r="K168" s="40" t="s">
        <v>191</v>
      </c>
    </row>
    <row r="169" ht="15" customHeight="1">
      <c r="B169" s="37" t="s">
        <v>75</v>
      </c>
      <c r="C169" s="10" t="s">
        <v>31</v>
      </c>
      <c r="D169" s="10" t="s">
        <v>31</v>
      </c>
      <c r="E169" s="10" t="s">
        <v>31</v>
      </c>
      <c r="F169" s="10" t="s">
        <v>31</v>
      </c>
      <c r="G169" s="10" t="s">
        <v>31</v>
      </c>
      <c r="H169" s="10">
        <f t="shared" si="0"/>
        <v>0.26375711574952554</v>
      </c>
      <c r="I169" s="10">
        <f t="shared" si="0"/>
        <v>0.23817863397548167</v>
      </c>
      <c r="J169" s="38">
        <f t="shared" si="0"/>
        <v>0.10912673879443568</v>
      </c>
    </row>
    <row r="170" ht="15" customHeight="1">
      <c r="B170" s="37" t="s">
        <v>92</v>
      </c>
      <c r="C170" s="50" t="s">
        <v>31</v>
      </c>
      <c r="D170" s="50">
        <f t="shared" si="1"/>
        <v>132</v>
      </c>
      <c r="E170" s="50">
        <f t="shared" si="1"/>
        <v>228</v>
      </c>
      <c r="F170" s="50">
        <f t="shared" si="1"/>
        <v>348</v>
      </c>
      <c r="G170" s="50" t="s">
        <v>31</v>
      </c>
      <c r="H170" s="50">
        <f t="shared" si="3"/>
        <v>-291</v>
      </c>
      <c r="I170" s="50">
        <f t="shared" si="1"/>
        <v>123</v>
      </c>
      <c r="J170" s="51">
        <f t="shared" si="1"/>
        <v>31.8149999999996</v>
      </c>
    </row>
    <row r="171" ht="15" customHeight="1">
      <c r="B171" s="37" t="s">
        <v>196</v>
      </c>
      <c r="C171" s="10" t="s">
        <v>31</v>
      </c>
      <c r="D171" s="10">
        <f t="shared" si="46" ref="D171:I171">D168/C168-1</f>
        <v>0.08349146110056926</v>
      </c>
      <c r="E171" s="10">
        <f t="shared" si="46"/>
        <v>0.13309982486865146</v>
      </c>
      <c r="F171" s="10">
        <f t="shared" si="46"/>
        <v>0.1792890262751159</v>
      </c>
      <c r="G171" s="10" t="s">
        <v>31</v>
      </c>
      <c r="H171" s="10">
        <f t="shared" si="47"/>
        <v>-0.12712975098296198</v>
      </c>
      <c r="I171" s="10">
        <f t="shared" si="46"/>
        <v>0.06156156156156145</v>
      </c>
      <c r="J171" s="56">
        <v>0.015</v>
      </c>
      <c r="K171" s="40" t="s">
        <v>136</v>
      </c>
    </row>
    <row r="172" ht="15" customHeight="1">
      <c r="B172" s="57" t="s">
        <v>137</v>
      </c>
      <c r="C172" s="58" t="s">
        <v>31</v>
      </c>
      <c r="D172" s="58" t="str">
        <f t="shared" si="19"/>
        <v>n/a</v>
      </c>
      <c r="E172" s="58">
        <f t="shared" si="19"/>
        <v>496.083637680822</v>
      </c>
      <c r="F172" s="58">
        <f t="shared" si="19"/>
        <v>461.8920140646443</v>
      </c>
      <c r="G172" s="58" t="s">
        <v>31</v>
      </c>
      <c r="H172" s="58">
        <f t="shared" si="22"/>
        <v>-3064.1877725807785</v>
      </c>
      <c r="I172" s="58">
        <f t="shared" si="19"/>
        <v>1886.9131254452343</v>
      </c>
      <c r="J172" s="59">
        <f t="shared" si="19"/>
        <v>-465.6156156156145</v>
      </c>
    </row>
    <row r="173" ht="15" customHeight="1">
      <c r="B173" s="57" t="s">
        <v>138</v>
      </c>
      <c r="C173" s="58" t="s">
        <v>31</v>
      </c>
      <c r="D173" s="58" t="s">
        <v>31</v>
      </c>
      <c r="E173" s="58" t="s">
        <v>31</v>
      </c>
      <c r="F173" s="58" t="s">
        <v>31</v>
      </c>
      <c r="G173" s="58" t="s">
        <v>31</v>
      </c>
      <c r="H173" s="58" t="str">
        <f t="shared" si="20"/>
        <v>n/a</v>
      </c>
      <c r="I173" s="58">
        <f t="shared" si="20"/>
        <v>-219.29899539007812</v>
      </c>
      <c r="J173" s="59">
        <f t="shared" si="20"/>
        <v>-1180.9982486865147</v>
      </c>
    </row>
    <row r="174" ht="15" customHeight="1">
      <c r="B174" s="37" t="s">
        <v>75</v>
      </c>
      <c r="C174" s="10" t="s">
        <v>31</v>
      </c>
      <c r="D174" s="10" t="s">
        <v>31</v>
      </c>
      <c r="E174" s="10" t="s">
        <v>31</v>
      </c>
      <c r="F174" s="10" t="s">
        <v>31</v>
      </c>
      <c r="G174" s="10" t="s">
        <v>31</v>
      </c>
      <c r="H174" s="10">
        <f t="shared" si="15"/>
        <v>0.26375711574952554</v>
      </c>
      <c r="I174" s="10">
        <f t="shared" si="15"/>
        <v>0.23817863397548167</v>
      </c>
      <c r="J174" s="38">
        <f t="shared" si="15"/>
        <v>0.10912673879443568</v>
      </c>
    </row>
    <row r="175" ht="15" customHeight="1">
      <c r="B175" s="37" t="s">
        <v>92</v>
      </c>
      <c r="C175" s="50" t="s">
        <v>31</v>
      </c>
      <c r="D175" s="50">
        <f t="shared" si="16"/>
        <v>132</v>
      </c>
      <c r="E175" s="50">
        <f t="shared" si="16"/>
        <v>228</v>
      </c>
      <c r="F175" s="50">
        <f t="shared" si="16"/>
        <v>348</v>
      </c>
      <c r="G175" s="50" t="s">
        <v>31</v>
      </c>
      <c r="H175" s="50">
        <f t="shared" si="26"/>
        <v>-291</v>
      </c>
      <c r="I175" s="50">
        <f t="shared" si="16"/>
        <v>123</v>
      </c>
      <c r="J175" s="51">
        <f t="shared" si="16"/>
        <v>31.8149999999996</v>
      </c>
    </row>
    <row r="176" ht="15" customHeight="1">
      <c r="B176" s="4" t="s">
        <v>197</v>
      </c>
      <c r="C176" s="41">
        <f t="shared" si="48" ref="C176:J176">C101-C158-C168</f>
        <v>244</v>
      </c>
      <c r="D176" s="41">
        <f t="shared" si="48"/>
        <v>591</v>
      </c>
      <c r="E176" s="41">
        <f t="shared" si="48"/>
        <v>551</v>
      </c>
      <c r="F176" s="41">
        <f t="shared" si="48"/>
        <v>221</v>
      </c>
      <c r="G176" s="41">
        <f t="shared" si="48"/>
        <v>1607</v>
      </c>
      <c r="H176" s="41">
        <f t="shared" si="48"/>
        <v>395</v>
      </c>
      <c r="I176" s="41">
        <f t="shared" si="48"/>
        <v>644</v>
      </c>
      <c r="J176" s="42">
        <f t="shared" si="48"/>
        <v>641.3457251232885</v>
      </c>
    </row>
    <row r="177" ht="15" customHeight="1">
      <c r="B177" s="43" t="s">
        <v>75</v>
      </c>
      <c r="C177" s="10" t="s">
        <v>31</v>
      </c>
      <c r="D177" s="10" t="s">
        <v>31</v>
      </c>
      <c r="E177" s="10" t="s">
        <v>31</v>
      </c>
      <c r="F177" s="10" t="s">
        <v>31</v>
      </c>
      <c r="G177" s="10" t="s">
        <v>31</v>
      </c>
      <c r="H177" s="10">
        <f t="shared" si="0"/>
        <v>0.6188524590163935</v>
      </c>
      <c r="I177" s="10">
        <f t="shared" si="0"/>
        <v>0.08967851099830804</v>
      </c>
      <c r="J177" s="38">
        <f t="shared" si="0"/>
        <v>0.16396683325460715</v>
      </c>
    </row>
    <row r="178" ht="15" customHeight="1">
      <c r="B178" s="43" t="s">
        <v>92</v>
      </c>
      <c r="C178" s="50" t="s">
        <v>31</v>
      </c>
      <c r="D178" s="50">
        <f t="shared" si="1"/>
        <v>347</v>
      </c>
      <c r="E178" s="50">
        <f t="shared" si="1"/>
        <v>-40</v>
      </c>
      <c r="F178" s="50">
        <f t="shared" si="1"/>
        <v>-330</v>
      </c>
      <c r="G178" s="50" t="s">
        <v>31</v>
      </c>
      <c r="H178" s="50">
        <f t="shared" si="3"/>
        <v>174</v>
      </c>
      <c r="I178" s="50">
        <f t="shared" si="1"/>
        <v>249</v>
      </c>
      <c r="J178" s="51">
        <f t="shared" si="1"/>
        <v>-2.654274876711497</v>
      </c>
    </row>
    <row r="179" ht="15" customHeight="1">
      <c r="B179" s="24" t="s">
        <v>198</v>
      </c>
      <c r="C179" s="12">
        <v>58</v>
      </c>
      <c r="D179" s="12">
        <v>141</v>
      </c>
      <c r="E179" s="12">
        <v>131</v>
      </c>
      <c r="F179" s="12">
        <v>52</v>
      </c>
      <c r="G179" s="9">
        <f t="shared" si="24"/>
        <v>382</v>
      </c>
      <c r="H179" s="12">
        <v>97</v>
      </c>
      <c r="I179" s="12">
        <v>158</v>
      </c>
      <c r="J179" s="54">
        <f>J176*J182</f>
        <v>157.12970265520568</v>
      </c>
      <c r="K179" s="40" t="s">
        <v>191</v>
      </c>
    </row>
    <row r="180" ht="15" customHeight="1">
      <c r="B180" s="37" t="s">
        <v>75</v>
      </c>
      <c r="C180" s="10" t="s">
        <v>31</v>
      </c>
      <c r="D180" s="10" t="s">
        <v>31</v>
      </c>
      <c r="E180" s="10" t="s">
        <v>31</v>
      </c>
      <c r="F180" s="10" t="s">
        <v>31</v>
      </c>
      <c r="G180" s="10" t="s">
        <v>31</v>
      </c>
      <c r="H180" s="10">
        <f t="shared" si="0"/>
        <v>0.6724137931034482</v>
      </c>
      <c r="I180" s="10">
        <f t="shared" si="0"/>
        <v>0.12056737588652489</v>
      </c>
      <c r="J180" s="38">
        <f t="shared" si="0"/>
        <v>0.19946337904737166</v>
      </c>
    </row>
    <row r="181" ht="15" customHeight="1">
      <c r="B181" s="37" t="s">
        <v>92</v>
      </c>
      <c r="C181" s="50" t="s">
        <v>31</v>
      </c>
      <c r="D181" s="50">
        <f t="shared" si="1"/>
        <v>83</v>
      </c>
      <c r="E181" s="50">
        <f t="shared" si="1"/>
        <v>-10</v>
      </c>
      <c r="F181" s="50">
        <f t="shared" si="1"/>
        <v>-79</v>
      </c>
      <c r="G181" s="50" t="s">
        <v>31</v>
      </c>
      <c r="H181" s="50">
        <f t="shared" si="3"/>
        <v>45</v>
      </c>
      <c r="I181" s="50">
        <f t="shared" si="1"/>
        <v>61</v>
      </c>
      <c r="J181" s="51">
        <f t="shared" si="1"/>
        <v>-0.8702973447943236</v>
      </c>
    </row>
    <row r="182" ht="15" customHeight="1">
      <c r="B182" s="37" t="s">
        <v>199</v>
      </c>
      <c r="C182" s="10">
        <f t="shared" si="49" ref="C182:I182">C179/C176</f>
        <v>0.23770491803278687</v>
      </c>
      <c r="D182" s="10">
        <f t="shared" si="49"/>
        <v>0.23857868020304568</v>
      </c>
      <c r="E182" s="10">
        <f t="shared" si="49"/>
        <v>0.23774954627949182</v>
      </c>
      <c r="F182" s="10">
        <f t="shared" si="49"/>
        <v>0.23529411764705882</v>
      </c>
      <c r="G182" s="10">
        <f t="shared" si="49"/>
        <v>0.23771001866832608</v>
      </c>
      <c r="H182" s="10">
        <f t="shared" si="49"/>
        <v>0.24556962025316456</v>
      </c>
      <c r="I182" s="10">
        <f t="shared" si="49"/>
        <v>0.2453416149068323</v>
      </c>
      <c r="J182" s="56">
        <v>0.245</v>
      </c>
      <c r="K182" s="40" t="s">
        <v>136</v>
      </c>
    </row>
    <row r="183" ht="15" customHeight="1">
      <c r="B183" s="57" t="s">
        <v>137</v>
      </c>
      <c r="C183" s="58" t="s">
        <v>31</v>
      </c>
      <c r="D183" s="58">
        <f t="shared" si="19"/>
        <v>8.737621702588072</v>
      </c>
      <c r="E183" s="58">
        <f t="shared" si="19"/>
        <v>-8.291339235538542</v>
      </c>
      <c r="F183" s="58">
        <f t="shared" si="19"/>
        <v>-24.554286324330043</v>
      </c>
      <c r="G183" s="58" t="s">
        <v>31</v>
      </c>
      <c r="H183" s="58">
        <f t="shared" si="22"/>
        <v>102.7550260610574</v>
      </c>
      <c r="I183" s="58">
        <f t="shared" si="19"/>
        <v>-2.2800534633227176</v>
      </c>
      <c r="J183" s="59">
        <f t="shared" si="19"/>
        <v>-3.416149068322938</v>
      </c>
    </row>
    <row r="184" ht="15" customHeight="1">
      <c r="B184" s="57" t="s">
        <v>138</v>
      </c>
      <c r="C184" s="58" t="s">
        <v>31</v>
      </c>
      <c r="D184" s="58" t="s">
        <v>31</v>
      </c>
      <c r="E184" s="58" t="s">
        <v>31</v>
      </c>
      <c r="F184" s="58" t="s">
        <v>31</v>
      </c>
      <c r="G184" s="58" t="s">
        <v>31</v>
      </c>
      <c r="H184" s="58">
        <f t="shared" si="20"/>
        <v>78.6470222037769</v>
      </c>
      <c r="I184" s="58">
        <f t="shared" si="20"/>
        <v>67.62934703786611</v>
      </c>
      <c r="J184" s="59">
        <f t="shared" si="20"/>
        <v>72.5045372050817</v>
      </c>
    </row>
    <row r="185" ht="15" customHeight="1">
      <c r="B185" s="4" t="s">
        <v>200</v>
      </c>
      <c r="C185" s="41">
        <f t="shared" si="50" ref="C185:J185">C176-C179</f>
        <v>186</v>
      </c>
      <c r="D185" s="41">
        <f t="shared" si="50"/>
        <v>450</v>
      </c>
      <c r="E185" s="41">
        <f t="shared" si="50"/>
        <v>420</v>
      </c>
      <c r="F185" s="41">
        <f t="shared" si="50"/>
        <v>169</v>
      </c>
      <c r="G185" s="41">
        <f t="shared" si="50"/>
        <v>1225</v>
      </c>
      <c r="H185" s="41">
        <f t="shared" si="50"/>
        <v>298</v>
      </c>
      <c r="I185" s="41">
        <f t="shared" si="50"/>
        <v>486</v>
      </c>
      <c r="J185" s="42">
        <f t="shared" si="50"/>
        <v>484.2160224680828</v>
      </c>
    </row>
    <row r="186" ht="15" customHeight="1">
      <c r="B186" s="37" t="s">
        <v>75</v>
      </c>
      <c r="C186" s="10" t="s">
        <v>31</v>
      </c>
      <c r="D186" s="10" t="s">
        <v>31</v>
      </c>
      <c r="E186" s="10" t="s">
        <v>31</v>
      </c>
      <c r="F186" s="10" t="s">
        <v>31</v>
      </c>
      <c r="G186" s="10" t="s">
        <v>31</v>
      </c>
      <c r="H186" s="10">
        <f t="shared" si="0"/>
        <v>0.6021505376344085</v>
      </c>
      <c r="I186" s="10">
        <f t="shared" si="0"/>
        <v>0.08000000000000007</v>
      </c>
      <c r="J186" s="38">
        <f t="shared" si="0"/>
        <v>0.1528952915906734</v>
      </c>
    </row>
    <row r="187" ht="15" customHeight="1">
      <c r="B187" s="43" t="s">
        <v>92</v>
      </c>
      <c r="C187" s="50" t="s">
        <v>31</v>
      </c>
      <c r="D187" s="50">
        <f t="shared" si="1"/>
        <v>264</v>
      </c>
      <c r="E187" s="50">
        <f t="shared" si="1"/>
        <v>-30</v>
      </c>
      <c r="F187" s="50">
        <f t="shared" si="1"/>
        <v>-251</v>
      </c>
      <c r="G187" s="50" t="s">
        <v>31</v>
      </c>
      <c r="H187" s="50">
        <f t="shared" si="3"/>
        <v>129</v>
      </c>
      <c r="I187" s="50">
        <f t="shared" si="1"/>
        <v>188</v>
      </c>
      <c r="J187" s="51">
        <f t="shared" si="1"/>
        <v>-1.7839775319171736</v>
      </c>
    </row>
    <row r="188" ht="15" customHeight="1">
      <c r="B188" s="43" t="s">
        <v>39</v>
      </c>
      <c r="C188" s="10">
        <f t="shared" si="51" ref="C188:J188">C168/C101</f>
        <v>0.7436500470366886</v>
      </c>
      <c r="D188" s="10">
        <f t="shared" si="51"/>
        <v>0.67018779342723</v>
      </c>
      <c r="E188" s="10">
        <f t="shared" si="51"/>
        <v>0.6853813559322034</v>
      </c>
      <c r="F188" s="10">
        <f t="shared" si="51"/>
        <v>0.7841726618705036</v>
      </c>
      <c r="G188" s="10">
        <f t="shared" si="51"/>
        <v>0.7211732004217387</v>
      </c>
      <c r="H188" s="10">
        <f t="shared" si="51"/>
        <v>0.6861263736263736</v>
      </c>
      <c r="I188" s="10">
        <f t="shared" si="51"/>
        <v>0.6609535680897476</v>
      </c>
      <c r="J188" s="38">
        <f t="shared" si="51"/>
        <v>0.6584951348096179</v>
      </c>
    </row>
    <row r="189" ht="15" customHeight="1">
      <c r="B189" s="37" t="s">
        <v>137</v>
      </c>
      <c r="C189" s="58" t="s">
        <v>31</v>
      </c>
      <c r="D189" s="58">
        <f t="shared" si="19"/>
        <v>-734.6225360945857</v>
      </c>
      <c r="E189" s="58">
        <f t="shared" si="19"/>
        <v>151.93562504973391</v>
      </c>
      <c r="F189" s="58">
        <f t="shared" si="19"/>
        <v>987.9130593830021</v>
      </c>
      <c r="G189" s="58" t="s">
        <v>31</v>
      </c>
      <c r="H189" s="58">
        <f t="shared" si="22"/>
        <v>-980.4628824412997</v>
      </c>
      <c r="I189" s="58">
        <f t="shared" si="19"/>
        <v>-251.7280553662604</v>
      </c>
      <c r="J189" s="59">
        <f t="shared" si="19"/>
        <v>-24.58433280129735</v>
      </c>
    </row>
    <row r="190" ht="15" customHeight="1">
      <c r="B190" s="37" t="s">
        <v>138</v>
      </c>
      <c r="C190" s="58" t="s">
        <v>31</v>
      </c>
      <c r="D190" s="58" t="s">
        <v>31</v>
      </c>
      <c r="E190" s="58" t="s">
        <v>31</v>
      </c>
      <c r="F190" s="58" t="s">
        <v>31</v>
      </c>
      <c r="G190" s="58" t="s">
        <v>31</v>
      </c>
      <c r="H190" s="58">
        <f t="shared" si="20"/>
        <v>-575.2367341031495</v>
      </c>
      <c r="I190" s="58">
        <f t="shared" si="20"/>
        <v>-92.34225337482415</v>
      </c>
      <c r="J190" s="59">
        <f t="shared" si="20"/>
        <v>-268.8622112258554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752C508-E148-4A9D-D90C-B6597437B513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10" width="12.00390625" customWidth="1"/>
    <col min="11" max="11" width="16.00390625" customWidth="1"/>
  </cols>
  <sheetData>
    <row r="1" ht="15" customHeight="1">
      <c r="B1" s="1" t="s">
        <v>0</v>
      </c>
    </row>
    <row r="2" ht="15" customHeight="1">
      <c r="B2" s="2" t="s">
        <v>251</v>
      </c>
    </row>
    <row r="3" ht="15" customHeight="1">
      <c r="B3" s="3" t="s">
        <v>2</v>
      </c>
    </row>
    <row r="5" ht="15" customHeight="1">
      <c r="B5" s="26" t="s">
        <v>55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7" t="s">
        <v>61</v>
      </c>
      <c r="I5" s="27" t="s">
        <v>62</v>
      </c>
      <c r="J5" s="28" t="s">
        <v>63</v>
      </c>
      <c r="K5" s="26" t="s">
        <v>64</v>
      </c>
    </row>
    <row r="6" ht="15" customHeight="1">
      <c r="B6" s="29" t="s">
        <v>65</v>
      </c>
      <c r="C6" s="30">
        <v>45747</v>
      </c>
      <c r="D6" s="30">
        <v>45838</v>
      </c>
      <c r="E6" s="30">
        <v>45930</v>
      </c>
      <c r="F6" s="30">
        <v>46022</v>
      </c>
      <c r="G6" s="30">
        <v>46022</v>
      </c>
      <c r="H6" s="30">
        <v>46112</v>
      </c>
      <c r="I6" s="30">
        <v>46203</v>
      </c>
      <c r="J6" s="31">
        <v>46295</v>
      </c>
      <c r="K6" s="29"/>
    </row>
    <row r="7" ht="15" customHeight="1">
      <c r="B7" s="32" t="s">
        <v>66</v>
      </c>
      <c r="C7" s="33">
        <v>90</v>
      </c>
      <c r="D7" s="33">
        <v>91</v>
      </c>
      <c r="E7" s="33">
        <v>92</v>
      </c>
      <c r="F7" s="33">
        <v>92</v>
      </c>
      <c r="G7" s="33">
        <v>365</v>
      </c>
      <c r="H7" s="33">
        <v>90</v>
      </c>
      <c r="I7" s="33">
        <v>91</v>
      </c>
      <c r="J7" s="34">
        <v>92</v>
      </c>
      <c r="K7" s="32"/>
    </row>
    <row r="9" ht="15" customHeight="1">
      <c r="B9" s="35" t="s">
        <v>101</v>
      </c>
    </row>
    <row r="10" ht="15" customHeight="1">
      <c r="B10" s="24" t="s">
        <v>252</v>
      </c>
      <c r="C10" s="12">
        <v>31971</v>
      </c>
      <c r="D10" s="12">
        <v>32967</v>
      </c>
      <c r="E10" s="12">
        <v>33461</v>
      </c>
      <c r="F10" s="12">
        <v>33618</v>
      </c>
      <c r="G10" s="9">
        <f t="shared" si="2" ref="G10:G113">F10</f>
        <v>33618</v>
      </c>
      <c r="H10" s="12">
        <v>33809</v>
      </c>
      <c r="I10" s="12">
        <v>34290</v>
      </c>
      <c r="J10" s="39">
        <v>34500</v>
      </c>
      <c r="K10" s="40" t="s">
        <v>106</v>
      </c>
    </row>
    <row r="11" ht="15" customHeight="1">
      <c r="B11" s="37" t="s">
        <v>75</v>
      </c>
      <c r="C11" s="10" t="s">
        <v>31</v>
      </c>
      <c r="D11" s="10" t="s">
        <v>31</v>
      </c>
      <c r="E11" s="10" t="s">
        <v>31</v>
      </c>
      <c r="F11" s="10" t="s">
        <v>31</v>
      </c>
      <c r="G11" s="10" t="s">
        <v>31</v>
      </c>
      <c r="H11" s="10">
        <f t="shared" si="0" ref="H11:J159">IF(AND(ISNUMBER(H10),ISNUMBER(C10)),IF(C10&gt;0,H10/C10-1,"n/m"),"n/a")</f>
        <v>0.05748959994995473</v>
      </c>
      <c r="I11" s="10">
        <f t="shared" si="0"/>
        <v>0.040131040131040185</v>
      </c>
      <c r="J11" s="38">
        <f t="shared" si="0"/>
        <v>0.031051074385105126</v>
      </c>
    </row>
    <row r="12" ht="15" customHeight="1">
      <c r="B12" s="37" t="s">
        <v>92</v>
      </c>
      <c r="C12" s="50" t="s">
        <v>31</v>
      </c>
      <c r="D12" s="50">
        <f t="shared" si="1" ref="D12:J160">IF(AND(ISNUMBER(D10),ISNUMBER(C10)),D10-C10,"n/a")</f>
        <v>996</v>
      </c>
      <c r="E12" s="50">
        <f t="shared" si="1"/>
        <v>494</v>
      </c>
      <c r="F12" s="50">
        <f t="shared" si="1"/>
        <v>157</v>
      </c>
      <c r="G12" s="50" t="s">
        <v>31</v>
      </c>
      <c r="H12" s="50">
        <f t="shared" si="3" ref="H12:H160">IF(AND(ISNUMBER(H10),ISNUMBER(F10)),H10-F10,"n/a")</f>
        <v>191</v>
      </c>
      <c r="I12" s="50">
        <f t="shared" si="1"/>
        <v>481</v>
      </c>
      <c r="J12" s="51">
        <f t="shared" si="1"/>
        <v>210</v>
      </c>
    </row>
    <row r="13" ht="15" customHeight="1">
      <c r="B13" s="24" t="s">
        <v>253</v>
      </c>
      <c r="C13" s="12">
        <v>55542</v>
      </c>
      <c r="D13" s="12">
        <v>55388</v>
      </c>
      <c r="E13" s="12">
        <v>55431</v>
      </c>
      <c r="F13" s="12">
        <v>55644</v>
      </c>
      <c r="G13" s="9">
        <f t="shared" si="2"/>
        <v>55644</v>
      </c>
      <c r="H13" s="12">
        <v>56514</v>
      </c>
      <c r="I13" s="12">
        <v>57003</v>
      </c>
      <c r="J13" s="39">
        <v>57300</v>
      </c>
      <c r="K13" s="40" t="s">
        <v>106</v>
      </c>
    </row>
    <row r="14" ht="15" customHeight="1">
      <c r="B14" s="37" t="s">
        <v>75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>
        <f t="shared" si="0"/>
        <v>0.017500270065896162</v>
      </c>
      <c r="I14" s="10">
        <f t="shared" si="0"/>
        <v>0.02915794034808994</v>
      </c>
      <c r="J14" s="38">
        <f t="shared" si="0"/>
        <v>0.03371759484764847</v>
      </c>
    </row>
    <row r="15" ht="15" customHeight="1">
      <c r="B15" s="37" t="s">
        <v>92</v>
      </c>
      <c r="C15" s="50" t="s">
        <v>31</v>
      </c>
      <c r="D15" s="50">
        <f t="shared" si="1"/>
        <v>-154</v>
      </c>
      <c r="E15" s="50">
        <f t="shared" si="1"/>
        <v>43</v>
      </c>
      <c r="F15" s="50">
        <f t="shared" si="1"/>
        <v>213</v>
      </c>
      <c r="G15" s="50" t="s">
        <v>31</v>
      </c>
      <c r="H15" s="50">
        <f t="shared" si="3"/>
        <v>870</v>
      </c>
      <c r="I15" s="50">
        <f t="shared" si="1"/>
        <v>489</v>
      </c>
      <c r="J15" s="51">
        <f t="shared" si="1"/>
        <v>297</v>
      </c>
    </row>
    <row r="16" ht="15" customHeight="1">
      <c r="B16" s="4" t="s">
        <v>254</v>
      </c>
      <c r="C16" s="41">
        <f t="shared" si="4" ref="C16:J94">C10+C13</f>
        <v>87513</v>
      </c>
      <c r="D16" s="41">
        <f t="shared" si="4"/>
        <v>88355</v>
      </c>
      <c r="E16" s="41">
        <f t="shared" si="4"/>
        <v>88892</v>
      </c>
      <c r="F16" s="41">
        <f t="shared" si="4"/>
        <v>89262</v>
      </c>
      <c r="G16" s="41">
        <f t="shared" si="4"/>
        <v>89262</v>
      </c>
      <c r="H16" s="41">
        <f t="shared" si="4"/>
        <v>90323</v>
      </c>
      <c r="I16" s="41">
        <f t="shared" si="4"/>
        <v>91293</v>
      </c>
      <c r="J16" s="42">
        <f t="shared" si="4"/>
        <v>91800</v>
      </c>
    </row>
    <row r="17" ht="15" customHeight="1">
      <c r="B17" s="37" t="s">
        <v>75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>
        <f t="shared" si="0"/>
        <v>0.03210951515774796</v>
      </c>
      <c r="I17" s="10">
        <f t="shared" si="0"/>
        <v>0.03325222115330195</v>
      </c>
      <c r="J17" s="38">
        <f t="shared" si="0"/>
        <v>0.03271385501507451</v>
      </c>
    </row>
    <row r="18" ht="15" customHeight="1">
      <c r="B18" s="37" t="s">
        <v>92</v>
      </c>
      <c r="C18" s="50" t="s">
        <v>31</v>
      </c>
      <c r="D18" s="50">
        <f t="shared" si="1"/>
        <v>842</v>
      </c>
      <c r="E18" s="50">
        <f t="shared" si="1"/>
        <v>537</v>
      </c>
      <c r="F18" s="50">
        <f t="shared" si="1"/>
        <v>370</v>
      </c>
      <c r="G18" s="50" t="s">
        <v>31</v>
      </c>
      <c r="H18" s="50">
        <f t="shared" si="3"/>
        <v>1061</v>
      </c>
      <c r="I18" s="50">
        <f t="shared" si="1"/>
        <v>970</v>
      </c>
      <c r="J18" s="51">
        <f t="shared" si="1"/>
        <v>507</v>
      </c>
    </row>
    <row r="19" ht="15" customHeight="1">
      <c r="B19" s="35" t="s">
        <v>109</v>
      </c>
    </row>
    <row r="20" ht="15" customHeight="1">
      <c r="B20" s="24" t="s">
        <v>110</v>
      </c>
      <c r="C20" s="12">
        <v>87175</v>
      </c>
      <c r="D20" s="9">
        <f t="shared" si="5" ref="D20:J20">C16</f>
        <v>87513</v>
      </c>
      <c r="E20" s="9">
        <f t="shared" si="5"/>
        <v>88355</v>
      </c>
      <c r="F20" s="9">
        <f t="shared" si="5"/>
        <v>88892</v>
      </c>
      <c r="G20" s="9">
        <f>C20</f>
        <v>87175</v>
      </c>
      <c r="H20" s="9">
        <f>F16</f>
        <v>89262</v>
      </c>
      <c r="I20" s="9">
        <f t="shared" si="5"/>
        <v>90323</v>
      </c>
      <c r="J20" s="54">
        <f t="shared" si="5"/>
        <v>91293</v>
      </c>
      <c r="K20" s="40" t="s">
        <v>111</v>
      </c>
    </row>
    <row r="21" ht="15" customHeight="1">
      <c r="B21" s="55" t="s">
        <v>112</v>
      </c>
      <c r="C21" s="9">
        <f t="shared" si="6" ref="C21:J21">C16-C20+C94</f>
        <v>361.869425</v>
      </c>
      <c r="D21" s="9">
        <f t="shared" si="6"/>
        <v>913.911325</v>
      </c>
      <c r="E21" s="9">
        <f t="shared" si="6"/>
        <v>582.07235</v>
      </c>
      <c r="F21" s="9">
        <f t="shared" si="6"/>
        <v>464.35225</v>
      </c>
      <c r="G21" s="9">
        <f t="shared" si="6"/>
        <v>2322.20535</v>
      </c>
      <c r="H21" s="9">
        <f t="shared" si="6"/>
        <v>1125.138525</v>
      </c>
      <c r="I21" s="9">
        <f t="shared" si="6"/>
        <v>1091.48705</v>
      </c>
      <c r="J21" s="54">
        <f t="shared" si="6"/>
        <v>601.225</v>
      </c>
    </row>
    <row r="22" ht="15" customHeight="1">
      <c r="B22" s="55" t="s">
        <v>113</v>
      </c>
      <c r="C22" s="9">
        <f t="shared" si="7" ref="C22:J22">-C94</f>
        <v>-23.869425</v>
      </c>
      <c r="D22" s="9">
        <f t="shared" si="7"/>
        <v>-71.911325</v>
      </c>
      <c r="E22" s="9">
        <f t="shared" si="7"/>
        <v>-45.07235</v>
      </c>
      <c r="F22" s="9">
        <f t="shared" si="7"/>
        <v>-94.35225</v>
      </c>
      <c r="G22" s="9">
        <f t="shared" si="7"/>
        <v>-235.20535</v>
      </c>
      <c r="H22" s="9">
        <f t="shared" si="7"/>
        <v>-64.138525</v>
      </c>
      <c r="I22" s="9">
        <f t="shared" si="7"/>
        <v>-121.48705</v>
      </c>
      <c r="J22" s="54">
        <f t="shared" si="7"/>
        <v>-94.22500000000001</v>
      </c>
    </row>
    <row r="23" ht="15" customHeight="1">
      <c r="B23" s="45" t="s">
        <v>114</v>
      </c>
      <c r="C23" s="41">
        <f t="shared" si="8" ref="C23:J138">C16</f>
        <v>87513</v>
      </c>
      <c r="D23" s="41">
        <f t="shared" si="8"/>
        <v>88355</v>
      </c>
      <c r="E23" s="41">
        <f t="shared" si="8"/>
        <v>88892</v>
      </c>
      <c r="F23" s="41">
        <f t="shared" si="8"/>
        <v>89262</v>
      </c>
      <c r="G23" s="41">
        <f t="shared" si="8"/>
        <v>89262</v>
      </c>
      <c r="H23" s="41">
        <f t="shared" si="8"/>
        <v>90323</v>
      </c>
      <c r="I23" s="41">
        <f t="shared" si="8"/>
        <v>91293</v>
      </c>
      <c r="J23" s="42">
        <f t="shared" si="8"/>
        <v>91800</v>
      </c>
    </row>
    <row r="24" ht="15" customHeight="1">
      <c r="B24" s="24" t="s">
        <v>115</v>
      </c>
      <c r="C24" s="9">
        <f t="shared" si="9" ref="C24:J24">C23-C20</f>
        <v>338</v>
      </c>
      <c r="D24" s="9">
        <f t="shared" si="9"/>
        <v>842</v>
      </c>
      <c r="E24" s="9">
        <f t="shared" si="9"/>
        <v>537</v>
      </c>
      <c r="F24" s="9">
        <f t="shared" si="9"/>
        <v>370</v>
      </c>
      <c r="G24" s="9">
        <f t="shared" si="9"/>
        <v>2087</v>
      </c>
      <c r="H24" s="9">
        <f t="shared" si="9"/>
        <v>1061</v>
      </c>
      <c r="I24" s="9">
        <f t="shared" si="9"/>
        <v>970</v>
      </c>
      <c r="J24" s="54">
        <f t="shared" si="9"/>
        <v>507</v>
      </c>
    </row>
    <row r="25" ht="15" customHeight="1">
      <c r="B25" s="37" t="s">
        <v>116</v>
      </c>
      <c r="C25" s="10">
        <f t="shared" si="10" ref="C25:J25">C24/C20</f>
        <v>0.0038772583882993976</v>
      </c>
      <c r="D25" s="10">
        <f t="shared" si="10"/>
        <v>0.00962142767360278</v>
      </c>
      <c r="E25" s="10">
        <f t="shared" si="10"/>
        <v>0.0060777545130439705</v>
      </c>
      <c r="F25" s="10">
        <f t="shared" si="10"/>
        <v>0.004162354317598884</v>
      </c>
      <c r="G25" s="10">
        <f t="shared" si="10"/>
        <v>0.02394034987094924</v>
      </c>
      <c r="H25" s="10">
        <f t="shared" si="10"/>
        <v>0.011886357016423562</v>
      </c>
      <c r="I25" s="10">
        <f t="shared" si="10"/>
        <v>0.010739235853547822</v>
      </c>
      <c r="J25" s="38">
        <f t="shared" si="10"/>
        <v>0.005553547369458776</v>
      </c>
    </row>
    <row r="26" ht="15" customHeight="1">
      <c r="B26" s="37" t="s">
        <v>118</v>
      </c>
      <c r="C26" s="10">
        <f t="shared" si="11" ref="C26:J26">C94*4/C20</f>
        <v>0.0010952417550903356</v>
      </c>
      <c r="D26" s="10">
        <f t="shared" si="11"/>
        <v>0.0032868865197170707</v>
      </c>
      <c r="E26" s="10">
        <f t="shared" si="11"/>
        <v>0.0020405115726331276</v>
      </c>
      <c r="F26" s="10">
        <f t="shared" si="11"/>
        <v>0.0042457026504072355</v>
      </c>
      <c r="G26" s="10">
        <f>G94/G20</f>
        <v>0.002698082592486378</v>
      </c>
      <c r="H26" s="10">
        <f t="shared" si="11"/>
        <v>0.0028741692993659116</v>
      </c>
      <c r="I26" s="10">
        <f t="shared" si="11"/>
        <v>0.005380115806605183</v>
      </c>
      <c r="J26" s="38">
        <f t="shared" si="11"/>
        <v>0.004128465490234739</v>
      </c>
    </row>
    <row r="27" ht="15" customHeight="1">
      <c r="B27" s="24" t="s">
        <v>120</v>
      </c>
      <c r="C27" s="9">
        <f t="shared" si="12" ref="C27:J27">C36</f>
        <v>87498</v>
      </c>
      <c r="D27" s="9">
        <f t="shared" si="12"/>
        <v>88369</v>
      </c>
      <c r="E27" s="9">
        <f t="shared" si="12"/>
        <v>88389</v>
      </c>
      <c r="F27" s="9">
        <f t="shared" si="12"/>
        <v>88495</v>
      </c>
      <c r="G27" s="9">
        <f t="shared" si="12"/>
        <v>88191</v>
      </c>
      <c r="H27" s="9">
        <f t="shared" si="12"/>
        <v>89560</v>
      </c>
      <c r="I27" s="9">
        <f t="shared" si="12"/>
        <v>90899</v>
      </c>
      <c r="J27" s="54">
        <f t="shared" si="12"/>
        <v>91400</v>
      </c>
    </row>
    <row r="28" ht="15" customHeight="1">
      <c r="B28" s="37" t="s">
        <v>121</v>
      </c>
      <c r="C28" s="10">
        <f t="shared" si="13" ref="C28:J28">C36/C23</f>
        <v>0.9998285968941757</v>
      </c>
      <c r="D28" s="10">
        <f t="shared" si="13"/>
        <v>1.0001584517005262</v>
      </c>
      <c r="E28" s="10">
        <f t="shared" si="13"/>
        <v>0.9943414480493182</v>
      </c>
      <c r="F28" s="10">
        <f t="shared" si="13"/>
        <v>0.9914073177836034</v>
      </c>
      <c r="G28" s="10">
        <f t="shared" si="13"/>
        <v>0.9880016132284735</v>
      </c>
      <c r="H28" s="10">
        <f t="shared" si="13"/>
        <v>0.9915525392203536</v>
      </c>
      <c r="I28" s="10">
        <f t="shared" si="13"/>
        <v>0.9956842255156474</v>
      </c>
      <c r="J28" s="38">
        <f t="shared" si="13"/>
        <v>0.9956427015250545</v>
      </c>
    </row>
    <row r="29" ht="15" customHeight="1">
      <c r="B29" s="35" t="s">
        <v>123</v>
      </c>
    </row>
    <row r="30" ht="15" customHeight="1">
      <c r="B30" s="24" t="s">
        <v>252</v>
      </c>
      <c r="C30" s="12">
        <v>31733</v>
      </c>
      <c r="D30" s="12">
        <v>32522</v>
      </c>
      <c r="E30" s="12">
        <v>33104</v>
      </c>
      <c r="F30" s="12">
        <v>33155</v>
      </c>
      <c r="G30" s="12">
        <v>32634</v>
      </c>
      <c r="H30" s="12">
        <v>33539</v>
      </c>
      <c r="I30" s="12">
        <v>33978</v>
      </c>
      <c r="J30" s="39">
        <v>34300</v>
      </c>
      <c r="K30" s="40" t="s">
        <v>106</v>
      </c>
    </row>
    <row r="31" ht="15" customHeight="1">
      <c r="B31" s="37" t="s">
        <v>75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>
        <f t="shared" si="0"/>
        <v>0.05691236252481646</v>
      </c>
      <c r="I31" s="10">
        <f t="shared" si="0"/>
        <v>0.04476969436074052</v>
      </c>
      <c r="J31" s="38">
        <f t="shared" si="0"/>
        <v>0.036128564523924656</v>
      </c>
    </row>
    <row r="32" ht="15" customHeight="1">
      <c r="B32" s="37" t="s">
        <v>92</v>
      </c>
      <c r="C32" s="50" t="s">
        <v>31</v>
      </c>
      <c r="D32" s="50">
        <f t="shared" si="1"/>
        <v>789</v>
      </c>
      <c r="E32" s="50">
        <f t="shared" si="1"/>
        <v>582</v>
      </c>
      <c r="F32" s="50">
        <f t="shared" si="1"/>
        <v>51</v>
      </c>
      <c r="G32" s="50" t="s">
        <v>31</v>
      </c>
      <c r="H32" s="50">
        <f t="shared" si="3"/>
        <v>384</v>
      </c>
      <c r="I32" s="50">
        <f t="shared" si="1"/>
        <v>439</v>
      </c>
      <c r="J32" s="51">
        <f t="shared" si="1"/>
        <v>322</v>
      </c>
    </row>
    <row r="33" ht="15" customHeight="1">
      <c r="B33" s="24" t="s">
        <v>253</v>
      </c>
      <c r="C33" s="12">
        <v>55765</v>
      </c>
      <c r="D33" s="12">
        <v>55847</v>
      </c>
      <c r="E33" s="12">
        <v>55285</v>
      </c>
      <c r="F33" s="12">
        <v>55340</v>
      </c>
      <c r="G33" s="12">
        <v>55557</v>
      </c>
      <c r="H33" s="12">
        <v>56021</v>
      </c>
      <c r="I33" s="12">
        <v>56921</v>
      </c>
      <c r="J33" s="39">
        <v>57100</v>
      </c>
      <c r="K33" s="40" t="s">
        <v>106</v>
      </c>
    </row>
    <row r="34" ht="15" customHeight="1">
      <c r="B34" s="37" t="s">
        <v>75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>
        <f t="shared" si="0"/>
        <v>0.004590693087061837</v>
      </c>
      <c r="I34" s="10">
        <f t="shared" si="0"/>
        <v>0.019231113578168868</v>
      </c>
      <c r="J34" s="38">
        <f t="shared" si="0"/>
        <v>0.032829881523017024</v>
      </c>
    </row>
    <row r="35" ht="15" customHeight="1">
      <c r="B35" s="37" t="s">
        <v>92</v>
      </c>
      <c r="C35" s="50" t="s">
        <v>31</v>
      </c>
      <c r="D35" s="50">
        <f t="shared" si="1"/>
        <v>82</v>
      </c>
      <c r="E35" s="50">
        <f t="shared" si="1"/>
        <v>-562</v>
      </c>
      <c r="F35" s="50">
        <f t="shared" si="1"/>
        <v>55</v>
      </c>
      <c r="G35" s="50" t="s">
        <v>31</v>
      </c>
      <c r="H35" s="50">
        <f t="shared" si="3"/>
        <v>681</v>
      </c>
      <c r="I35" s="50">
        <f t="shared" si="1"/>
        <v>900</v>
      </c>
      <c r="J35" s="51">
        <f t="shared" si="1"/>
        <v>179</v>
      </c>
    </row>
    <row r="36" ht="15" customHeight="1">
      <c r="B36" s="4" t="s">
        <v>130</v>
      </c>
      <c r="C36" s="41">
        <f t="shared" si="4"/>
        <v>87498</v>
      </c>
      <c r="D36" s="41">
        <f t="shared" si="4"/>
        <v>88369</v>
      </c>
      <c r="E36" s="41">
        <f t="shared" si="4"/>
        <v>88389</v>
      </c>
      <c r="F36" s="41">
        <f t="shared" si="4"/>
        <v>88495</v>
      </c>
      <c r="G36" s="41">
        <f t="shared" si="4"/>
        <v>88191</v>
      </c>
      <c r="H36" s="41">
        <f t="shared" si="4"/>
        <v>89560</v>
      </c>
      <c r="I36" s="41">
        <f t="shared" si="4"/>
        <v>90899</v>
      </c>
      <c r="J36" s="42">
        <f t="shared" si="4"/>
        <v>91400</v>
      </c>
    </row>
    <row r="37" ht="15" customHeight="1">
      <c r="B37" s="37" t="s">
        <v>75</v>
      </c>
      <c r="C37" s="10" t="s">
        <v>31</v>
      </c>
      <c r="D37" s="10" t="s">
        <v>31</v>
      </c>
      <c r="E37" s="10" t="s">
        <v>31</v>
      </c>
      <c r="F37" s="10" t="s">
        <v>31</v>
      </c>
      <c r="G37" s="10" t="s">
        <v>31</v>
      </c>
      <c r="H37" s="10">
        <f t="shared" si="0"/>
        <v>0.02356625294292436</v>
      </c>
      <c r="I37" s="10">
        <f t="shared" si="0"/>
        <v>0.028629949416650646</v>
      </c>
      <c r="J37" s="38">
        <f t="shared" si="0"/>
        <v>0.034065324870741875</v>
      </c>
    </row>
    <row r="38" ht="15" customHeight="1">
      <c r="B38" s="37" t="s">
        <v>92</v>
      </c>
      <c r="C38" s="50" t="s">
        <v>31</v>
      </c>
      <c r="D38" s="50">
        <f t="shared" si="1"/>
        <v>871</v>
      </c>
      <c r="E38" s="50">
        <f t="shared" si="1"/>
        <v>20</v>
      </c>
      <c r="F38" s="50">
        <f t="shared" si="1"/>
        <v>106</v>
      </c>
      <c r="G38" s="50" t="s">
        <v>31</v>
      </c>
      <c r="H38" s="50">
        <f t="shared" si="3"/>
        <v>1065</v>
      </c>
      <c r="I38" s="50">
        <f t="shared" si="1"/>
        <v>1339</v>
      </c>
      <c r="J38" s="51">
        <f t="shared" si="1"/>
        <v>501</v>
      </c>
    </row>
    <row r="39" ht="15" customHeight="1">
      <c r="B39" s="43" t="s">
        <v>255</v>
      </c>
      <c r="C39" s="10">
        <f t="shared" si="14" ref="C39:J39">IF(AND(ISNUMBER(C33),C36&lt;&gt;0),C33/C36,"n/a")</f>
        <v>0.637328853230931</v>
      </c>
      <c r="D39" s="10">
        <f t="shared" si="14"/>
        <v>0.6319750138623272</v>
      </c>
      <c r="E39" s="10">
        <f t="shared" si="14"/>
        <v>0.6254737580468158</v>
      </c>
      <c r="F39" s="10">
        <f t="shared" si="14"/>
        <v>0.6253460647494209</v>
      </c>
      <c r="G39" s="10">
        <f t="shared" si="14"/>
        <v>0.6299622410450046</v>
      </c>
      <c r="H39" s="10">
        <f t="shared" si="14"/>
        <v>0.6255136221527468</v>
      </c>
      <c r="I39" s="10">
        <f t="shared" si="14"/>
        <v>0.6262005082564165</v>
      </c>
      <c r="J39" s="38">
        <f t="shared" si="14"/>
        <v>0.62472647702407</v>
      </c>
    </row>
    <row r="40" ht="15" customHeight="1">
      <c r="B40" s="43" t="s">
        <v>256</v>
      </c>
      <c r="C40" s="20">
        <v>0.0629</v>
      </c>
      <c r="D40" s="20">
        <v>0.064</v>
      </c>
      <c r="E40" s="20">
        <v>0.0642</v>
      </c>
      <c r="F40" s="20">
        <v>0.0608</v>
      </c>
      <c r="G40" s="20">
        <v>0.063</v>
      </c>
      <c r="H40" s="20">
        <v>0.0568</v>
      </c>
      <c r="I40" s="20">
        <v>0.0575</v>
      </c>
      <c r="J40" s="56">
        <v>0.058</v>
      </c>
      <c r="K40" s="40" t="s">
        <v>257</v>
      </c>
    </row>
    <row r="41" ht="15" customHeight="1">
      <c r="B41" s="37" t="s">
        <v>137</v>
      </c>
      <c r="C41" s="58" t="s">
        <v>31</v>
      </c>
      <c r="D41" s="58">
        <f t="shared" si="15" ref="D41:J162">IF(AND(ISNUMBER(D40),ISNUMBER(C40)),(D40-C40)*10000,"n/a")</f>
        <v>11.000000000000037</v>
      </c>
      <c r="E41" s="58">
        <f t="shared" si="15"/>
        <v>1.9999999999999185</v>
      </c>
      <c r="F41" s="58">
        <f t="shared" si="15"/>
        <v>-33.999999999999936</v>
      </c>
      <c r="G41" s="58" t="s">
        <v>31</v>
      </c>
      <c r="H41" s="58">
        <f t="shared" si="17" ref="H41:H162">IF(AND(ISNUMBER(H40),ISNUMBER(F40)),(H40-F40)*10000,"n/a")</f>
        <v>-39.999999999999964</v>
      </c>
      <c r="I41" s="58">
        <f t="shared" si="15"/>
        <v>6.999999999999992</v>
      </c>
      <c r="J41" s="59">
        <f t="shared" si="15"/>
        <v>5.000000000000004</v>
      </c>
    </row>
    <row r="42" ht="15" customHeight="1">
      <c r="B42" s="37" t="s">
        <v>138</v>
      </c>
      <c r="C42" s="58" t="s">
        <v>31</v>
      </c>
      <c r="D42" s="58" t="s">
        <v>31</v>
      </c>
      <c r="E42" s="58" t="s">
        <v>31</v>
      </c>
      <c r="F42" s="58" t="s">
        <v>31</v>
      </c>
      <c r="G42" s="58" t="s">
        <v>31</v>
      </c>
      <c r="H42" s="58">
        <f t="shared" si="16" ref="H42:J163">IF(AND(ISNUMBER(H40),ISNUMBER(C40)),(H40-C40)*10000,"n/a")</f>
        <v>-60.99999999999994</v>
      </c>
      <c r="I42" s="58">
        <f t="shared" si="16"/>
        <v>-64.99999999999999</v>
      </c>
      <c r="J42" s="59">
        <f t="shared" si="16"/>
        <v>-61.9999999999999</v>
      </c>
    </row>
    <row r="43" ht="15" customHeight="1">
      <c r="B43" s="35" t="s">
        <v>221</v>
      </c>
    </row>
    <row r="44" ht="15" customHeight="1">
      <c r="B44" s="24" t="s">
        <v>222</v>
      </c>
      <c r="C44" s="12">
        <v>29984</v>
      </c>
      <c r="D44" s="12">
        <v>29245</v>
      </c>
      <c r="E44" s="12">
        <v>29920</v>
      </c>
      <c r="F44" s="12">
        <v>31250</v>
      </c>
      <c r="G44" s="9">
        <f t="shared" si="2"/>
        <v>31250</v>
      </c>
      <c r="H44" s="12">
        <v>31007</v>
      </c>
      <c r="I44" s="12">
        <v>30841</v>
      </c>
      <c r="J44" s="39">
        <v>31000</v>
      </c>
      <c r="K44" s="40" t="s">
        <v>257</v>
      </c>
    </row>
    <row r="45" ht="15" customHeight="1">
      <c r="B45" s="37" t="s">
        <v>75</v>
      </c>
      <c r="C45" s="10" t="s">
        <v>31</v>
      </c>
      <c r="D45" s="10" t="s">
        <v>31</v>
      </c>
      <c r="E45" s="10" t="s">
        <v>31</v>
      </c>
      <c r="F45" s="10" t="s">
        <v>31</v>
      </c>
      <c r="G45" s="10" t="s">
        <v>31</v>
      </c>
      <c r="H45" s="10">
        <f t="shared" si="0"/>
        <v>0.034118196371398124</v>
      </c>
      <c r="I45" s="10">
        <f t="shared" si="0"/>
        <v>0.054573431355787294</v>
      </c>
      <c r="J45" s="38">
        <f t="shared" si="0"/>
        <v>0.03609625668449201</v>
      </c>
    </row>
    <row r="46" ht="15" customHeight="1">
      <c r="B46" s="37" t="s">
        <v>92</v>
      </c>
      <c r="C46" s="50" t="s">
        <v>31</v>
      </c>
      <c r="D46" s="50">
        <f t="shared" si="1"/>
        <v>-739</v>
      </c>
      <c r="E46" s="50">
        <f t="shared" si="1"/>
        <v>675</v>
      </c>
      <c r="F46" s="50">
        <f t="shared" si="1"/>
        <v>1330</v>
      </c>
      <c r="G46" s="50" t="s">
        <v>31</v>
      </c>
      <c r="H46" s="50">
        <f t="shared" si="3"/>
        <v>-243</v>
      </c>
      <c r="I46" s="50">
        <f t="shared" si="1"/>
        <v>-166</v>
      </c>
      <c r="J46" s="51">
        <f t="shared" si="1"/>
        <v>159</v>
      </c>
    </row>
    <row r="47" ht="15" customHeight="1">
      <c r="B47" s="24" t="s">
        <v>223</v>
      </c>
      <c r="C47" s="12">
        <v>31654</v>
      </c>
      <c r="D47" s="12">
        <v>30444</v>
      </c>
      <c r="E47" s="12">
        <v>29889</v>
      </c>
      <c r="F47" s="12">
        <v>31462</v>
      </c>
      <c r="G47" s="12">
        <v>30859</v>
      </c>
      <c r="H47" s="12">
        <v>31137</v>
      </c>
      <c r="I47" s="12">
        <v>31248</v>
      </c>
      <c r="J47" s="39">
        <v>31200</v>
      </c>
      <c r="K47" s="40" t="s">
        <v>257</v>
      </c>
    </row>
    <row r="48" ht="15" customHeight="1">
      <c r="B48" s="37" t="s">
        <v>75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>
        <f t="shared" si="0"/>
        <v>-0.016332848929045296</v>
      </c>
      <c r="I48" s="10">
        <f t="shared" si="0"/>
        <v>0.026409144659046202</v>
      </c>
      <c r="J48" s="38">
        <f t="shared" si="0"/>
        <v>0.04386229047475654</v>
      </c>
    </row>
    <row r="49" ht="15" customHeight="1">
      <c r="B49" s="37" t="s">
        <v>92</v>
      </c>
      <c r="C49" s="50" t="s">
        <v>31</v>
      </c>
      <c r="D49" s="50">
        <f t="shared" si="1"/>
        <v>-1210</v>
      </c>
      <c r="E49" s="50">
        <f t="shared" si="1"/>
        <v>-555</v>
      </c>
      <c r="F49" s="50">
        <f t="shared" si="1"/>
        <v>1573</v>
      </c>
      <c r="G49" s="50" t="s">
        <v>31</v>
      </c>
      <c r="H49" s="50">
        <f t="shared" si="3"/>
        <v>-325</v>
      </c>
      <c r="I49" s="50">
        <f t="shared" si="1"/>
        <v>111</v>
      </c>
      <c r="J49" s="51">
        <f t="shared" si="1"/>
        <v>-48</v>
      </c>
    </row>
    <row r="50" ht="15" customHeight="1">
      <c r="B50" s="43" t="s">
        <v>224</v>
      </c>
      <c r="C50" s="20">
        <v>0.0213</v>
      </c>
      <c r="D50" s="20">
        <v>0.0206</v>
      </c>
      <c r="E50" s="20">
        <v>0.0213</v>
      </c>
      <c r="F50" s="20">
        <v>0.0196</v>
      </c>
      <c r="G50" s="20">
        <v>0.0207</v>
      </c>
      <c r="H50" s="20">
        <v>0.0183</v>
      </c>
      <c r="I50" s="20">
        <v>0.0181</v>
      </c>
      <c r="J50" s="56">
        <v>0.0182</v>
      </c>
      <c r="K50" s="40" t="s">
        <v>257</v>
      </c>
    </row>
    <row r="51" ht="15" customHeight="1">
      <c r="B51" s="37" t="s">
        <v>137</v>
      </c>
      <c r="C51" s="58" t="s">
        <v>31</v>
      </c>
      <c r="D51" s="58">
        <f t="shared" si="15"/>
        <v>-6.999999999999992</v>
      </c>
      <c r="E51" s="58">
        <f t="shared" si="15"/>
        <v>6.999999999999992</v>
      </c>
      <c r="F51" s="58">
        <f t="shared" si="15"/>
        <v>-17</v>
      </c>
      <c r="G51" s="58" t="s">
        <v>31</v>
      </c>
      <c r="H51" s="58">
        <f t="shared" si="17"/>
        <v>-12.999999999999991</v>
      </c>
      <c r="I51" s="58">
        <f t="shared" si="15"/>
        <v>-1.999999999999988</v>
      </c>
      <c r="J51" s="59">
        <f t="shared" si="15"/>
        <v>0.999999999999994</v>
      </c>
    </row>
    <row r="52" ht="15" customHeight="1">
      <c r="B52" s="37" t="s">
        <v>138</v>
      </c>
      <c r="C52" s="58" t="s">
        <v>31</v>
      </c>
      <c r="D52" s="58" t="s">
        <v>31</v>
      </c>
      <c r="E52" s="58" t="s">
        <v>31</v>
      </c>
      <c r="F52" s="58" t="s">
        <v>31</v>
      </c>
      <c r="G52" s="58" t="s">
        <v>31</v>
      </c>
      <c r="H52" s="58">
        <f t="shared" si="16"/>
        <v>-29.999999999999993</v>
      </c>
      <c r="I52" s="58">
        <f t="shared" si="16"/>
        <v>-24.999999999999986</v>
      </c>
      <c r="J52" s="59">
        <f t="shared" si="16"/>
        <v>-30.999999999999986</v>
      </c>
    </row>
    <row r="53" ht="15" customHeight="1">
      <c r="B53" s="35" t="s">
        <v>226</v>
      </c>
    </row>
    <row r="54" ht="15" customHeight="1">
      <c r="B54" s="24" t="s">
        <v>227</v>
      </c>
      <c r="C54" s="12">
        <v>572</v>
      </c>
      <c r="D54" s="12">
        <v>602</v>
      </c>
      <c r="E54" s="12">
        <v>586</v>
      </c>
      <c r="F54" s="12">
        <v>574</v>
      </c>
      <c r="G54" s="9">
        <f t="shared" si="23" ref="G54:G152">SUM(C54:F54)</f>
        <v>2334</v>
      </c>
      <c r="H54" s="12">
        <v>581</v>
      </c>
      <c r="I54" s="12">
        <v>585</v>
      </c>
      <c r="J54" s="54">
        <f>J36*J57*J$7/365</f>
        <v>598.9830136986302</v>
      </c>
      <c r="K54" s="40" t="s">
        <v>257</v>
      </c>
    </row>
    <row r="55" ht="15" customHeight="1">
      <c r="B55" s="37" t="s">
        <v>75</v>
      </c>
      <c r="C55" s="10" t="s">
        <v>31</v>
      </c>
      <c r="D55" s="10" t="s">
        <v>31</v>
      </c>
      <c r="E55" s="10" t="s">
        <v>31</v>
      </c>
      <c r="F55" s="10" t="s">
        <v>31</v>
      </c>
      <c r="G55" s="10" t="s">
        <v>31</v>
      </c>
      <c r="H55" s="10">
        <f t="shared" si="0"/>
        <v>0.01573426573426584</v>
      </c>
      <c r="I55" s="10">
        <f t="shared" si="0"/>
        <v>-0.028239202657807327</v>
      </c>
      <c r="J55" s="38">
        <f t="shared" si="0"/>
        <v>0.022155313478891214</v>
      </c>
    </row>
    <row r="56" ht="15" customHeight="1">
      <c r="B56" s="37" t="s">
        <v>92</v>
      </c>
      <c r="C56" s="50" t="s">
        <v>31</v>
      </c>
      <c r="D56" s="50">
        <f t="shared" si="1"/>
        <v>30</v>
      </c>
      <c r="E56" s="50">
        <f t="shared" si="1"/>
        <v>-16</v>
      </c>
      <c r="F56" s="50">
        <f t="shared" si="1"/>
        <v>-12</v>
      </c>
      <c r="G56" s="50" t="s">
        <v>31</v>
      </c>
      <c r="H56" s="50">
        <f t="shared" si="3"/>
        <v>7</v>
      </c>
      <c r="I56" s="50">
        <f t="shared" si="1"/>
        <v>4</v>
      </c>
      <c r="J56" s="51">
        <f t="shared" si="1"/>
        <v>13.983013698630202</v>
      </c>
    </row>
    <row r="57" ht="15" customHeight="1">
      <c r="B57" s="37" t="s">
        <v>258</v>
      </c>
      <c r="C57" s="10">
        <f t="shared" si="18" ref="C57:I57">IF(C36&gt;0,C54/C36*365/C$7,"n/a")</f>
        <v>0.026512352028363825</v>
      </c>
      <c r="D57" s="10">
        <f t="shared" si="18"/>
        <v>0.02732423570047624</v>
      </c>
      <c r="E57" s="10">
        <f t="shared" si="18"/>
        <v>0.026302948379864306</v>
      </c>
      <c r="F57" s="10">
        <f t="shared" si="18"/>
        <v>0.025733460745755714</v>
      </c>
      <c r="G57" s="10">
        <f>G54/G36</f>
        <v>0.026465285573357825</v>
      </c>
      <c r="H57" s="10">
        <f t="shared" si="18"/>
        <v>0.026309488362860404</v>
      </c>
      <c r="I57" s="10">
        <f t="shared" si="18"/>
        <v>0.025813579593049116</v>
      </c>
      <c r="J57" s="56">
        <v>0.026</v>
      </c>
      <c r="K57" s="40" t="s">
        <v>145</v>
      </c>
    </row>
    <row r="58" ht="15" customHeight="1">
      <c r="B58" s="57" t="s">
        <v>137</v>
      </c>
      <c r="C58" s="58" t="s">
        <v>31</v>
      </c>
      <c r="D58" s="58">
        <f t="shared" si="15"/>
        <v>8.118836721124136</v>
      </c>
      <c r="E58" s="58">
        <f t="shared" si="15"/>
        <v>-10.21287320611932</v>
      </c>
      <c r="F58" s="58">
        <f t="shared" si="15"/>
        <v>-5.694876341085925</v>
      </c>
      <c r="G58" s="58" t="s">
        <v>31</v>
      </c>
      <c r="H58" s="58">
        <f t="shared" si="17"/>
        <v>5.7602761710469</v>
      </c>
      <c r="I58" s="58">
        <f t="shared" si="15"/>
        <v>-4.959087698112874</v>
      </c>
      <c r="J58" s="59">
        <f t="shared" si="15"/>
        <v>1.8642040695088236</v>
      </c>
    </row>
    <row r="59" ht="15" customHeight="1">
      <c r="B59" s="57" t="s">
        <v>138</v>
      </c>
      <c r="C59" s="58" t="s">
        <v>31</v>
      </c>
      <c r="D59" s="58" t="s">
        <v>31</v>
      </c>
      <c r="E59" s="58" t="s">
        <v>31</v>
      </c>
      <c r="F59" s="58" t="s">
        <v>31</v>
      </c>
      <c r="G59" s="58" t="s">
        <v>31</v>
      </c>
      <c r="H59" s="58">
        <f t="shared" si="16"/>
        <v>-2.028636655034208</v>
      </c>
      <c r="I59" s="58">
        <f t="shared" si="16"/>
        <v>-15.10656107427122</v>
      </c>
      <c r="J59" s="59">
        <f t="shared" si="16"/>
        <v>-3.0294837986430747</v>
      </c>
    </row>
    <row r="60" ht="15" customHeight="1">
      <c r="B60" s="37" t="s">
        <v>75</v>
      </c>
      <c r="C60" s="10" t="s">
        <v>31</v>
      </c>
      <c r="D60" s="10" t="s">
        <v>31</v>
      </c>
      <c r="E60" s="10" t="s">
        <v>31</v>
      </c>
      <c r="F60" s="10" t="s">
        <v>31</v>
      </c>
      <c r="G60" s="10" t="s">
        <v>31</v>
      </c>
      <c r="H60" s="10">
        <f t="shared" si="19" ref="H60:J147">IF(AND(ISNUMBER(H54),ISNUMBER(C54)),IF(C54&gt;0,H54/C54-1,"n/m"),"n/a")</f>
        <v>0.01573426573426584</v>
      </c>
      <c r="I60" s="10">
        <f t="shared" si="19"/>
        <v>-0.028239202657807327</v>
      </c>
      <c r="J60" s="38">
        <f t="shared" si="19"/>
        <v>0.022155313478891214</v>
      </c>
    </row>
    <row r="61" ht="15" customHeight="1">
      <c r="B61" s="37" t="s">
        <v>92</v>
      </c>
      <c r="C61" s="50" t="s">
        <v>31</v>
      </c>
      <c r="D61" s="50">
        <f t="shared" si="20" ref="D61:J148">IF(AND(ISNUMBER(D54),ISNUMBER(C54)),D54-C54,"n/a")</f>
        <v>30</v>
      </c>
      <c r="E61" s="50">
        <f t="shared" si="20"/>
        <v>-16</v>
      </c>
      <c r="F61" s="50">
        <f t="shared" si="20"/>
        <v>-12</v>
      </c>
      <c r="G61" s="50" t="s">
        <v>31</v>
      </c>
      <c r="H61" s="50">
        <f t="shared" si="37" ref="H61:H148">IF(AND(ISNUMBER(H54),ISNUMBER(F54)),H54-F54,"n/a")</f>
        <v>7</v>
      </c>
      <c r="I61" s="50">
        <f t="shared" si="20"/>
        <v>4</v>
      </c>
      <c r="J61" s="51">
        <f t="shared" si="20"/>
        <v>13.983013698630202</v>
      </c>
    </row>
    <row r="62" ht="15" customHeight="1">
      <c r="B62" s="37" t="s">
        <v>71</v>
      </c>
      <c r="C62" s="10" t="s">
        <v>31</v>
      </c>
      <c r="D62" s="10" t="s">
        <v>31</v>
      </c>
      <c r="E62" s="10" t="s">
        <v>31</v>
      </c>
      <c r="F62" s="10" t="s">
        <v>31</v>
      </c>
      <c r="G62" s="10" t="s">
        <v>31</v>
      </c>
      <c r="H62" s="10">
        <f t="shared" si="21" ref="H62:J62">IF(AND(ISNUMBER(H54),ISNUMBER(C54)),IF(C54&gt;0,H54/C54-1,"n/m"),"n/a")</f>
        <v>0.01573426573426584</v>
      </c>
      <c r="I62" s="10">
        <f t="shared" si="21"/>
        <v>-0.028239202657807327</v>
      </c>
      <c r="J62" s="38">
        <f t="shared" si="21"/>
        <v>0.022155313478891214</v>
      </c>
    </row>
    <row r="63" ht="15" customHeight="1">
      <c r="B63" s="37" t="s">
        <v>72</v>
      </c>
      <c r="C63" s="10" t="s">
        <v>31</v>
      </c>
      <c r="D63" s="10" t="s">
        <v>31</v>
      </c>
      <c r="E63" s="10" t="s">
        <v>31</v>
      </c>
      <c r="F63" s="10" t="s">
        <v>31</v>
      </c>
      <c r="G63" s="10" t="s">
        <v>31</v>
      </c>
      <c r="H63" s="10" t="s">
        <v>31</v>
      </c>
      <c r="I63" s="10" t="s">
        <v>31</v>
      </c>
      <c r="J63" s="38" t="s">
        <v>31</v>
      </c>
    </row>
    <row r="64" ht="15" customHeight="1">
      <c r="B64" s="37" t="s">
        <v>73</v>
      </c>
      <c r="C64" s="10" t="s">
        <v>31</v>
      </c>
      <c r="D64" s="10" t="s">
        <v>31</v>
      </c>
      <c r="E64" s="10" t="s">
        <v>31</v>
      </c>
      <c r="F64" s="10" t="s">
        <v>31</v>
      </c>
      <c r="G64" s="10" t="s">
        <v>31</v>
      </c>
      <c r="H64" s="10" t="s">
        <v>31</v>
      </c>
      <c r="I64" s="10" t="s">
        <v>31</v>
      </c>
      <c r="J64" s="38" t="s">
        <v>31</v>
      </c>
    </row>
    <row r="65" ht="15" customHeight="1">
      <c r="B65" s="37" t="s">
        <v>74</v>
      </c>
      <c r="C65" s="10" t="str">
        <f t="shared" si="22" ref="C65:J79">IF(AND(ISNUMBER(C62),ISNUMBER(C63),ISNUMBER(C64)),(1+C62)/((1+C63)*(1+C64))-1,"n/a")</f>
        <v>n/a</v>
      </c>
      <c r="D65" s="10" t="str">
        <f t="shared" si="22"/>
        <v>n/a</v>
      </c>
      <c r="E65" s="10" t="str">
        <f t="shared" si="22"/>
        <v>n/a</v>
      </c>
      <c r="F65" s="10" t="str">
        <f t="shared" si="22"/>
        <v>n/a</v>
      </c>
      <c r="G65" s="10" t="str">
        <f t="shared" si="22"/>
        <v>n/a</v>
      </c>
      <c r="H65" s="10" t="str">
        <f t="shared" si="22"/>
        <v>n/a</v>
      </c>
      <c r="I65" s="10" t="str">
        <f t="shared" si="22"/>
        <v>n/a</v>
      </c>
      <c r="J65" s="38" t="str">
        <f t="shared" si="22"/>
        <v>n/a</v>
      </c>
    </row>
    <row r="66" ht="15" customHeight="1">
      <c r="B66" s="24" t="s">
        <v>231</v>
      </c>
      <c r="C66" s="12">
        <v>312</v>
      </c>
      <c r="D66" s="12">
        <v>335</v>
      </c>
      <c r="E66" s="12">
        <v>318</v>
      </c>
      <c r="F66" s="12">
        <v>356</v>
      </c>
      <c r="G66" s="9">
        <f t="shared" si="23"/>
        <v>1321</v>
      </c>
      <c r="H66" s="12">
        <v>328</v>
      </c>
      <c r="I66" s="12">
        <v>265</v>
      </c>
      <c r="J66" s="39">
        <v>290</v>
      </c>
      <c r="K66" s="40" t="s">
        <v>257</v>
      </c>
    </row>
    <row r="67" ht="15" customHeight="1">
      <c r="B67" s="37" t="s">
        <v>75</v>
      </c>
      <c r="C67" s="10" t="s">
        <v>31</v>
      </c>
      <c r="D67" s="10" t="s">
        <v>31</v>
      </c>
      <c r="E67" s="10" t="s">
        <v>31</v>
      </c>
      <c r="F67" s="10" t="s">
        <v>31</v>
      </c>
      <c r="G67" s="10" t="s">
        <v>31</v>
      </c>
      <c r="H67" s="10">
        <f t="shared" si="0"/>
        <v>0.05128205128205132</v>
      </c>
      <c r="I67" s="10">
        <f t="shared" si="0"/>
        <v>-0.20895522388059706</v>
      </c>
      <c r="J67" s="38">
        <f t="shared" si="0"/>
        <v>-0.08805031446540879</v>
      </c>
    </row>
    <row r="68" ht="15" customHeight="1">
      <c r="B68" s="37" t="s">
        <v>92</v>
      </c>
      <c r="C68" s="50" t="s">
        <v>31</v>
      </c>
      <c r="D68" s="50">
        <f t="shared" si="1"/>
        <v>23</v>
      </c>
      <c r="E68" s="50">
        <f t="shared" si="1"/>
        <v>-17</v>
      </c>
      <c r="F68" s="50">
        <f t="shared" si="1"/>
        <v>38</v>
      </c>
      <c r="G68" s="50" t="s">
        <v>31</v>
      </c>
      <c r="H68" s="50">
        <f t="shared" si="3"/>
        <v>-28</v>
      </c>
      <c r="I68" s="50">
        <f t="shared" si="1"/>
        <v>-63</v>
      </c>
      <c r="J68" s="51">
        <f t="shared" si="1"/>
        <v>25</v>
      </c>
    </row>
    <row r="69" ht="15" customHeight="1">
      <c r="B69" s="37" t="s">
        <v>71</v>
      </c>
      <c r="C69" s="10" t="s">
        <v>31</v>
      </c>
      <c r="D69" s="10" t="s">
        <v>31</v>
      </c>
      <c r="E69" s="10" t="s">
        <v>31</v>
      </c>
      <c r="F69" s="10" t="s">
        <v>31</v>
      </c>
      <c r="G69" s="10" t="s">
        <v>31</v>
      </c>
      <c r="H69" s="10">
        <f t="shared" si="24" ref="H69:J76">IF(AND(ISNUMBER(H66),ISNUMBER(C66)),IF(C66&gt;0,H66/C66-1,"n/m"),"n/a")</f>
        <v>0.05128205128205132</v>
      </c>
      <c r="I69" s="10">
        <f t="shared" si="24"/>
        <v>-0.20895522388059706</v>
      </c>
      <c r="J69" s="38">
        <f t="shared" si="24"/>
        <v>-0.08805031446540879</v>
      </c>
    </row>
    <row r="70" ht="15" customHeight="1">
      <c r="B70" s="37" t="s">
        <v>72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 t="s">
        <v>31</v>
      </c>
      <c r="I70" s="10" t="s">
        <v>31</v>
      </c>
      <c r="J70" s="38" t="s">
        <v>31</v>
      </c>
    </row>
    <row r="71" ht="15" customHeight="1">
      <c r="B71" s="37" t="s">
        <v>73</v>
      </c>
      <c r="C71" s="10" t="s">
        <v>31</v>
      </c>
      <c r="D71" s="10" t="s">
        <v>31</v>
      </c>
      <c r="E71" s="10" t="s">
        <v>31</v>
      </c>
      <c r="F71" s="10" t="s">
        <v>31</v>
      </c>
      <c r="G71" s="10" t="s">
        <v>31</v>
      </c>
      <c r="H71" s="10" t="s">
        <v>31</v>
      </c>
      <c r="I71" s="10" t="s">
        <v>31</v>
      </c>
      <c r="J71" s="38" t="s">
        <v>31</v>
      </c>
    </row>
    <row r="72" ht="15" customHeight="1">
      <c r="B72" s="37" t="s">
        <v>74</v>
      </c>
      <c r="C72" s="10" t="str">
        <f t="shared" si="22"/>
        <v>n/a</v>
      </c>
      <c r="D72" s="10" t="str">
        <f t="shared" si="22"/>
        <v>n/a</v>
      </c>
      <c r="E72" s="10" t="str">
        <f t="shared" si="22"/>
        <v>n/a</v>
      </c>
      <c r="F72" s="10" t="str">
        <f t="shared" si="22"/>
        <v>n/a</v>
      </c>
      <c r="G72" s="10" t="str">
        <f t="shared" si="22"/>
        <v>n/a</v>
      </c>
      <c r="H72" s="10" t="str">
        <f t="shared" si="22"/>
        <v>n/a</v>
      </c>
      <c r="I72" s="10" t="str">
        <f t="shared" si="22"/>
        <v>n/a</v>
      </c>
      <c r="J72" s="38" t="str">
        <f t="shared" si="22"/>
        <v>n/a</v>
      </c>
    </row>
    <row r="73" ht="15" customHeight="1">
      <c r="B73" s="4" t="s">
        <v>259</v>
      </c>
      <c r="C73" s="41">
        <f t="shared" si="25" ref="C73:J73">C54+C66</f>
        <v>884</v>
      </c>
      <c r="D73" s="41">
        <f t="shared" si="25"/>
        <v>937</v>
      </c>
      <c r="E73" s="41">
        <f t="shared" si="25"/>
        <v>904</v>
      </c>
      <c r="F73" s="41">
        <f t="shared" si="25"/>
        <v>930</v>
      </c>
      <c r="G73" s="41">
        <f t="shared" si="25"/>
        <v>3655</v>
      </c>
      <c r="H73" s="41">
        <f t="shared" si="25"/>
        <v>909</v>
      </c>
      <c r="I73" s="41">
        <f t="shared" si="25"/>
        <v>850</v>
      </c>
      <c r="J73" s="42">
        <f t="shared" si="25"/>
        <v>888.9830136986302</v>
      </c>
    </row>
    <row r="74" ht="15" customHeight="1">
      <c r="B74" s="37" t="s">
        <v>75</v>
      </c>
      <c r="C74" s="10" t="s">
        <v>31</v>
      </c>
      <c r="D74" s="10" t="s">
        <v>31</v>
      </c>
      <c r="E74" s="10" t="s">
        <v>31</v>
      </c>
      <c r="F74" s="10" t="s">
        <v>31</v>
      </c>
      <c r="G74" s="10" t="s">
        <v>31</v>
      </c>
      <c r="H74" s="10">
        <f t="shared" si="0"/>
        <v>0.02828054298642524</v>
      </c>
      <c r="I74" s="10">
        <f t="shared" si="0"/>
        <v>-0.09284951974386335</v>
      </c>
      <c r="J74" s="38">
        <f t="shared" si="0"/>
        <v>-0.016611710510364808</v>
      </c>
    </row>
    <row r="75" ht="15" customHeight="1">
      <c r="B75" s="37" t="s">
        <v>69</v>
      </c>
      <c r="C75" s="10" t="s">
        <v>31</v>
      </c>
      <c r="D75" s="10">
        <f t="shared" si="26" ref="D75:J75">IF(AND(ISNUMBER(D73),ISNUMBER(C73)),IF(C73&gt;0,D73/C73-1,"n/m"),"n/a")</f>
        <v>0.05995475113122173</v>
      </c>
      <c r="E75" s="10">
        <f t="shared" si="26"/>
        <v>-0.03521878335112061</v>
      </c>
      <c r="F75" s="10">
        <f t="shared" si="26"/>
        <v>0.028761061946902755</v>
      </c>
      <c r="G75" s="10" t="s">
        <v>31</v>
      </c>
      <c r="H75" s="10">
        <f>IF(AND(ISNUMBER(H73),ISNUMBER(F73)),IF(F73&gt;0,H73/F73-1,"n/m"),"n/a")</f>
        <v>-0.022580645161290325</v>
      </c>
      <c r="I75" s="10">
        <f t="shared" si="26"/>
        <v>-0.06490649064906495</v>
      </c>
      <c r="J75" s="38">
        <f t="shared" si="26"/>
        <v>0.04586236905721197</v>
      </c>
    </row>
    <row r="76" ht="15" customHeight="1">
      <c r="B76" s="37" t="s">
        <v>71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>
        <f t="shared" si="24"/>
        <v>0.02828054298642524</v>
      </c>
      <c r="I76" s="10">
        <f t="shared" si="24"/>
        <v>-0.09284951974386335</v>
      </c>
      <c r="J76" s="38">
        <f t="shared" si="24"/>
        <v>-0.016611710510364808</v>
      </c>
    </row>
    <row r="77" ht="15" customHeight="1">
      <c r="B77" s="37" t="s">
        <v>72</v>
      </c>
      <c r="C77" s="10" t="s">
        <v>31</v>
      </c>
      <c r="D77" s="10" t="s">
        <v>31</v>
      </c>
      <c r="E77" s="10" t="s">
        <v>31</v>
      </c>
      <c r="F77" s="10" t="s">
        <v>31</v>
      </c>
      <c r="G77" s="10" t="s">
        <v>31</v>
      </c>
      <c r="H77" s="10" t="s">
        <v>31</v>
      </c>
      <c r="I77" s="10" t="s">
        <v>31</v>
      </c>
      <c r="J77" s="38" t="s">
        <v>31</v>
      </c>
    </row>
    <row r="78" ht="15" customHeight="1">
      <c r="B78" s="37" t="s">
        <v>73</v>
      </c>
      <c r="C78" s="10" t="s">
        <v>31</v>
      </c>
      <c r="D78" s="10" t="s">
        <v>31</v>
      </c>
      <c r="E78" s="10" t="s">
        <v>31</v>
      </c>
      <c r="F78" s="10" t="s">
        <v>31</v>
      </c>
      <c r="G78" s="10" t="s">
        <v>31</v>
      </c>
      <c r="H78" s="10" t="s">
        <v>31</v>
      </c>
      <c r="I78" s="10" t="s">
        <v>31</v>
      </c>
      <c r="J78" s="38" t="s">
        <v>31</v>
      </c>
    </row>
    <row r="79" ht="15" customHeight="1">
      <c r="B79" s="37" t="s">
        <v>74</v>
      </c>
      <c r="C79" s="10" t="str">
        <f t="shared" si="22"/>
        <v>n/a</v>
      </c>
      <c r="D79" s="10" t="str">
        <f t="shared" si="22"/>
        <v>n/a</v>
      </c>
      <c r="E79" s="10" t="str">
        <f t="shared" si="22"/>
        <v>n/a</v>
      </c>
      <c r="F79" s="10" t="str">
        <f t="shared" si="22"/>
        <v>n/a</v>
      </c>
      <c r="G79" s="10" t="str">
        <f t="shared" si="22"/>
        <v>n/a</v>
      </c>
      <c r="H79" s="10" t="str">
        <f t="shared" si="22"/>
        <v>n/a</v>
      </c>
      <c r="I79" s="10" t="str">
        <f t="shared" si="22"/>
        <v>n/a</v>
      </c>
      <c r="J79" s="38" t="str">
        <f t="shared" si="22"/>
        <v>n/a</v>
      </c>
    </row>
    <row r="80" ht="15" customHeight="1">
      <c r="B80" s="43" t="s">
        <v>234</v>
      </c>
      <c r="C80" s="10">
        <f t="shared" si="27" ref="C80:J80">IF(AND(ISNUMBER(C54),C73&lt;&gt;0),C54/C73,"n/a")</f>
        <v>0.6470588235294118</v>
      </c>
      <c r="D80" s="10">
        <f t="shared" si="27"/>
        <v>0.6424759871931697</v>
      </c>
      <c r="E80" s="10">
        <f t="shared" si="27"/>
        <v>0.6482300884955752</v>
      </c>
      <c r="F80" s="10">
        <f t="shared" si="27"/>
        <v>0.6172043010752688</v>
      </c>
      <c r="G80" s="10">
        <f t="shared" si="27"/>
        <v>0.638577291381669</v>
      </c>
      <c r="H80" s="10">
        <f t="shared" si="27"/>
        <v>0.6391639163916392</v>
      </c>
      <c r="I80" s="10">
        <f t="shared" si="27"/>
        <v>0.6882352941176471</v>
      </c>
      <c r="J80" s="38">
        <f t="shared" si="27"/>
        <v>0.6737845430887935</v>
      </c>
    </row>
    <row r="81" ht="15" customHeight="1">
      <c r="B81" s="35" t="s">
        <v>163</v>
      </c>
    </row>
    <row r="82" ht="15" customHeight="1">
      <c r="B82" s="43" t="s">
        <v>260</v>
      </c>
      <c r="C82" s="20">
        <v>0.0009</v>
      </c>
      <c r="D82" s="20">
        <v>-0.0006</v>
      </c>
      <c r="E82" s="20">
        <v>-0.0009</v>
      </c>
      <c r="F82" s="20">
        <v>0.0002</v>
      </c>
      <c r="G82" s="20">
        <v>-0.0001</v>
      </c>
      <c r="H82" s="20">
        <v>0.0003</v>
      </c>
      <c r="I82" s="20">
        <v>0.0009</v>
      </c>
      <c r="J82" s="56">
        <v>0.001</v>
      </c>
      <c r="K82" s="40" t="s">
        <v>106</v>
      </c>
    </row>
    <row r="83" ht="15" customHeight="1">
      <c r="B83" s="37" t="s">
        <v>137</v>
      </c>
      <c r="C83" s="58" t="s">
        <v>31</v>
      </c>
      <c r="D83" s="58">
        <f t="shared" si="15"/>
        <v>-15</v>
      </c>
      <c r="E83" s="58">
        <f t="shared" si="15"/>
        <v>-3.0000000000000004</v>
      </c>
      <c r="F83" s="58">
        <f t="shared" si="15"/>
        <v>11</v>
      </c>
      <c r="G83" s="58" t="s">
        <v>31</v>
      </c>
      <c r="H83" s="58">
        <f t="shared" si="17"/>
        <v>0.9999999999999997</v>
      </c>
      <c r="I83" s="58">
        <f t="shared" si="15"/>
        <v>6.000000000000001</v>
      </c>
      <c r="J83" s="59">
        <f t="shared" si="15"/>
        <v>1.0000000000000004</v>
      </c>
    </row>
    <row r="84" ht="15" customHeight="1">
      <c r="B84" s="37" t="s">
        <v>138</v>
      </c>
      <c r="C84" s="58" t="s">
        <v>31</v>
      </c>
      <c r="D84" s="58" t="s">
        <v>31</v>
      </c>
      <c r="E84" s="58" t="s">
        <v>31</v>
      </c>
      <c r="F84" s="58" t="s">
        <v>31</v>
      </c>
      <c r="G84" s="58" t="s">
        <v>31</v>
      </c>
      <c r="H84" s="58">
        <f t="shared" si="16"/>
        <v>-6.000000000000001</v>
      </c>
      <c r="I84" s="58">
        <f t="shared" si="16"/>
        <v>15</v>
      </c>
      <c r="J84" s="59">
        <f t="shared" si="16"/>
        <v>19</v>
      </c>
    </row>
    <row r="85" ht="15" customHeight="1">
      <c r="B85" s="43" t="s">
        <v>261</v>
      </c>
      <c r="C85" s="20">
        <v>0.0012</v>
      </c>
      <c r="D85" s="20">
        <v>0.0055</v>
      </c>
      <c r="E85" s="20">
        <v>0.0038</v>
      </c>
      <c r="F85" s="20">
        <v>0.0067</v>
      </c>
      <c r="G85" s="20">
        <v>0.0043</v>
      </c>
      <c r="H85" s="20">
        <v>0.0044</v>
      </c>
      <c r="I85" s="20">
        <v>0.008</v>
      </c>
      <c r="J85" s="56">
        <v>0.006</v>
      </c>
      <c r="K85" s="40" t="s">
        <v>106</v>
      </c>
    </row>
    <row r="86" ht="15" customHeight="1">
      <c r="B86" s="37" t="s">
        <v>137</v>
      </c>
      <c r="C86" s="58" t="s">
        <v>31</v>
      </c>
      <c r="D86" s="58">
        <f t="shared" si="15"/>
        <v>43</v>
      </c>
      <c r="E86" s="58">
        <f t="shared" si="15"/>
        <v>-16.999999999999996</v>
      </c>
      <c r="F86" s="58">
        <f t="shared" si="15"/>
        <v>29.000000000000004</v>
      </c>
      <c r="G86" s="58" t="s">
        <v>31</v>
      </c>
      <c r="H86" s="58">
        <f t="shared" si="17"/>
        <v>-23</v>
      </c>
      <c r="I86" s="58">
        <f t="shared" si="15"/>
        <v>36</v>
      </c>
      <c r="J86" s="59">
        <f t="shared" si="15"/>
        <v>-20</v>
      </c>
    </row>
    <row r="87" ht="15" customHeight="1">
      <c r="B87" s="37" t="s">
        <v>138</v>
      </c>
      <c r="C87" s="58" t="s">
        <v>31</v>
      </c>
      <c r="D87" s="58" t="s">
        <v>31</v>
      </c>
      <c r="E87" s="58" t="s">
        <v>31</v>
      </c>
      <c r="F87" s="58" t="s">
        <v>31</v>
      </c>
      <c r="G87" s="58" t="s">
        <v>31</v>
      </c>
      <c r="H87" s="58">
        <f t="shared" si="16"/>
        <v>32.00000000000001</v>
      </c>
      <c r="I87" s="58">
        <f t="shared" si="16"/>
        <v>25.000000000000004</v>
      </c>
      <c r="J87" s="59">
        <f t="shared" si="16"/>
        <v>22</v>
      </c>
    </row>
    <row r="88" ht="15" customHeight="1">
      <c r="B88" s="24" t="s">
        <v>262</v>
      </c>
      <c r="C88" s="9">
        <f t="shared" si="28" ref="C88:J91">IF(ISNUMBER(C82),C82*C30/4,0)</f>
        <v>7.139925</v>
      </c>
      <c r="D88" s="9">
        <f t="shared" si="28"/>
        <v>-4.878299999999999</v>
      </c>
      <c r="E88" s="9">
        <f t="shared" si="28"/>
        <v>-7.4483999999999995</v>
      </c>
      <c r="F88" s="9">
        <f t="shared" si="28"/>
        <v>1.65775</v>
      </c>
      <c r="G88" s="9">
        <f t="shared" si="23"/>
        <v>-3.529024999999999</v>
      </c>
      <c r="H88" s="9">
        <f t="shared" si="28"/>
        <v>2.5154249999999996</v>
      </c>
      <c r="I88" s="9">
        <f t="shared" si="28"/>
        <v>7.6450499999999995</v>
      </c>
      <c r="J88" s="54">
        <f t="shared" si="28"/>
        <v>8.575000000000001</v>
      </c>
    </row>
    <row r="89" ht="15" customHeight="1">
      <c r="B89" s="37" t="s">
        <v>75</v>
      </c>
      <c r="C89" s="10" t="s">
        <v>31</v>
      </c>
      <c r="D89" s="10" t="s">
        <v>31</v>
      </c>
      <c r="E89" s="10" t="s">
        <v>31</v>
      </c>
      <c r="F89" s="10" t="s">
        <v>31</v>
      </c>
      <c r="G89" s="10" t="s">
        <v>31</v>
      </c>
      <c r="H89" s="10">
        <f t="shared" si="0"/>
        <v>-0.6476958791583945</v>
      </c>
      <c r="I89" s="10" t="str">
        <f t="shared" si="0"/>
        <v>n/m</v>
      </c>
      <c r="J89" s="38" t="str">
        <f t="shared" si="0"/>
        <v>n/m</v>
      </c>
    </row>
    <row r="90" ht="15" customHeight="1">
      <c r="B90" s="37" t="s">
        <v>92</v>
      </c>
      <c r="C90" s="50" t="s">
        <v>31</v>
      </c>
      <c r="D90" s="50">
        <f t="shared" si="1"/>
        <v>-12.018225</v>
      </c>
      <c r="E90" s="50">
        <f t="shared" si="1"/>
        <v>-2.5701</v>
      </c>
      <c r="F90" s="50">
        <f t="shared" si="1"/>
        <v>9.10615</v>
      </c>
      <c r="G90" s="50" t="s">
        <v>31</v>
      </c>
      <c r="H90" s="50">
        <f t="shared" si="3"/>
        <v>0.8576749999999995</v>
      </c>
      <c r="I90" s="50">
        <f t="shared" si="1"/>
        <v>5.129625</v>
      </c>
      <c r="J90" s="51">
        <f t="shared" si="1"/>
        <v>0.9299500000000016</v>
      </c>
    </row>
    <row r="91" ht="15" customHeight="1">
      <c r="B91" s="24" t="s">
        <v>263</v>
      </c>
      <c r="C91" s="9">
        <f t="shared" si="28"/>
        <v>16.729499999999998</v>
      </c>
      <c r="D91" s="9">
        <f t="shared" si="28"/>
        <v>76.789625</v>
      </c>
      <c r="E91" s="9">
        <f t="shared" si="28"/>
        <v>52.52075</v>
      </c>
      <c r="F91" s="9">
        <f t="shared" si="28"/>
        <v>92.6945</v>
      </c>
      <c r="G91" s="9">
        <f t="shared" si="23"/>
        <v>238.734375</v>
      </c>
      <c r="H91" s="9">
        <f t="shared" si="28"/>
        <v>61.6231</v>
      </c>
      <c r="I91" s="9">
        <f t="shared" si="28"/>
        <v>113.842</v>
      </c>
      <c r="J91" s="54">
        <f t="shared" si="28"/>
        <v>85.65</v>
      </c>
    </row>
    <row r="92" ht="15" customHeight="1">
      <c r="B92" s="37" t="s">
        <v>75</v>
      </c>
      <c r="C92" s="10" t="s">
        <v>31</v>
      </c>
      <c r="D92" s="10" t="s">
        <v>31</v>
      </c>
      <c r="E92" s="10" t="s">
        <v>31</v>
      </c>
      <c r="F92" s="10" t="s">
        <v>31</v>
      </c>
      <c r="G92" s="10" t="s">
        <v>31</v>
      </c>
      <c r="H92" s="10">
        <f t="shared" si="0"/>
        <v>2.6834992079858937</v>
      </c>
      <c r="I92" s="10">
        <f t="shared" si="0"/>
        <v>0.4825179833864275</v>
      </c>
      <c r="J92" s="38">
        <f t="shared" si="0"/>
        <v>0.6307840234573956</v>
      </c>
    </row>
    <row r="93" ht="15" customHeight="1">
      <c r="B93" s="37" t="s">
        <v>92</v>
      </c>
      <c r="C93" s="50" t="s">
        <v>31</v>
      </c>
      <c r="D93" s="50">
        <f t="shared" si="1"/>
        <v>60.060125</v>
      </c>
      <c r="E93" s="50">
        <f t="shared" si="1"/>
        <v>-24.268875</v>
      </c>
      <c r="F93" s="50">
        <f t="shared" si="1"/>
        <v>40.173750000000005</v>
      </c>
      <c r="G93" s="50" t="s">
        <v>31</v>
      </c>
      <c r="H93" s="50">
        <f t="shared" si="3"/>
        <v>-31.071400000000004</v>
      </c>
      <c r="I93" s="50">
        <f t="shared" si="1"/>
        <v>52.2189</v>
      </c>
      <c r="J93" s="51">
        <f t="shared" si="1"/>
        <v>-28.191999999999993</v>
      </c>
    </row>
    <row r="94" ht="15" customHeight="1">
      <c r="B94" s="4" t="s">
        <v>264</v>
      </c>
      <c r="C94" s="41">
        <f t="shared" si="4"/>
        <v>23.869425</v>
      </c>
      <c r="D94" s="41">
        <f t="shared" si="4"/>
        <v>71.911325</v>
      </c>
      <c r="E94" s="41">
        <f t="shared" si="4"/>
        <v>45.07235</v>
      </c>
      <c r="F94" s="41">
        <f t="shared" si="4"/>
        <v>94.35225</v>
      </c>
      <c r="G94" s="41">
        <f t="shared" si="4"/>
        <v>235.20535</v>
      </c>
      <c r="H94" s="41">
        <f t="shared" si="4"/>
        <v>64.138525</v>
      </c>
      <c r="I94" s="41">
        <f t="shared" si="4"/>
        <v>121.48705</v>
      </c>
      <c r="J94" s="42">
        <f t="shared" si="4"/>
        <v>94.22500000000001</v>
      </c>
    </row>
    <row r="95" ht="15" customHeight="1">
      <c r="B95" s="37" t="s">
        <v>75</v>
      </c>
      <c r="C95" s="10" t="s">
        <v>31</v>
      </c>
      <c r="D95" s="10" t="s">
        <v>31</v>
      </c>
      <c r="E95" s="10" t="s">
        <v>31</v>
      </c>
      <c r="F95" s="10" t="s">
        <v>31</v>
      </c>
      <c r="G95" s="10" t="s">
        <v>31</v>
      </c>
      <c r="H95" s="10">
        <f t="shared" si="0"/>
        <v>1.6870578155946365</v>
      </c>
      <c r="I95" s="10">
        <f t="shared" si="0"/>
        <v>0.6894008002216616</v>
      </c>
      <c r="J95" s="38">
        <f t="shared" si="0"/>
        <v>1.0905277847727044</v>
      </c>
    </row>
    <row r="96" ht="15" customHeight="1">
      <c r="B96" s="37" t="s">
        <v>92</v>
      </c>
      <c r="C96" s="50" t="s">
        <v>31</v>
      </c>
      <c r="D96" s="50">
        <f t="shared" si="1"/>
        <v>48.041900000000005</v>
      </c>
      <c r="E96" s="50">
        <f t="shared" si="1"/>
        <v>-26.838975000000005</v>
      </c>
      <c r="F96" s="50">
        <f t="shared" si="1"/>
        <v>49.2799</v>
      </c>
      <c r="G96" s="50" t="s">
        <v>31</v>
      </c>
      <c r="H96" s="50">
        <f t="shared" si="3"/>
        <v>-30.213724999999997</v>
      </c>
      <c r="I96" s="50">
        <f t="shared" si="1"/>
        <v>57.348524999999995</v>
      </c>
      <c r="J96" s="51">
        <f t="shared" si="1"/>
        <v>-27.262049999999988</v>
      </c>
    </row>
    <row r="97" ht="15" customHeight="1">
      <c r="B97" s="43" t="s">
        <v>265</v>
      </c>
      <c r="C97" s="10">
        <f t="shared" si="29" ref="C97:J97">C94*4/C36</f>
        <v>0.0010911986559692794</v>
      </c>
      <c r="D97" s="10">
        <f t="shared" si="29"/>
        <v>0.0032550475845601968</v>
      </c>
      <c r="E97" s="10">
        <f t="shared" si="29"/>
        <v>0.002039726662820034</v>
      </c>
      <c r="F97" s="10">
        <f t="shared" si="29"/>
        <v>0.004264749420871235</v>
      </c>
      <c r="G97" s="10">
        <f>G94/G36</f>
        <v>0.0026669994670658003</v>
      </c>
      <c r="H97" s="10">
        <f t="shared" si="29"/>
        <v>0.002864605850826262</v>
      </c>
      <c r="I97" s="10">
        <f t="shared" si="29"/>
        <v>0.005346023608620557</v>
      </c>
      <c r="J97" s="38">
        <f t="shared" si="29"/>
        <v>0.004123632385120351</v>
      </c>
    </row>
    <row r="98" ht="15" customHeight="1">
      <c r="B98" s="37" t="s">
        <v>137</v>
      </c>
      <c r="C98" s="58" t="s">
        <v>31</v>
      </c>
      <c r="D98" s="58">
        <f t="shared" si="15"/>
        <v>21.63848928590917</v>
      </c>
      <c r="E98" s="58">
        <f t="shared" si="15"/>
        <v>-12.153209217401628</v>
      </c>
      <c r="F98" s="58">
        <f t="shared" si="15"/>
        <v>22.250227580512014</v>
      </c>
      <c r="G98" s="58" t="s">
        <v>31</v>
      </c>
      <c r="H98" s="58">
        <f t="shared" si="17"/>
        <v>-14.001435700449735</v>
      </c>
      <c r="I98" s="58">
        <f t="shared" si="15"/>
        <v>24.81417757794295</v>
      </c>
      <c r="J98" s="59">
        <f t="shared" si="15"/>
        <v>-12.223912235002059</v>
      </c>
    </row>
    <row r="99" ht="15" customHeight="1">
      <c r="B99" s="37" t="s">
        <v>138</v>
      </c>
      <c r="C99" s="58" t="s">
        <v>31</v>
      </c>
      <c r="D99" s="58" t="s">
        <v>31</v>
      </c>
      <c r="E99" s="58" t="s">
        <v>31</v>
      </c>
      <c r="F99" s="58" t="s">
        <v>31</v>
      </c>
      <c r="G99" s="58" t="s">
        <v>31</v>
      </c>
      <c r="H99" s="58">
        <f t="shared" si="16"/>
        <v>17.734071948569827</v>
      </c>
      <c r="I99" s="58">
        <f t="shared" si="16"/>
        <v>20.9097602406036</v>
      </c>
      <c r="J99" s="59">
        <f t="shared" si="16"/>
        <v>20.839057223003167</v>
      </c>
    </row>
    <row r="100" ht="15" customHeight="1">
      <c r="B100" s="43" t="s">
        <v>266</v>
      </c>
      <c r="C100" s="20">
        <v>0.0011</v>
      </c>
      <c r="D100" s="20">
        <v>0.0033</v>
      </c>
      <c r="E100" s="20">
        <v>0.0021</v>
      </c>
      <c r="F100" s="20">
        <v>0.0043</v>
      </c>
      <c r="G100" s="20">
        <v>0.0027</v>
      </c>
      <c r="H100" s="20">
        <v>0.0029</v>
      </c>
      <c r="I100" s="20">
        <v>0.0053</v>
      </c>
      <c r="J100" s="38" t="s">
        <v>31</v>
      </c>
      <c r="K100" s="40" t="s">
        <v>106</v>
      </c>
    </row>
    <row r="101" ht="15" customHeight="1">
      <c r="B101" s="37" t="s">
        <v>137</v>
      </c>
      <c r="C101" s="58" t="s">
        <v>31</v>
      </c>
      <c r="D101" s="58">
        <f t="shared" si="15"/>
        <v>21.999999999999996</v>
      </c>
      <c r="E101" s="58">
        <f t="shared" si="15"/>
        <v>-12.000000000000002</v>
      </c>
      <c r="F101" s="58">
        <f t="shared" si="15"/>
        <v>22</v>
      </c>
      <c r="G101" s="58" t="s">
        <v>31</v>
      </c>
      <c r="H101" s="58">
        <f t="shared" si="17"/>
        <v>-14.000000000000002</v>
      </c>
      <c r="I101" s="58">
        <f t="shared" si="15"/>
        <v>24.000000000000004</v>
      </c>
      <c r="J101" s="59" t="str">
        <f t="shared" si="15"/>
        <v>n/a</v>
      </c>
    </row>
    <row r="102" ht="15" customHeight="1">
      <c r="B102" s="37" t="s">
        <v>138</v>
      </c>
      <c r="C102" s="58" t="s">
        <v>31</v>
      </c>
      <c r="D102" s="58" t="s">
        <v>31</v>
      </c>
      <c r="E102" s="58" t="s">
        <v>31</v>
      </c>
      <c r="F102" s="58" t="s">
        <v>31</v>
      </c>
      <c r="G102" s="58" t="s">
        <v>31</v>
      </c>
      <c r="H102" s="58">
        <f t="shared" si="16"/>
        <v>17.999999999999996</v>
      </c>
      <c r="I102" s="58">
        <f t="shared" si="16"/>
        <v>20</v>
      </c>
      <c r="J102" s="59" t="str">
        <f t="shared" si="16"/>
        <v>n/a</v>
      </c>
    </row>
    <row r="103" ht="15" customHeight="1">
      <c r="B103" s="24" t="s">
        <v>267</v>
      </c>
      <c r="C103" s="12">
        <v>5612</v>
      </c>
      <c r="D103" s="12">
        <v>5204</v>
      </c>
      <c r="E103" s="12">
        <v>4558</v>
      </c>
      <c r="F103" s="12">
        <v>4177</v>
      </c>
      <c r="G103" s="9">
        <f t="shared" si="2"/>
        <v>4177</v>
      </c>
      <c r="H103" s="12">
        <v>4510</v>
      </c>
      <c r="I103" s="12">
        <v>4058</v>
      </c>
      <c r="J103" s="54" t="s">
        <v>31</v>
      </c>
      <c r="K103" s="40" t="s">
        <v>257</v>
      </c>
    </row>
    <row r="104" ht="15" customHeight="1">
      <c r="B104" s="37" t="s">
        <v>75</v>
      </c>
      <c r="C104" s="10" t="s">
        <v>31</v>
      </c>
      <c r="D104" s="10" t="s">
        <v>31</v>
      </c>
      <c r="E104" s="10" t="s">
        <v>31</v>
      </c>
      <c r="F104" s="10" t="s">
        <v>31</v>
      </c>
      <c r="G104" s="10" t="s">
        <v>31</v>
      </c>
      <c r="H104" s="10">
        <f t="shared" si="0"/>
        <v>-0.19636493228795437</v>
      </c>
      <c r="I104" s="10">
        <f t="shared" si="0"/>
        <v>-0.22021521906225983</v>
      </c>
      <c r="J104" s="38" t="str">
        <f t="shared" si="0"/>
        <v>n/a</v>
      </c>
    </row>
    <row r="105" ht="15" customHeight="1">
      <c r="B105" s="37" t="s">
        <v>92</v>
      </c>
      <c r="C105" s="50" t="s">
        <v>31</v>
      </c>
      <c r="D105" s="50">
        <f t="shared" si="1"/>
        <v>-408</v>
      </c>
      <c r="E105" s="50">
        <f t="shared" si="1"/>
        <v>-646</v>
      </c>
      <c r="F105" s="50">
        <f t="shared" si="1"/>
        <v>-381</v>
      </c>
      <c r="G105" s="50" t="s">
        <v>31</v>
      </c>
      <c r="H105" s="50">
        <f t="shared" si="3"/>
        <v>333</v>
      </c>
      <c r="I105" s="50">
        <f t="shared" si="1"/>
        <v>-452</v>
      </c>
      <c r="J105" s="51" t="str">
        <f t="shared" si="1"/>
        <v>n/a</v>
      </c>
    </row>
    <row r="106" ht="15" customHeight="1">
      <c r="B106" s="24" t="s">
        <v>268</v>
      </c>
      <c r="C106" s="12">
        <v>1224</v>
      </c>
      <c r="D106" s="12">
        <v>1151</v>
      </c>
      <c r="E106" s="12">
        <v>1236</v>
      </c>
      <c r="F106" s="12">
        <v>1212</v>
      </c>
      <c r="G106" s="9">
        <f t="shared" si="2"/>
        <v>1212</v>
      </c>
      <c r="H106" s="12">
        <v>1268</v>
      </c>
      <c r="I106" s="12">
        <v>1201</v>
      </c>
      <c r="J106" s="54" t="s">
        <v>31</v>
      </c>
      <c r="K106" s="40" t="s">
        <v>257</v>
      </c>
    </row>
    <row r="107" ht="15" customHeight="1">
      <c r="B107" s="37" t="s">
        <v>75</v>
      </c>
      <c r="C107" s="10" t="s">
        <v>31</v>
      </c>
      <c r="D107" s="10" t="s">
        <v>31</v>
      </c>
      <c r="E107" s="10" t="s">
        <v>31</v>
      </c>
      <c r="F107" s="10" t="s">
        <v>31</v>
      </c>
      <c r="G107" s="10" t="s">
        <v>31</v>
      </c>
      <c r="H107" s="10">
        <f t="shared" si="0"/>
        <v>0.03594771241830075</v>
      </c>
      <c r="I107" s="10">
        <f t="shared" si="0"/>
        <v>0.04344048653344923</v>
      </c>
      <c r="J107" s="38" t="str">
        <f t="shared" si="0"/>
        <v>n/a</v>
      </c>
    </row>
    <row r="108" ht="15" customHeight="1">
      <c r="B108" s="37" t="s">
        <v>92</v>
      </c>
      <c r="C108" s="50" t="s">
        <v>31</v>
      </c>
      <c r="D108" s="50">
        <f t="shared" si="1"/>
        <v>-73</v>
      </c>
      <c r="E108" s="50">
        <f t="shared" si="1"/>
        <v>85</v>
      </c>
      <c r="F108" s="50">
        <f t="shared" si="1"/>
        <v>-24</v>
      </c>
      <c r="G108" s="50" t="s">
        <v>31</v>
      </c>
      <c r="H108" s="50">
        <f t="shared" si="3"/>
        <v>56</v>
      </c>
      <c r="I108" s="50">
        <f t="shared" si="1"/>
        <v>-67</v>
      </c>
      <c r="J108" s="51" t="str">
        <f t="shared" si="1"/>
        <v>n/a</v>
      </c>
    </row>
    <row r="109" ht="15" customHeight="1">
      <c r="B109" s="43" t="s">
        <v>269</v>
      </c>
      <c r="C109" s="10">
        <f t="shared" si="30" ref="C109:J109">IF(ISNUMBER(C103),(C103+C106)/C16,"n/a")</f>
        <v>0.07811410876098408</v>
      </c>
      <c r="D109" s="10">
        <f t="shared" si="30"/>
        <v>0.07192575406032482</v>
      </c>
      <c r="E109" s="10">
        <f t="shared" si="30"/>
        <v>0.06518021869234576</v>
      </c>
      <c r="F109" s="10">
        <f t="shared" si="30"/>
        <v>0.060372835024982634</v>
      </c>
      <c r="G109" s="10">
        <f t="shared" si="30"/>
        <v>0.060372835024982634</v>
      </c>
      <c r="H109" s="10">
        <f t="shared" si="30"/>
        <v>0.06397041728020549</v>
      </c>
      <c r="I109" s="10">
        <f t="shared" si="30"/>
        <v>0.057605730997995465</v>
      </c>
      <c r="J109" s="38" t="str">
        <f t="shared" si="30"/>
        <v>n/a</v>
      </c>
    </row>
    <row r="110" ht="15" customHeight="1">
      <c r="B110" s="37" t="s">
        <v>137</v>
      </c>
      <c r="C110" s="58" t="s">
        <v>31</v>
      </c>
      <c r="D110" s="58">
        <f t="shared" si="15"/>
        <v>-61.8835470065926</v>
      </c>
      <c r="E110" s="58">
        <f t="shared" si="15"/>
        <v>-67.4553536797906</v>
      </c>
      <c r="F110" s="58">
        <f t="shared" si="15"/>
        <v>-48.073836673631284</v>
      </c>
      <c r="G110" s="58" t="s">
        <v>31</v>
      </c>
      <c r="H110" s="58">
        <f t="shared" si="17"/>
        <v>35.975822552228514</v>
      </c>
      <c r="I110" s="58">
        <f t="shared" si="15"/>
        <v>-63.6468628221002</v>
      </c>
      <c r="J110" s="59" t="str">
        <f t="shared" si="15"/>
        <v>n/a</v>
      </c>
    </row>
    <row r="111" ht="15" customHeight="1">
      <c r="B111" s="37" t="s">
        <v>138</v>
      </c>
      <c r="C111" s="58" t="s">
        <v>31</v>
      </c>
      <c r="D111" s="58" t="s">
        <v>31</v>
      </c>
      <c r="E111" s="58" t="s">
        <v>31</v>
      </c>
      <c r="F111" s="58" t="s">
        <v>31</v>
      </c>
      <c r="G111" s="58" t="s">
        <v>31</v>
      </c>
      <c r="H111" s="58">
        <f t="shared" si="16"/>
        <v>-141.43691480778597</v>
      </c>
      <c r="I111" s="58">
        <f t="shared" si="16"/>
        <v>-143.20023062329358</v>
      </c>
      <c r="J111" s="59" t="str">
        <f t="shared" si="16"/>
        <v>n/a</v>
      </c>
    </row>
    <row r="112" ht="15" customHeight="1">
      <c r="B112" s="35" t="s">
        <v>179</v>
      </c>
    </row>
    <row r="113" ht="15" customHeight="1">
      <c r="B113" s="24" t="s">
        <v>270</v>
      </c>
      <c r="C113" s="9" t="s">
        <v>31</v>
      </c>
      <c r="D113" s="9" t="s">
        <v>31</v>
      </c>
      <c r="E113" s="12">
        <v>1498</v>
      </c>
      <c r="F113" s="12">
        <v>1451</v>
      </c>
      <c r="G113" s="9">
        <f t="shared" si="2"/>
        <v>1451</v>
      </c>
      <c r="H113" s="12">
        <v>1534</v>
      </c>
      <c r="I113" s="12">
        <v>1475</v>
      </c>
      <c r="J113" s="54">
        <f>J16*J119</f>
        <v>1468.8</v>
      </c>
      <c r="K113" s="40" t="s">
        <v>181</v>
      </c>
    </row>
    <row r="114" ht="15" customHeight="1">
      <c r="B114" s="37" t="s">
        <v>75</v>
      </c>
      <c r="C114" s="10" t="s">
        <v>31</v>
      </c>
      <c r="D114" s="10" t="s">
        <v>31</v>
      </c>
      <c r="E114" s="10" t="s">
        <v>31</v>
      </c>
      <c r="F114" s="10" t="s">
        <v>31</v>
      </c>
      <c r="G114" s="10" t="s">
        <v>31</v>
      </c>
      <c r="H114" s="10" t="str">
        <f t="shared" si="0"/>
        <v>n/a</v>
      </c>
      <c r="I114" s="10" t="str">
        <f t="shared" si="0"/>
        <v>n/a</v>
      </c>
      <c r="J114" s="38">
        <f t="shared" si="0"/>
        <v>-0.019492656875834458</v>
      </c>
    </row>
    <row r="115" ht="15" customHeight="1">
      <c r="B115" s="37" t="s">
        <v>92</v>
      </c>
      <c r="C115" s="50" t="s">
        <v>31</v>
      </c>
      <c r="D115" s="50" t="str">
        <f t="shared" si="1"/>
        <v>n/a</v>
      </c>
      <c r="E115" s="50" t="str">
        <f t="shared" si="1"/>
        <v>n/a</v>
      </c>
      <c r="F115" s="50">
        <f t="shared" si="1"/>
        <v>-47</v>
      </c>
      <c r="G115" s="50" t="s">
        <v>31</v>
      </c>
      <c r="H115" s="50">
        <f t="shared" si="3"/>
        <v>83</v>
      </c>
      <c r="I115" s="50">
        <f t="shared" si="1"/>
        <v>-59</v>
      </c>
      <c r="J115" s="51">
        <f t="shared" si="1"/>
        <v>-6.2000000000000455</v>
      </c>
    </row>
    <row r="116" ht="15" customHeight="1">
      <c r="B116" s="4" t="s">
        <v>271</v>
      </c>
      <c r="C116" s="41" t="s">
        <v>31</v>
      </c>
      <c r="D116" s="41" t="s">
        <v>31</v>
      </c>
      <c r="E116" s="41">
        <f t="shared" si="31" ref="E116:J116">E113</f>
        <v>1498</v>
      </c>
      <c r="F116" s="41">
        <f t="shared" si="31"/>
        <v>1451</v>
      </c>
      <c r="G116" s="41">
        <f t="shared" si="31"/>
        <v>1451</v>
      </c>
      <c r="H116" s="41">
        <f t="shared" si="31"/>
        <v>1534</v>
      </c>
      <c r="I116" s="41">
        <f t="shared" si="31"/>
        <v>1475</v>
      </c>
      <c r="J116" s="42">
        <f t="shared" si="31"/>
        <v>1468.8</v>
      </c>
    </row>
    <row r="117" ht="15" customHeight="1">
      <c r="B117" s="37" t="s">
        <v>75</v>
      </c>
      <c r="C117" s="10" t="s">
        <v>31</v>
      </c>
      <c r="D117" s="10" t="s">
        <v>31</v>
      </c>
      <c r="E117" s="10" t="s">
        <v>31</v>
      </c>
      <c r="F117" s="10" t="s">
        <v>31</v>
      </c>
      <c r="G117" s="10" t="s">
        <v>31</v>
      </c>
      <c r="H117" s="10" t="str">
        <f t="shared" si="0"/>
        <v>n/a</v>
      </c>
      <c r="I117" s="10" t="str">
        <f t="shared" si="0"/>
        <v>n/a</v>
      </c>
      <c r="J117" s="38">
        <f t="shared" si="0"/>
        <v>-0.019492656875834458</v>
      </c>
    </row>
    <row r="118" ht="15" customHeight="1">
      <c r="B118" s="37" t="s">
        <v>92</v>
      </c>
      <c r="C118" s="50" t="s">
        <v>31</v>
      </c>
      <c r="D118" s="50" t="str">
        <f t="shared" si="1"/>
        <v>n/a</v>
      </c>
      <c r="E118" s="50" t="str">
        <f t="shared" si="1"/>
        <v>n/a</v>
      </c>
      <c r="F118" s="50">
        <f t="shared" si="1"/>
        <v>-47</v>
      </c>
      <c r="G118" s="50" t="s">
        <v>31</v>
      </c>
      <c r="H118" s="50">
        <f t="shared" si="3"/>
        <v>83</v>
      </c>
      <c r="I118" s="50">
        <f t="shared" si="1"/>
        <v>-59</v>
      </c>
      <c r="J118" s="51">
        <f t="shared" si="1"/>
        <v>-6.2000000000000455</v>
      </c>
    </row>
    <row r="119" ht="15" customHeight="1">
      <c r="B119" s="37" t="s">
        <v>272</v>
      </c>
      <c r="C119" s="10" t="s">
        <v>31</v>
      </c>
      <c r="D119" s="10" t="s">
        <v>31</v>
      </c>
      <c r="E119" s="10">
        <f t="shared" si="32" ref="E119:I119">E113/E16</f>
        <v>0.01685191018314359</v>
      </c>
      <c r="F119" s="10">
        <f t="shared" si="32"/>
        <v>0.01625551746543882</v>
      </c>
      <c r="G119" s="10">
        <f t="shared" si="32"/>
        <v>0.01625551746543882</v>
      </c>
      <c r="H119" s="10">
        <f t="shared" si="32"/>
        <v>0.01698349257664161</v>
      </c>
      <c r="I119" s="10">
        <f t="shared" si="32"/>
        <v>0.01615676996045699</v>
      </c>
      <c r="J119" s="56">
        <v>0.016</v>
      </c>
    </row>
    <row r="120" ht="15" customHeight="1">
      <c r="B120" s="57" t="s">
        <v>137</v>
      </c>
      <c r="C120" s="58" t="s">
        <v>31</v>
      </c>
      <c r="D120" s="58" t="str">
        <f t="shared" si="15"/>
        <v>n/a</v>
      </c>
      <c r="E120" s="58" t="str">
        <f t="shared" si="15"/>
        <v>n/a</v>
      </c>
      <c r="F120" s="58">
        <f t="shared" si="15"/>
        <v>-5.963927177047683</v>
      </c>
      <c r="G120" s="58" t="s">
        <v>31</v>
      </c>
      <c r="H120" s="58">
        <f t="shared" si="17"/>
        <v>7.279751112027888</v>
      </c>
      <c r="I120" s="58">
        <f t="shared" si="15"/>
        <v>-8.267226161846192</v>
      </c>
      <c r="J120" s="59">
        <f t="shared" si="15"/>
        <v>-1.567699604569893</v>
      </c>
    </row>
    <row r="121" ht="15" customHeight="1">
      <c r="B121" s="57" t="s">
        <v>138</v>
      </c>
      <c r="C121" s="58" t="s">
        <v>31</v>
      </c>
      <c r="D121" s="58" t="s">
        <v>31</v>
      </c>
      <c r="E121" s="58" t="s">
        <v>31</v>
      </c>
      <c r="F121" s="58" t="s">
        <v>31</v>
      </c>
      <c r="G121" s="58" t="s">
        <v>31</v>
      </c>
      <c r="H121" s="58" t="str">
        <f t="shared" si="16"/>
        <v>n/a</v>
      </c>
      <c r="I121" s="58" t="str">
        <f t="shared" si="16"/>
        <v>n/a</v>
      </c>
      <c r="J121" s="59">
        <f t="shared" si="16"/>
        <v>-8.51910183143588</v>
      </c>
    </row>
    <row r="122" ht="15" customHeight="1">
      <c r="B122" s="43" t="s">
        <v>188</v>
      </c>
      <c r="C122" s="10" t="s">
        <v>31</v>
      </c>
      <c r="D122" s="10" t="s">
        <v>31</v>
      </c>
      <c r="E122" s="10">
        <f t="shared" si="33" ref="E122:J122">E116/E16</f>
        <v>0.01685191018314359</v>
      </c>
      <c r="F122" s="10">
        <f t="shared" si="33"/>
        <v>0.01625551746543882</v>
      </c>
      <c r="G122" s="10">
        <f t="shared" si="33"/>
        <v>0.01625551746543882</v>
      </c>
      <c r="H122" s="10">
        <f t="shared" si="33"/>
        <v>0.01698349257664161</v>
      </c>
      <c r="I122" s="10">
        <f t="shared" si="33"/>
        <v>0.01615676996045699</v>
      </c>
      <c r="J122" s="38">
        <f t="shared" si="33"/>
        <v>0.016</v>
      </c>
    </row>
    <row r="123" ht="15" customHeight="1">
      <c r="B123" s="37" t="s">
        <v>137</v>
      </c>
      <c r="C123" s="58" t="s">
        <v>31</v>
      </c>
      <c r="D123" s="58" t="str">
        <f t="shared" si="15"/>
        <v>n/a</v>
      </c>
      <c r="E123" s="58" t="str">
        <f t="shared" si="15"/>
        <v>n/a</v>
      </c>
      <c r="F123" s="58">
        <f t="shared" si="15"/>
        <v>-5.963927177047683</v>
      </c>
      <c r="G123" s="58" t="s">
        <v>31</v>
      </c>
      <c r="H123" s="58">
        <f t="shared" si="17"/>
        <v>7.279751112027888</v>
      </c>
      <c r="I123" s="58">
        <f t="shared" si="15"/>
        <v>-8.267226161846192</v>
      </c>
      <c r="J123" s="59">
        <f t="shared" si="15"/>
        <v>-1.567699604569893</v>
      </c>
    </row>
    <row r="124" ht="15" customHeight="1">
      <c r="B124" s="37" t="s">
        <v>138</v>
      </c>
      <c r="C124" s="58" t="s">
        <v>31</v>
      </c>
      <c r="D124" s="58" t="s">
        <v>31</v>
      </c>
      <c r="E124" s="58" t="s">
        <v>31</v>
      </c>
      <c r="F124" s="58" t="s">
        <v>31</v>
      </c>
      <c r="G124" s="58" t="s">
        <v>31</v>
      </c>
      <c r="H124" s="58" t="str">
        <f t="shared" si="16"/>
        <v>n/a</v>
      </c>
      <c r="I124" s="58" t="str">
        <f t="shared" si="16"/>
        <v>n/a</v>
      </c>
      <c r="J124" s="59">
        <f t="shared" si="16"/>
        <v>-8.51910183143588</v>
      </c>
    </row>
    <row r="125" ht="15" customHeight="1">
      <c r="B125" s="24" t="s">
        <v>189</v>
      </c>
      <c r="C125" s="9" t="s">
        <v>31</v>
      </c>
      <c r="D125" s="9" t="s">
        <v>31</v>
      </c>
      <c r="E125" s="9" t="s">
        <v>31</v>
      </c>
      <c r="F125" s="9">
        <f t="shared" si="34" ref="F125:J125">F116-E116</f>
        <v>-47</v>
      </c>
      <c r="G125" s="9" t="s">
        <v>31</v>
      </c>
      <c r="H125" s="9">
        <f>H116-F116</f>
        <v>83</v>
      </c>
      <c r="I125" s="9">
        <f t="shared" si="34"/>
        <v>-59</v>
      </c>
      <c r="J125" s="54">
        <f t="shared" si="34"/>
        <v>-6.2000000000000455</v>
      </c>
    </row>
    <row r="126" ht="15" customHeight="1">
      <c r="B126" s="37" t="s">
        <v>75</v>
      </c>
      <c r="C126" s="10" t="s">
        <v>31</v>
      </c>
      <c r="D126" s="10" t="s">
        <v>31</v>
      </c>
      <c r="E126" s="10" t="s">
        <v>31</v>
      </c>
      <c r="F126" s="10" t="s">
        <v>31</v>
      </c>
      <c r="G126" s="10" t="s">
        <v>31</v>
      </c>
      <c r="H126" s="10" t="str">
        <f t="shared" si="0"/>
        <v>n/a</v>
      </c>
      <c r="I126" s="10" t="str">
        <f t="shared" si="0"/>
        <v>n/a</v>
      </c>
      <c r="J126" s="38" t="str">
        <f t="shared" si="0"/>
        <v>n/a</v>
      </c>
    </row>
    <row r="127" ht="15" customHeight="1">
      <c r="B127" s="37" t="s">
        <v>92</v>
      </c>
      <c r="C127" s="50" t="s">
        <v>31</v>
      </c>
      <c r="D127" s="50" t="str">
        <f t="shared" si="1"/>
        <v>n/a</v>
      </c>
      <c r="E127" s="50" t="str">
        <f t="shared" si="1"/>
        <v>n/a</v>
      </c>
      <c r="F127" s="50" t="str">
        <f t="shared" si="1"/>
        <v>n/a</v>
      </c>
      <c r="G127" s="50" t="s">
        <v>31</v>
      </c>
      <c r="H127" s="50">
        <f t="shared" si="3"/>
        <v>130</v>
      </c>
      <c r="I127" s="50">
        <f t="shared" si="1"/>
        <v>-142</v>
      </c>
      <c r="J127" s="51">
        <f t="shared" si="1"/>
        <v>52.799999999999955</v>
      </c>
    </row>
    <row r="128" ht="15" customHeight="1">
      <c r="B128" s="24" t="s">
        <v>273</v>
      </c>
      <c r="C128" s="9" t="s">
        <v>31</v>
      </c>
      <c r="D128" s="9" t="s">
        <v>31</v>
      </c>
      <c r="E128" s="9" t="s">
        <v>31</v>
      </c>
      <c r="F128" s="12">
        <v>7</v>
      </c>
      <c r="G128" s="9" t="s">
        <v>31</v>
      </c>
      <c r="H128" s="12">
        <v>-9</v>
      </c>
      <c r="I128" s="12">
        <v>9</v>
      </c>
      <c r="J128" s="39">
        <v>5</v>
      </c>
      <c r="K128" s="40" t="s">
        <v>274</v>
      </c>
    </row>
    <row r="129" ht="15" customHeight="1">
      <c r="B129" s="37" t="s">
        <v>75</v>
      </c>
      <c r="C129" s="10" t="s">
        <v>31</v>
      </c>
      <c r="D129" s="10" t="s">
        <v>31</v>
      </c>
      <c r="E129" s="10" t="s">
        <v>31</v>
      </c>
      <c r="F129" s="10" t="s">
        <v>31</v>
      </c>
      <c r="G129" s="10" t="s">
        <v>31</v>
      </c>
      <c r="H129" s="10" t="str">
        <f t="shared" si="0"/>
        <v>n/a</v>
      </c>
      <c r="I129" s="10" t="str">
        <f t="shared" si="0"/>
        <v>n/a</v>
      </c>
      <c r="J129" s="38" t="str">
        <f t="shared" si="0"/>
        <v>n/a</v>
      </c>
    </row>
    <row r="130" ht="15" customHeight="1">
      <c r="B130" s="37" t="s">
        <v>92</v>
      </c>
      <c r="C130" s="50" t="s">
        <v>31</v>
      </c>
      <c r="D130" s="50" t="str">
        <f t="shared" si="1"/>
        <v>n/a</v>
      </c>
      <c r="E130" s="50" t="str">
        <f t="shared" si="1"/>
        <v>n/a</v>
      </c>
      <c r="F130" s="50" t="str">
        <f t="shared" si="1"/>
        <v>n/a</v>
      </c>
      <c r="G130" s="50" t="s">
        <v>31</v>
      </c>
      <c r="H130" s="50">
        <f t="shared" si="3"/>
        <v>-16</v>
      </c>
      <c r="I130" s="50">
        <f t="shared" si="1"/>
        <v>18</v>
      </c>
      <c r="J130" s="51">
        <f t="shared" si="1"/>
        <v>-4</v>
      </c>
    </row>
    <row r="131" ht="15" customHeight="1">
      <c r="B131" s="45" t="s">
        <v>275</v>
      </c>
      <c r="C131" s="60">
        <v>142</v>
      </c>
      <c r="D131" s="60">
        <v>81</v>
      </c>
      <c r="E131" s="60">
        <v>9</v>
      </c>
      <c r="F131" s="60">
        <v>55</v>
      </c>
      <c r="G131" s="41">
        <f t="shared" si="23"/>
        <v>287</v>
      </c>
      <c r="H131" s="60">
        <v>138</v>
      </c>
      <c r="I131" s="60">
        <v>71</v>
      </c>
      <c r="J131" s="42">
        <f>J94+J125+J128</f>
        <v>93.02499999999996</v>
      </c>
      <c r="K131" s="40" t="s">
        <v>191</v>
      </c>
    </row>
    <row r="132" ht="15" customHeight="1">
      <c r="B132" s="37" t="s">
        <v>75</v>
      </c>
      <c r="C132" s="10" t="s">
        <v>31</v>
      </c>
      <c r="D132" s="10" t="s">
        <v>31</v>
      </c>
      <c r="E132" s="10" t="s">
        <v>31</v>
      </c>
      <c r="F132" s="10" t="s">
        <v>31</v>
      </c>
      <c r="G132" s="10" t="s">
        <v>31</v>
      </c>
      <c r="H132" s="10">
        <f t="shared" si="0"/>
        <v>-0.028169014084507005</v>
      </c>
      <c r="I132" s="10">
        <f t="shared" si="0"/>
        <v>-0.12345679012345678</v>
      </c>
      <c r="J132" s="38">
        <f t="shared" si="0"/>
        <v>9.336111111111107</v>
      </c>
    </row>
    <row r="133" ht="15" customHeight="1">
      <c r="B133" s="37" t="s">
        <v>92</v>
      </c>
      <c r="C133" s="50" t="s">
        <v>31</v>
      </c>
      <c r="D133" s="50">
        <f t="shared" si="1"/>
        <v>-61</v>
      </c>
      <c r="E133" s="50">
        <f t="shared" si="1"/>
        <v>-72</v>
      </c>
      <c r="F133" s="50">
        <f t="shared" si="1"/>
        <v>46</v>
      </c>
      <c r="G133" s="50" t="s">
        <v>31</v>
      </c>
      <c r="H133" s="50">
        <f t="shared" si="3"/>
        <v>83</v>
      </c>
      <c r="I133" s="50">
        <f t="shared" si="1"/>
        <v>-67</v>
      </c>
      <c r="J133" s="51">
        <f t="shared" si="1"/>
        <v>22.024999999999963</v>
      </c>
    </row>
    <row r="134" ht="15" customHeight="1">
      <c r="B134" s="35" t="s">
        <v>193</v>
      </c>
    </row>
    <row r="135" ht="15" customHeight="1">
      <c r="B135" s="24" t="s">
        <v>88</v>
      </c>
      <c r="C135" s="9">
        <f t="shared" si="35" ref="C135:J135">C73</f>
        <v>884</v>
      </c>
      <c r="D135" s="9">
        <f t="shared" si="35"/>
        <v>937</v>
      </c>
      <c r="E135" s="9">
        <f t="shared" si="35"/>
        <v>904</v>
      </c>
      <c r="F135" s="9">
        <f t="shared" si="35"/>
        <v>930</v>
      </c>
      <c r="G135" s="9">
        <f t="shared" si="35"/>
        <v>3655</v>
      </c>
      <c r="H135" s="9">
        <f t="shared" si="35"/>
        <v>909</v>
      </c>
      <c r="I135" s="9">
        <f t="shared" si="35"/>
        <v>850</v>
      </c>
      <c r="J135" s="54">
        <f t="shared" si="35"/>
        <v>888.9830136986302</v>
      </c>
    </row>
    <row r="136" ht="15" customHeight="1">
      <c r="B136" s="37" t="s">
        <v>75</v>
      </c>
      <c r="C136" s="10" t="s">
        <v>31</v>
      </c>
      <c r="D136" s="10" t="s">
        <v>31</v>
      </c>
      <c r="E136" s="10" t="s">
        <v>31</v>
      </c>
      <c r="F136" s="10" t="s">
        <v>31</v>
      </c>
      <c r="G136" s="10" t="s">
        <v>31</v>
      </c>
      <c r="H136" s="10">
        <f t="shared" si="0"/>
        <v>0.02828054298642524</v>
      </c>
      <c r="I136" s="10">
        <f t="shared" si="0"/>
        <v>-0.09284951974386335</v>
      </c>
      <c r="J136" s="38">
        <f t="shared" si="0"/>
        <v>-0.016611710510364808</v>
      </c>
    </row>
    <row r="137" ht="15" customHeight="1">
      <c r="B137" s="37" t="s">
        <v>92</v>
      </c>
      <c r="C137" s="50" t="s">
        <v>31</v>
      </c>
      <c r="D137" s="50">
        <f t="shared" si="1"/>
        <v>53</v>
      </c>
      <c r="E137" s="50">
        <f t="shared" si="1"/>
        <v>-33</v>
      </c>
      <c r="F137" s="50">
        <f t="shared" si="1"/>
        <v>26</v>
      </c>
      <c r="G137" s="50" t="s">
        <v>31</v>
      </c>
      <c r="H137" s="50">
        <f t="shared" si="3"/>
        <v>-21</v>
      </c>
      <c r="I137" s="50">
        <f t="shared" si="1"/>
        <v>-59</v>
      </c>
      <c r="J137" s="51">
        <f t="shared" si="1"/>
        <v>38.9830136986302</v>
      </c>
    </row>
    <row r="138" ht="15" customHeight="1">
      <c r="B138" s="24" t="s">
        <v>194</v>
      </c>
      <c r="C138" s="9">
        <f t="shared" si="8"/>
        <v>142</v>
      </c>
      <c r="D138" s="9">
        <f t="shared" si="8"/>
        <v>81</v>
      </c>
      <c r="E138" s="9">
        <f t="shared" si="8"/>
        <v>9</v>
      </c>
      <c r="F138" s="9">
        <f t="shared" si="8"/>
        <v>55</v>
      </c>
      <c r="G138" s="9">
        <f t="shared" si="8"/>
        <v>287</v>
      </c>
      <c r="H138" s="9">
        <f t="shared" si="8"/>
        <v>138</v>
      </c>
      <c r="I138" s="9">
        <f t="shared" si="8"/>
        <v>71</v>
      </c>
      <c r="J138" s="54">
        <f t="shared" si="8"/>
        <v>93.02499999999996</v>
      </c>
    </row>
    <row r="139" ht="15" customHeight="1">
      <c r="B139" s="37" t="s">
        <v>75</v>
      </c>
      <c r="C139" s="10" t="s">
        <v>31</v>
      </c>
      <c r="D139" s="10" t="s">
        <v>31</v>
      </c>
      <c r="E139" s="10" t="s">
        <v>31</v>
      </c>
      <c r="F139" s="10" t="s">
        <v>31</v>
      </c>
      <c r="G139" s="10" t="s">
        <v>31</v>
      </c>
      <c r="H139" s="10">
        <f t="shared" si="0"/>
        <v>-0.028169014084507005</v>
      </c>
      <c r="I139" s="10">
        <f t="shared" si="0"/>
        <v>-0.12345679012345678</v>
      </c>
      <c r="J139" s="38">
        <f t="shared" si="0"/>
        <v>9.336111111111107</v>
      </c>
    </row>
    <row r="140" ht="15" customHeight="1">
      <c r="B140" s="37" t="s">
        <v>92</v>
      </c>
      <c r="C140" s="50" t="s">
        <v>31</v>
      </c>
      <c r="D140" s="50">
        <f t="shared" si="1"/>
        <v>-61</v>
      </c>
      <c r="E140" s="50">
        <f t="shared" si="1"/>
        <v>-72</v>
      </c>
      <c r="F140" s="50">
        <f t="shared" si="1"/>
        <v>46</v>
      </c>
      <c r="G140" s="50" t="s">
        <v>31</v>
      </c>
      <c r="H140" s="50">
        <f t="shared" si="3"/>
        <v>83</v>
      </c>
      <c r="I140" s="50">
        <f t="shared" si="1"/>
        <v>-67</v>
      </c>
      <c r="J140" s="51">
        <f t="shared" si="1"/>
        <v>22.024999999999963</v>
      </c>
    </row>
    <row r="141" ht="15" customHeight="1">
      <c r="B141" s="24" t="s">
        <v>195</v>
      </c>
      <c r="C141" s="12">
        <v>486</v>
      </c>
      <c r="D141" s="12">
        <v>489</v>
      </c>
      <c r="E141" s="12">
        <v>520</v>
      </c>
      <c r="F141" s="12">
        <v>504</v>
      </c>
      <c r="G141" s="9">
        <f t="shared" si="23"/>
        <v>1999</v>
      </c>
      <c r="H141" s="12">
        <v>498</v>
      </c>
      <c r="I141" s="12">
        <v>462</v>
      </c>
      <c r="J141" s="54">
        <f>I141*(1+J144)</f>
        <v>471.24</v>
      </c>
      <c r="K141" s="40" t="s">
        <v>191</v>
      </c>
    </row>
    <row r="142" ht="15" customHeight="1">
      <c r="B142" s="37" t="s">
        <v>75</v>
      </c>
      <c r="C142" s="10" t="s">
        <v>31</v>
      </c>
      <c r="D142" s="10" t="s">
        <v>31</v>
      </c>
      <c r="E142" s="10" t="s">
        <v>31</v>
      </c>
      <c r="F142" s="10" t="s">
        <v>31</v>
      </c>
      <c r="G142" s="10" t="s">
        <v>31</v>
      </c>
      <c r="H142" s="10">
        <f t="shared" si="0"/>
        <v>0.024691358024691468</v>
      </c>
      <c r="I142" s="10">
        <f t="shared" si="0"/>
        <v>-0.05521472392638038</v>
      </c>
      <c r="J142" s="38">
        <f t="shared" si="0"/>
        <v>-0.09376923076923072</v>
      </c>
    </row>
    <row r="143" ht="15" customHeight="1">
      <c r="B143" s="37" t="s">
        <v>92</v>
      </c>
      <c r="C143" s="50" t="s">
        <v>31</v>
      </c>
      <c r="D143" s="50">
        <f t="shared" si="1"/>
        <v>3</v>
      </c>
      <c r="E143" s="50">
        <f t="shared" si="1"/>
        <v>31</v>
      </c>
      <c r="F143" s="50">
        <f t="shared" si="1"/>
        <v>-16</v>
      </c>
      <c r="G143" s="50" t="s">
        <v>31</v>
      </c>
      <c r="H143" s="50">
        <f t="shared" si="3"/>
        <v>-6</v>
      </c>
      <c r="I143" s="50">
        <f t="shared" si="1"/>
        <v>-36</v>
      </c>
      <c r="J143" s="51">
        <f t="shared" si="1"/>
        <v>9.240000000000009</v>
      </c>
    </row>
    <row r="144" ht="15" customHeight="1">
      <c r="B144" s="37" t="s">
        <v>196</v>
      </c>
      <c r="C144" s="10" t="s">
        <v>31</v>
      </c>
      <c r="D144" s="10">
        <f t="shared" si="36" ref="D144:I144">D141/C141-1</f>
        <v>0.006172839506172867</v>
      </c>
      <c r="E144" s="10">
        <f t="shared" si="36"/>
        <v>0.0633946830265848</v>
      </c>
      <c r="F144" s="10">
        <f t="shared" si="36"/>
        <v>-0.03076923076923077</v>
      </c>
      <c r="G144" s="10" t="s">
        <v>31</v>
      </c>
      <c r="H144" s="10">
        <f>H141/F141-1</f>
        <v>-0.011904761904761862</v>
      </c>
      <c r="I144" s="10">
        <f t="shared" si="36"/>
        <v>-0.07228915662650603</v>
      </c>
      <c r="J144" s="56">
        <v>0.02</v>
      </c>
      <c r="K144" s="40" t="s">
        <v>136</v>
      </c>
    </row>
    <row r="145" ht="15" customHeight="1">
      <c r="B145" s="57" t="s">
        <v>137</v>
      </c>
      <c r="C145" s="58" t="s">
        <v>31</v>
      </c>
      <c r="D145" s="58" t="str">
        <f t="shared" si="15"/>
        <v>n/a</v>
      </c>
      <c r="E145" s="58">
        <f t="shared" si="15"/>
        <v>572.2184352041193</v>
      </c>
      <c r="F145" s="58">
        <f t="shared" si="15"/>
        <v>-941.6391379581556</v>
      </c>
      <c r="G145" s="58" t="s">
        <v>31</v>
      </c>
      <c r="H145" s="58">
        <f t="shared" si="17"/>
        <v>188.6446886446891</v>
      </c>
      <c r="I145" s="58">
        <f t="shared" si="15"/>
        <v>-603.8439472174417</v>
      </c>
      <c r="J145" s="59">
        <f t="shared" si="15"/>
        <v>922.8915662650604</v>
      </c>
    </row>
    <row r="146" ht="15" customHeight="1">
      <c r="B146" s="57" t="s">
        <v>138</v>
      </c>
      <c r="C146" s="58" t="s">
        <v>31</v>
      </c>
      <c r="D146" s="58" t="s">
        <v>31</v>
      </c>
      <c r="E146" s="58" t="s">
        <v>31</v>
      </c>
      <c r="F146" s="58" t="s">
        <v>31</v>
      </c>
      <c r="G146" s="58" t="s">
        <v>31</v>
      </c>
      <c r="H146" s="58" t="str">
        <f t="shared" si="16"/>
        <v>n/a</v>
      </c>
      <c r="I146" s="58">
        <f t="shared" si="16"/>
        <v>-784.619961326789</v>
      </c>
      <c r="J146" s="59">
        <f t="shared" si="16"/>
        <v>-433.94683026584795</v>
      </c>
    </row>
    <row r="147" ht="15" customHeight="1">
      <c r="B147" s="37" t="s">
        <v>75</v>
      </c>
      <c r="C147" s="10" t="s">
        <v>31</v>
      </c>
      <c r="D147" s="10" t="s">
        <v>31</v>
      </c>
      <c r="E147" s="10" t="s">
        <v>31</v>
      </c>
      <c r="F147" s="10" t="s">
        <v>31</v>
      </c>
      <c r="G147" s="10" t="s">
        <v>31</v>
      </c>
      <c r="H147" s="10">
        <f t="shared" si="19"/>
        <v>0.024691358024691468</v>
      </c>
      <c r="I147" s="10">
        <f t="shared" si="19"/>
        <v>-0.05521472392638038</v>
      </c>
      <c r="J147" s="38">
        <f t="shared" si="19"/>
        <v>-0.09376923076923072</v>
      </c>
    </row>
    <row r="148" ht="15" customHeight="1">
      <c r="B148" s="37" t="s">
        <v>92</v>
      </c>
      <c r="C148" s="50" t="s">
        <v>31</v>
      </c>
      <c r="D148" s="50">
        <f t="shared" si="20"/>
        <v>3</v>
      </c>
      <c r="E148" s="50">
        <f t="shared" si="20"/>
        <v>31</v>
      </c>
      <c r="F148" s="50">
        <f t="shared" si="20"/>
        <v>-16</v>
      </c>
      <c r="G148" s="50" t="s">
        <v>31</v>
      </c>
      <c r="H148" s="50">
        <f t="shared" si="37"/>
        <v>-6</v>
      </c>
      <c r="I148" s="50">
        <f t="shared" si="20"/>
        <v>-36</v>
      </c>
      <c r="J148" s="51">
        <f t="shared" si="20"/>
        <v>9.240000000000009</v>
      </c>
    </row>
    <row r="149" ht="15" customHeight="1">
      <c r="B149" s="4" t="s">
        <v>197</v>
      </c>
      <c r="C149" s="41">
        <f t="shared" si="38" ref="C149:J149">C73-C131-C141</f>
        <v>256</v>
      </c>
      <c r="D149" s="41">
        <f t="shared" si="38"/>
        <v>367</v>
      </c>
      <c r="E149" s="41">
        <f t="shared" si="38"/>
        <v>375</v>
      </c>
      <c r="F149" s="41">
        <f t="shared" si="38"/>
        <v>371</v>
      </c>
      <c r="G149" s="41">
        <f t="shared" si="38"/>
        <v>1369</v>
      </c>
      <c r="H149" s="41">
        <f t="shared" si="38"/>
        <v>273</v>
      </c>
      <c r="I149" s="41">
        <f t="shared" si="38"/>
        <v>317</v>
      </c>
      <c r="J149" s="42">
        <f t="shared" si="38"/>
        <v>324.7180136986302</v>
      </c>
    </row>
    <row r="150" ht="15" customHeight="1">
      <c r="B150" s="43" t="s">
        <v>75</v>
      </c>
      <c r="C150" s="10" t="s">
        <v>31</v>
      </c>
      <c r="D150" s="10" t="s">
        <v>31</v>
      </c>
      <c r="E150" s="10" t="s">
        <v>31</v>
      </c>
      <c r="F150" s="10" t="s">
        <v>31</v>
      </c>
      <c r="G150" s="10" t="s">
        <v>31</v>
      </c>
      <c r="H150" s="10">
        <f t="shared" si="0"/>
        <v>0.06640625</v>
      </c>
      <c r="I150" s="10">
        <f t="shared" si="0"/>
        <v>-0.1362397820163488</v>
      </c>
      <c r="J150" s="38">
        <f t="shared" si="0"/>
        <v>-0.13408529680365278</v>
      </c>
    </row>
    <row r="151" ht="15" customHeight="1">
      <c r="B151" s="43" t="s">
        <v>92</v>
      </c>
      <c r="C151" s="50" t="s">
        <v>31</v>
      </c>
      <c r="D151" s="50">
        <f t="shared" si="1"/>
        <v>111</v>
      </c>
      <c r="E151" s="50">
        <f t="shared" si="1"/>
        <v>8</v>
      </c>
      <c r="F151" s="50">
        <f t="shared" si="1"/>
        <v>-4</v>
      </c>
      <c r="G151" s="50" t="s">
        <v>31</v>
      </c>
      <c r="H151" s="50">
        <f t="shared" si="3"/>
        <v>-98</v>
      </c>
      <c r="I151" s="50">
        <f t="shared" si="1"/>
        <v>44</v>
      </c>
      <c r="J151" s="51">
        <f t="shared" si="1"/>
        <v>7.718013698630216</v>
      </c>
    </row>
    <row r="152" ht="15" customHeight="1">
      <c r="B152" s="24" t="s">
        <v>198</v>
      </c>
      <c r="C152" s="12">
        <v>61</v>
      </c>
      <c r="D152" s="12">
        <v>87</v>
      </c>
      <c r="E152" s="12">
        <v>89</v>
      </c>
      <c r="F152" s="12">
        <v>89</v>
      </c>
      <c r="G152" s="9">
        <f t="shared" si="23"/>
        <v>326</v>
      </c>
      <c r="H152" s="12">
        <v>67</v>
      </c>
      <c r="I152" s="12">
        <v>78</v>
      </c>
      <c r="J152" s="54">
        <f>J149*J155</f>
        <v>79.5559133561644</v>
      </c>
      <c r="K152" s="40" t="s">
        <v>191</v>
      </c>
    </row>
    <row r="153" ht="15" customHeight="1">
      <c r="B153" s="37" t="s">
        <v>75</v>
      </c>
      <c r="C153" s="10" t="s">
        <v>31</v>
      </c>
      <c r="D153" s="10" t="s">
        <v>31</v>
      </c>
      <c r="E153" s="10" t="s">
        <v>31</v>
      </c>
      <c r="F153" s="10" t="s">
        <v>31</v>
      </c>
      <c r="G153" s="10" t="s">
        <v>31</v>
      </c>
      <c r="H153" s="10">
        <f t="shared" si="0"/>
        <v>0.09836065573770503</v>
      </c>
      <c r="I153" s="10">
        <f t="shared" si="0"/>
        <v>-0.10344827586206895</v>
      </c>
      <c r="J153" s="38">
        <f t="shared" si="0"/>
        <v>-0.10611333307680448</v>
      </c>
    </row>
    <row r="154" ht="15" customHeight="1">
      <c r="B154" s="37" t="s">
        <v>92</v>
      </c>
      <c r="C154" s="50" t="s">
        <v>31</v>
      </c>
      <c r="D154" s="50">
        <f t="shared" si="1"/>
        <v>26</v>
      </c>
      <c r="E154" s="50">
        <f t="shared" si="1"/>
        <v>2</v>
      </c>
      <c r="F154" s="50">
        <f t="shared" si="1"/>
        <v>0</v>
      </c>
      <c r="G154" s="50" t="s">
        <v>31</v>
      </c>
      <c r="H154" s="50">
        <f t="shared" si="3"/>
        <v>-22</v>
      </c>
      <c r="I154" s="50">
        <f t="shared" si="1"/>
        <v>11</v>
      </c>
      <c r="J154" s="51">
        <f t="shared" si="1"/>
        <v>1.555913356164396</v>
      </c>
    </row>
    <row r="155" ht="15" customHeight="1">
      <c r="B155" s="37" t="s">
        <v>199</v>
      </c>
      <c r="C155" s="10">
        <f t="shared" si="39" ref="C155:I155">C152/C149</f>
        <v>0.23828125</v>
      </c>
      <c r="D155" s="10">
        <f t="shared" si="39"/>
        <v>0.23705722070844687</v>
      </c>
      <c r="E155" s="10">
        <f t="shared" si="39"/>
        <v>0.23733333333333334</v>
      </c>
      <c r="F155" s="10">
        <f t="shared" si="39"/>
        <v>0.2398921832884097</v>
      </c>
      <c r="G155" s="10">
        <f t="shared" si="39"/>
        <v>0.2381300219138057</v>
      </c>
      <c r="H155" s="10">
        <f t="shared" si="39"/>
        <v>0.2454212454212454</v>
      </c>
      <c r="I155" s="10">
        <f t="shared" si="39"/>
        <v>0.24605678233438485</v>
      </c>
      <c r="J155" s="56">
        <v>0.245</v>
      </c>
      <c r="K155" s="40" t="s">
        <v>136</v>
      </c>
    </row>
    <row r="156" ht="15" customHeight="1">
      <c r="B156" s="57" t="s">
        <v>137</v>
      </c>
      <c r="C156" s="58" t="s">
        <v>31</v>
      </c>
      <c r="D156" s="58">
        <f t="shared" si="15"/>
        <v>-12.240292915531302</v>
      </c>
      <c r="E156" s="58">
        <f t="shared" si="15"/>
        <v>2.7611262488647093</v>
      </c>
      <c r="F156" s="58">
        <f t="shared" si="15"/>
        <v>25.588499550763533</v>
      </c>
      <c r="G156" s="58" t="s">
        <v>31</v>
      </c>
      <c r="H156" s="58">
        <f t="shared" si="17"/>
        <v>55.29062132835716</v>
      </c>
      <c r="I156" s="58">
        <f t="shared" si="15"/>
        <v>6.3553691313944505</v>
      </c>
      <c r="J156" s="59">
        <f t="shared" si="15"/>
        <v>-10.567823343848593</v>
      </c>
    </row>
    <row r="157" ht="15" customHeight="1">
      <c r="B157" s="57" t="s">
        <v>138</v>
      </c>
      <c r="C157" s="58" t="s">
        <v>31</v>
      </c>
      <c r="D157" s="58" t="s">
        <v>31</v>
      </c>
      <c r="E157" s="58" t="s">
        <v>31</v>
      </c>
      <c r="F157" s="58" t="s">
        <v>31</v>
      </c>
      <c r="G157" s="58" t="s">
        <v>31</v>
      </c>
      <c r="H157" s="58">
        <f t="shared" si="16"/>
        <v>71.39995421245409</v>
      </c>
      <c r="I157" s="58">
        <f t="shared" si="16"/>
        <v>89.99561625937986</v>
      </c>
      <c r="J157" s="59">
        <f t="shared" si="16"/>
        <v>76.66666666666654</v>
      </c>
    </row>
    <row r="158" ht="15" customHeight="1">
      <c r="B158" s="4" t="s">
        <v>200</v>
      </c>
      <c r="C158" s="41">
        <f t="shared" si="40" ref="C158:J158">C149-C152</f>
        <v>195</v>
      </c>
      <c r="D158" s="41">
        <f t="shared" si="40"/>
        <v>280</v>
      </c>
      <c r="E158" s="41">
        <f t="shared" si="40"/>
        <v>286</v>
      </c>
      <c r="F158" s="41">
        <f t="shared" si="40"/>
        <v>282</v>
      </c>
      <c r="G158" s="41">
        <f t="shared" si="40"/>
        <v>1043</v>
      </c>
      <c r="H158" s="41">
        <f t="shared" si="40"/>
        <v>206</v>
      </c>
      <c r="I158" s="41">
        <f t="shared" si="40"/>
        <v>239</v>
      </c>
      <c r="J158" s="42">
        <f t="shared" si="40"/>
        <v>245.1621003424658</v>
      </c>
    </row>
    <row r="159" ht="15" customHeight="1">
      <c r="B159" s="37" t="s">
        <v>75</v>
      </c>
      <c r="C159" s="10" t="s">
        <v>31</v>
      </c>
      <c r="D159" s="10" t="s">
        <v>31</v>
      </c>
      <c r="E159" s="10" t="s">
        <v>31</v>
      </c>
      <c r="F159" s="10" t="s">
        <v>31</v>
      </c>
      <c r="G159" s="10" t="s">
        <v>31</v>
      </c>
      <c r="H159" s="10">
        <f t="shared" si="0"/>
        <v>0.05641025641025643</v>
      </c>
      <c r="I159" s="10">
        <f t="shared" si="0"/>
        <v>-0.14642857142857146</v>
      </c>
      <c r="J159" s="38">
        <f t="shared" si="0"/>
        <v>-0.14278985894242724</v>
      </c>
    </row>
    <row r="160" ht="15" customHeight="1">
      <c r="B160" s="43" t="s">
        <v>92</v>
      </c>
      <c r="C160" s="50" t="s">
        <v>31</v>
      </c>
      <c r="D160" s="50">
        <f t="shared" si="1"/>
        <v>85</v>
      </c>
      <c r="E160" s="50">
        <f t="shared" si="1"/>
        <v>6</v>
      </c>
      <c r="F160" s="50">
        <f t="shared" si="1"/>
        <v>-4</v>
      </c>
      <c r="G160" s="50" t="s">
        <v>31</v>
      </c>
      <c r="H160" s="50">
        <f t="shared" si="3"/>
        <v>-76</v>
      </c>
      <c r="I160" s="50">
        <f t="shared" si="1"/>
        <v>33</v>
      </c>
      <c r="J160" s="51">
        <f t="shared" si="1"/>
        <v>6.162100342465806</v>
      </c>
    </row>
    <row r="161" ht="15" customHeight="1">
      <c r="B161" s="43" t="s">
        <v>39</v>
      </c>
      <c r="C161" s="10">
        <f t="shared" si="41" ref="C161:J161">C141/C73</f>
        <v>0.5497737556561086</v>
      </c>
      <c r="D161" s="10">
        <f t="shared" si="41"/>
        <v>0.5218783351120597</v>
      </c>
      <c r="E161" s="10">
        <f t="shared" si="41"/>
        <v>0.5752212389380531</v>
      </c>
      <c r="F161" s="10">
        <f t="shared" si="41"/>
        <v>0.5419354838709678</v>
      </c>
      <c r="G161" s="10">
        <f t="shared" si="41"/>
        <v>0.546922024623803</v>
      </c>
      <c r="H161" s="10">
        <f t="shared" si="41"/>
        <v>0.5478547854785478</v>
      </c>
      <c r="I161" s="10">
        <f t="shared" si="41"/>
        <v>0.5435294117647059</v>
      </c>
      <c r="J161" s="38">
        <f t="shared" si="41"/>
        <v>0.5300888686718516</v>
      </c>
    </row>
    <row r="162" ht="15" customHeight="1">
      <c r="B162" s="37" t="s">
        <v>137</v>
      </c>
      <c r="C162" s="58" t="s">
        <v>31</v>
      </c>
      <c r="D162" s="58">
        <f t="shared" si="15"/>
        <v>-278.9542054404892</v>
      </c>
      <c r="E162" s="58">
        <f t="shared" si="15"/>
        <v>533.4290382599338</v>
      </c>
      <c r="F162" s="58">
        <f t="shared" si="15"/>
        <v>-332.8575506708531</v>
      </c>
      <c r="G162" s="58" t="s">
        <v>31</v>
      </c>
      <c r="H162" s="58">
        <f t="shared" si="17"/>
        <v>59.1930160758003</v>
      </c>
      <c r="I162" s="58">
        <f t="shared" si="15"/>
        <v>-43.253737138418956</v>
      </c>
      <c r="J162" s="59">
        <f t="shared" si="15"/>
        <v>-134.40543092854364</v>
      </c>
    </row>
    <row r="163" ht="15" customHeight="1">
      <c r="B163" s="37" t="s">
        <v>138</v>
      </c>
      <c r="C163" s="58" t="s">
        <v>31</v>
      </c>
      <c r="D163" s="58" t="s">
        <v>31</v>
      </c>
      <c r="E163" s="58" t="s">
        <v>31</v>
      </c>
      <c r="F163" s="58" t="s">
        <v>31</v>
      </c>
      <c r="G163" s="58" t="s">
        <v>31</v>
      </c>
      <c r="H163" s="58">
        <f t="shared" si="16"/>
        <v>-19.189701775608192</v>
      </c>
      <c r="I163" s="58">
        <f t="shared" si="16"/>
        <v>216.51076652646205</v>
      </c>
      <c r="J163" s="59">
        <f t="shared" si="16"/>
        <v>-451.32370266201536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EF45FB8-CF58-1081-7F58-200DF6F2E912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10" width="12.00390625" customWidth="1"/>
    <col min="11" max="11" width="16.00390625" customWidth="1"/>
  </cols>
  <sheetData>
    <row r="1" ht="15" customHeight="1">
      <c r="B1" s="1" t="s">
        <v>0</v>
      </c>
    </row>
    <row r="2" ht="15" customHeight="1">
      <c r="B2" s="2" t="s">
        <v>276</v>
      </c>
    </row>
    <row r="3" ht="15" customHeight="1">
      <c r="B3" s="3" t="s">
        <v>2</v>
      </c>
    </row>
    <row r="4" ht="15" customHeight="1">
      <c r="B4" s="53" t="s">
        <v>100</v>
      </c>
    </row>
    <row r="5" ht="15" customHeight="1">
      <c r="B5" s="26" t="s">
        <v>55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7" t="s">
        <v>61</v>
      </c>
      <c r="I5" s="27" t="s">
        <v>62</v>
      </c>
      <c r="J5" s="28" t="s">
        <v>63</v>
      </c>
      <c r="K5" s="26" t="s">
        <v>64</v>
      </c>
    </row>
    <row r="6" ht="15" customHeight="1">
      <c r="B6" s="29" t="s">
        <v>65</v>
      </c>
      <c r="C6" s="30">
        <v>45747</v>
      </c>
      <c r="D6" s="30">
        <v>45838</v>
      </c>
      <c r="E6" s="30">
        <v>45930</v>
      </c>
      <c r="F6" s="30">
        <v>46022</v>
      </c>
      <c r="G6" s="30">
        <v>46022</v>
      </c>
      <c r="H6" s="30">
        <v>46112</v>
      </c>
      <c r="I6" s="30">
        <v>46203</v>
      </c>
      <c r="J6" s="31">
        <v>46295</v>
      </c>
      <c r="K6" s="29"/>
    </row>
    <row r="7" ht="15" customHeight="1">
      <c r="B7" s="32" t="s">
        <v>66</v>
      </c>
      <c r="C7" s="33">
        <v>90</v>
      </c>
      <c r="D7" s="33">
        <v>91</v>
      </c>
      <c r="E7" s="33">
        <v>92</v>
      </c>
      <c r="F7" s="33">
        <v>92</v>
      </c>
      <c r="G7" s="33">
        <v>365</v>
      </c>
      <c r="H7" s="33">
        <v>90</v>
      </c>
      <c r="I7" s="33">
        <v>91</v>
      </c>
      <c r="J7" s="34">
        <v>92</v>
      </c>
      <c r="K7" s="32"/>
    </row>
    <row r="9" ht="15" customHeight="1">
      <c r="B9" s="35" t="s">
        <v>277</v>
      </c>
    </row>
    <row r="10" ht="15" customHeight="1">
      <c r="B10" s="24" t="s">
        <v>278</v>
      </c>
      <c r="C10" s="12">
        <v>10157</v>
      </c>
      <c r="D10" s="12">
        <v>12449</v>
      </c>
      <c r="E10" s="12">
        <v>15229</v>
      </c>
      <c r="F10" s="12">
        <v>15186</v>
      </c>
      <c r="G10" s="9">
        <f t="shared" si="2" ref="G10:G221">SUM(C10:F10)</f>
        <v>53021</v>
      </c>
      <c r="H10" s="12">
        <v>14735</v>
      </c>
      <c r="I10" s="12">
        <v>14911</v>
      </c>
      <c r="J10" s="36">
        <f>'Revenue summary'!J42+J35-J13-J16</f>
        <v>15282.052155251142</v>
      </c>
      <c r="K10" s="40" t="s">
        <v>279</v>
      </c>
    </row>
    <row r="11" ht="15" customHeight="1">
      <c r="B11" s="37" t="s">
        <v>75</v>
      </c>
      <c r="C11" s="10" t="s">
        <v>31</v>
      </c>
      <c r="D11" s="10" t="s">
        <v>31</v>
      </c>
      <c r="E11" s="10" t="s">
        <v>31</v>
      </c>
      <c r="F11" s="10" t="s">
        <v>31</v>
      </c>
      <c r="G11" s="10" t="s">
        <v>31</v>
      </c>
      <c r="H11" s="10">
        <f t="shared" si="0" ref="H11:J244">IF(AND(ISNUMBER(H10),ISNUMBER(C10)),IF(C10&gt;0,H10/C10-1,"n/m"),"n/a")</f>
        <v>0.4507236388697451</v>
      </c>
      <c r="I11" s="10">
        <f t="shared" si="0"/>
        <v>0.19776688890673944</v>
      </c>
      <c r="J11" s="38">
        <f t="shared" si="0"/>
        <v>0.003483626978208809</v>
      </c>
      <c r="K11" s="53" t="s">
        <v>104</v>
      </c>
    </row>
    <row r="12" ht="15" customHeight="1">
      <c r="B12" s="37" t="s">
        <v>92</v>
      </c>
      <c r="C12" s="50" t="s">
        <v>31</v>
      </c>
      <c r="D12" s="50">
        <f t="shared" si="1" ref="D12:J245">IF(AND(ISNUMBER(D10),ISNUMBER(C10)),D10-C10,"n/a")</f>
        <v>2292</v>
      </c>
      <c r="E12" s="50">
        <f t="shared" si="1"/>
        <v>2780</v>
      </c>
      <c r="F12" s="50">
        <f t="shared" si="1"/>
        <v>-43</v>
      </c>
      <c r="G12" s="50" t="s">
        <v>31</v>
      </c>
      <c r="H12" s="50">
        <f t="shared" si="3" ref="H12:H245">IF(AND(ISNUMBER(H10),ISNUMBER(F10)),H10-F10,"n/a")</f>
        <v>-451</v>
      </c>
      <c r="I12" s="50">
        <f t="shared" si="1"/>
        <v>176</v>
      </c>
      <c r="J12" s="51">
        <f t="shared" si="1"/>
        <v>371.0521552511418</v>
      </c>
    </row>
    <row r="13" ht="15" customHeight="1">
      <c r="B13" s="24" t="s">
        <v>280</v>
      </c>
      <c r="C13" s="12">
        <v>770</v>
      </c>
      <c r="D13" s="12">
        <v>784</v>
      </c>
      <c r="E13" s="12">
        <v>823</v>
      </c>
      <c r="F13" s="12">
        <v>841</v>
      </c>
      <c r="G13" s="9">
        <f t="shared" si="2"/>
        <v>3218</v>
      </c>
      <c r="H13" s="12">
        <v>832</v>
      </c>
      <c r="I13" s="12">
        <v>850</v>
      </c>
      <c r="J13" s="36">
        <f>'Balance Sheet'!J78*'Balance Sheet'!J106*J$7/365</f>
        <v>865.2410958904111</v>
      </c>
      <c r="K13" s="40" t="s">
        <v>281</v>
      </c>
    </row>
    <row r="14" ht="15" customHeight="1">
      <c r="B14" s="37" t="s">
        <v>75</v>
      </c>
      <c r="C14" s="10" t="s">
        <v>31</v>
      </c>
      <c r="D14" s="10" t="s">
        <v>31</v>
      </c>
      <c r="E14" s="10" t="s">
        <v>31</v>
      </c>
      <c r="F14" s="10" t="s">
        <v>31</v>
      </c>
      <c r="G14" s="10" t="s">
        <v>31</v>
      </c>
      <c r="H14" s="10">
        <f t="shared" si="0"/>
        <v>0.08051948051948044</v>
      </c>
      <c r="I14" s="10">
        <f t="shared" si="0"/>
        <v>0.08418367346938771</v>
      </c>
      <c r="J14" s="38">
        <f t="shared" si="0"/>
        <v>0.05132575442334275</v>
      </c>
    </row>
    <row r="15" ht="15" customHeight="1">
      <c r="B15" s="37" t="s">
        <v>92</v>
      </c>
      <c r="C15" s="50" t="s">
        <v>31</v>
      </c>
      <c r="D15" s="50">
        <f t="shared" si="1"/>
        <v>14</v>
      </c>
      <c r="E15" s="50">
        <f t="shared" si="1"/>
        <v>39</v>
      </c>
      <c r="F15" s="50">
        <f t="shared" si="1"/>
        <v>18</v>
      </c>
      <c r="G15" s="50" t="s">
        <v>31</v>
      </c>
      <c r="H15" s="50">
        <f t="shared" si="3"/>
        <v>-9</v>
      </c>
      <c r="I15" s="50">
        <f t="shared" si="1"/>
        <v>18</v>
      </c>
      <c r="J15" s="51">
        <f t="shared" si="1"/>
        <v>15.241095890411088</v>
      </c>
    </row>
    <row r="16" ht="15" customHeight="1">
      <c r="B16" s="24" t="s">
        <v>282</v>
      </c>
      <c r="C16" s="12">
        <v>491</v>
      </c>
      <c r="D16" s="12">
        <v>595</v>
      </c>
      <c r="E16" s="12">
        <v>711</v>
      </c>
      <c r="F16" s="12">
        <v>660</v>
      </c>
      <c r="G16" s="9">
        <f t="shared" si="2"/>
        <v>2457</v>
      </c>
      <c r="H16" s="12">
        <v>664</v>
      </c>
      <c r="I16" s="12">
        <v>624</v>
      </c>
      <c r="J16" s="36">
        <f>'Balance Sheet'!J81*'Balance Sheet'!J109*J$7/365</f>
        <v>530.7265753424657</v>
      </c>
      <c r="K16" s="40" t="s">
        <v>281</v>
      </c>
    </row>
    <row r="17" ht="15" customHeight="1">
      <c r="B17" s="37" t="s">
        <v>75</v>
      </c>
      <c r="C17" s="10" t="s">
        <v>31</v>
      </c>
      <c r="D17" s="10" t="s">
        <v>31</v>
      </c>
      <c r="E17" s="10" t="s">
        <v>31</v>
      </c>
      <c r="F17" s="10" t="s">
        <v>31</v>
      </c>
      <c r="G17" s="10" t="s">
        <v>31</v>
      </c>
      <c r="H17" s="10">
        <f t="shared" si="0"/>
        <v>0.3523421588594704</v>
      </c>
      <c r="I17" s="10">
        <f t="shared" si="0"/>
        <v>0.04873949579831938</v>
      </c>
      <c r="J17" s="38">
        <f t="shared" si="0"/>
        <v>-0.25354912047473177</v>
      </c>
    </row>
    <row r="18" ht="15" customHeight="1">
      <c r="B18" s="37" t="s">
        <v>92</v>
      </c>
      <c r="C18" s="50" t="s">
        <v>31</v>
      </c>
      <c r="D18" s="50">
        <f t="shared" si="1"/>
        <v>104</v>
      </c>
      <c r="E18" s="50">
        <f t="shared" si="1"/>
        <v>116</v>
      </c>
      <c r="F18" s="50">
        <f t="shared" si="1"/>
        <v>-51</v>
      </c>
      <c r="G18" s="50" t="s">
        <v>31</v>
      </c>
      <c r="H18" s="50">
        <f t="shared" si="3"/>
        <v>4</v>
      </c>
      <c r="I18" s="50">
        <f t="shared" si="1"/>
        <v>-40</v>
      </c>
      <c r="J18" s="51">
        <f t="shared" si="1"/>
        <v>-93.27342465753429</v>
      </c>
    </row>
    <row r="19" ht="15" customHeight="1">
      <c r="B19" s="4" t="s">
        <v>283</v>
      </c>
      <c r="C19" s="41">
        <f t="shared" si="4" ref="C19:J19">C10+C13+C16</f>
        <v>11418</v>
      </c>
      <c r="D19" s="41">
        <f t="shared" si="4"/>
        <v>13828</v>
      </c>
      <c r="E19" s="41">
        <f t="shared" si="4"/>
        <v>16763</v>
      </c>
      <c r="F19" s="41">
        <f t="shared" si="4"/>
        <v>16687</v>
      </c>
      <c r="G19" s="41">
        <f t="shared" si="4"/>
        <v>58696</v>
      </c>
      <c r="H19" s="41">
        <f t="shared" si="4"/>
        <v>16231</v>
      </c>
      <c r="I19" s="41">
        <f t="shared" si="4"/>
        <v>16385</v>
      </c>
      <c r="J19" s="42">
        <f t="shared" si="4"/>
        <v>16678.01982648402</v>
      </c>
    </row>
    <row r="20" ht="15" customHeight="1">
      <c r="B20" s="37" t="s">
        <v>75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>
        <f t="shared" si="0"/>
        <v>0.42152741285689266</v>
      </c>
      <c r="I20" s="10">
        <f t="shared" si="0"/>
        <v>0.18491466589528494</v>
      </c>
      <c r="J20" s="38">
        <f t="shared" si="0"/>
        <v>-0.005069508650956345</v>
      </c>
    </row>
    <row r="21" ht="15" customHeight="1">
      <c r="B21" s="43" t="s">
        <v>92</v>
      </c>
      <c r="C21" s="50" t="s">
        <v>31</v>
      </c>
      <c r="D21" s="50">
        <f t="shared" si="1"/>
        <v>2410</v>
      </c>
      <c r="E21" s="50">
        <f t="shared" si="1"/>
        <v>2935</v>
      </c>
      <c r="F21" s="50">
        <f t="shared" si="1"/>
        <v>-76</v>
      </c>
      <c r="G21" s="50" t="s">
        <v>31</v>
      </c>
      <c r="H21" s="50">
        <f t="shared" si="3"/>
        <v>-456</v>
      </c>
      <c r="I21" s="50">
        <f t="shared" si="1"/>
        <v>154</v>
      </c>
      <c r="J21" s="51">
        <f t="shared" si="1"/>
        <v>293.01982648401827</v>
      </c>
    </row>
    <row r="22" ht="15" customHeight="1">
      <c r="B22" s="35" t="s">
        <v>284</v>
      </c>
    </row>
    <row r="23" ht="15" customHeight="1">
      <c r="B23" s="24" t="s">
        <v>221</v>
      </c>
      <c r="C23" s="12">
        <v>2715</v>
      </c>
      <c r="D23" s="12">
        <v>3120</v>
      </c>
      <c r="E23" s="12">
        <v>3597</v>
      </c>
      <c r="F23" s="12">
        <v>3493</v>
      </c>
      <c r="G23" s="9">
        <f t="shared" si="2"/>
        <v>12925</v>
      </c>
      <c r="H23" s="12">
        <v>3387</v>
      </c>
      <c r="I23" s="12">
        <v>3338</v>
      </c>
      <c r="J23" s="36">
        <f>'Balance Sheet'!J87*'Balance Sheet'!J112*J$7/365</f>
        <v>3298.0109589041094</v>
      </c>
      <c r="K23" s="40" t="s">
        <v>281</v>
      </c>
    </row>
    <row r="24" ht="15" customHeight="1">
      <c r="B24" s="37" t="s">
        <v>75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>
        <f t="shared" si="0"/>
        <v>0.24751381215469603</v>
      </c>
      <c r="I24" s="10">
        <f t="shared" si="0"/>
        <v>0.06987179487179485</v>
      </c>
      <c r="J24" s="38">
        <f t="shared" si="0"/>
        <v>-0.08312177956516276</v>
      </c>
    </row>
    <row r="25" ht="15" customHeight="1">
      <c r="B25" s="37" t="s">
        <v>92</v>
      </c>
      <c r="C25" s="50" t="s">
        <v>31</v>
      </c>
      <c r="D25" s="50">
        <f t="shared" si="1"/>
        <v>405</v>
      </c>
      <c r="E25" s="50">
        <f t="shared" si="1"/>
        <v>477</v>
      </c>
      <c r="F25" s="50">
        <f t="shared" si="1"/>
        <v>-104</v>
      </c>
      <c r="G25" s="50" t="s">
        <v>31</v>
      </c>
      <c r="H25" s="50">
        <f t="shared" si="3"/>
        <v>-106</v>
      </c>
      <c r="I25" s="50">
        <f t="shared" si="1"/>
        <v>-49</v>
      </c>
      <c r="J25" s="51">
        <f t="shared" si="1"/>
        <v>-39.98904109589057</v>
      </c>
    </row>
    <row r="26" ht="15" customHeight="1">
      <c r="B26" s="24" t="s">
        <v>285</v>
      </c>
      <c r="C26" s="12">
        <v>176</v>
      </c>
      <c r="D26" s="12">
        <v>164</v>
      </c>
      <c r="E26" s="12">
        <v>165</v>
      </c>
      <c r="F26" s="12">
        <v>155</v>
      </c>
      <c r="G26" s="9">
        <f t="shared" si="2"/>
        <v>660</v>
      </c>
      <c r="H26" s="12">
        <v>141</v>
      </c>
      <c r="I26" s="12">
        <v>117</v>
      </c>
      <c r="J26" s="36">
        <f>'Balance Sheet'!J90*'Balance Sheet'!J115*J$7/365</f>
        <v>99.71287671232876</v>
      </c>
      <c r="K26" s="40" t="s">
        <v>281</v>
      </c>
    </row>
    <row r="27" ht="15" customHeight="1">
      <c r="B27" s="37" t="s">
        <v>75</v>
      </c>
      <c r="C27" s="10" t="s">
        <v>31</v>
      </c>
      <c r="D27" s="10" t="s">
        <v>31</v>
      </c>
      <c r="E27" s="10" t="s">
        <v>31</v>
      </c>
      <c r="F27" s="10" t="s">
        <v>31</v>
      </c>
      <c r="G27" s="10" t="s">
        <v>31</v>
      </c>
      <c r="H27" s="10">
        <f t="shared" si="0"/>
        <v>-0.19886363636363635</v>
      </c>
      <c r="I27" s="10">
        <f t="shared" si="0"/>
        <v>-0.28658536585365857</v>
      </c>
      <c r="J27" s="38">
        <f t="shared" si="0"/>
        <v>-0.3956795350767953</v>
      </c>
    </row>
    <row r="28" ht="15" customHeight="1">
      <c r="B28" s="37" t="s">
        <v>92</v>
      </c>
      <c r="C28" s="50" t="s">
        <v>31</v>
      </c>
      <c r="D28" s="50">
        <f t="shared" si="1"/>
        <v>-12</v>
      </c>
      <c r="E28" s="50">
        <f t="shared" si="1"/>
        <v>1</v>
      </c>
      <c r="F28" s="50">
        <f t="shared" si="1"/>
        <v>-10</v>
      </c>
      <c r="G28" s="50" t="s">
        <v>31</v>
      </c>
      <c r="H28" s="50">
        <f t="shared" si="3"/>
        <v>-14</v>
      </c>
      <c r="I28" s="50">
        <f t="shared" si="1"/>
        <v>-24</v>
      </c>
      <c r="J28" s="51">
        <f t="shared" si="1"/>
        <v>-17.287123287671236</v>
      </c>
    </row>
    <row r="29" ht="15" customHeight="1">
      <c r="B29" s="24" t="s">
        <v>286</v>
      </c>
      <c r="C29" s="12">
        <v>505</v>
      </c>
      <c r="D29" s="12">
        <v>535</v>
      </c>
      <c r="E29" s="12">
        <v>582</v>
      </c>
      <c r="F29" s="12">
        <v>550</v>
      </c>
      <c r="G29" s="9">
        <f t="shared" si="2"/>
        <v>2172</v>
      </c>
      <c r="H29" s="12">
        <v>532</v>
      </c>
      <c r="I29" s="12">
        <v>535</v>
      </c>
      <c r="J29" s="36">
        <f>'Balance Sheet'!J93*'Balance Sheet'!J118*J$7/365</f>
        <v>523.356493150685</v>
      </c>
      <c r="K29" s="40" t="s">
        <v>281</v>
      </c>
    </row>
    <row r="30" ht="15" customHeight="1">
      <c r="B30" s="37" t="s">
        <v>75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>
        <f t="shared" si="0"/>
        <v>0.05346534653465351</v>
      </c>
      <c r="I30" s="10">
        <f t="shared" si="0"/>
        <v>0</v>
      </c>
      <c r="J30" s="38">
        <f t="shared" si="0"/>
        <v>-0.1007620392599915</v>
      </c>
    </row>
    <row r="31" ht="15" customHeight="1">
      <c r="B31" s="37" t="s">
        <v>92</v>
      </c>
      <c r="C31" s="50" t="s">
        <v>31</v>
      </c>
      <c r="D31" s="50">
        <f t="shared" si="1"/>
        <v>30</v>
      </c>
      <c r="E31" s="50">
        <f t="shared" si="1"/>
        <v>47</v>
      </c>
      <c r="F31" s="50">
        <f t="shared" si="1"/>
        <v>-32</v>
      </c>
      <c r="G31" s="50" t="s">
        <v>31</v>
      </c>
      <c r="H31" s="50">
        <f t="shared" si="3"/>
        <v>-18</v>
      </c>
      <c r="I31" s="50">
        <f t="shared" si="1"/>
        <v>3</v>
      </c>
      <c r="J31" s="51">
        <f t="shared" si="1"/>
        <v>-11.643506849315031</v>
      </c>
    </row>
    <row r="32" ht="15" customHeight="1">
      <c r="B32" s="24" t="s">
        <v>287</v>
      </c>
      <c r="C32" s="12">
        <v>9</v>
      </c>
      <c r="D32" s="12">
        <v>14</v>
      </c>
      <c r="E32" s="12">
        <v>15</v>
      </c>
      <c r="F32" s="12">
        <v>23</v>
      </c>
      <c r="G32" s="9">
        <f t="shared" si="2"/>
        <v>61</v>
      </c>
      <c r="H32" s="12">
        <v>26</v>
      </c>
      <c r="I32" s="12">
        <v>21</v>
      </c>
      <c r="J32" s="36">
        <f>'Balance Sheet'!J96*'Balance Sheet'!J121*J$7/365</f>
        <v>21.55068493150685</v>
      </c>
      <c r="K32" s="40" t="s">
        <v>281</v>
      </c>
    </row>
    <row r="33" ht="15" customHeight="1">
      <c r="B33" s="37" t="s">
        <v>75</v>
      </c>
      <c r="C33" s="10" t="s">
        <v>31</v>
      </c>
      <c r="D33" s="10" t="s">
        <v>31</v>
      </c>
      <c r="E33" s="10" t="s">
        <v>31</v>
      </c>
      <c r="F33" s="10" t="s">
        <v>31</v>
      </c>
      <c r="G33" s="10" t="s">
        <v>31</v>
      </c>
      <c r="H33" s="10">
        <f t="shared" si="0"/>
        <v>1.8888888888888888</v>
      </c>
      <c r="I33" s="10">
        <f t="shared" si="0"/>
        <v>0.5</v>
      </c>
      <c r="J33" s="38">
        <f t="shared" si="0"/>
        <v>0.4367123287671233</v>
      </c>
    </row>
    <row r="34" ht="15" customHeight="1">
      <c r="B34" s="37" t="s">
        <v>92</v>
      </c>
      <c r="C34" s="50" t="s">
        <v>31</v>
      </c>
      <c r="D34" s="50">
        <f t="shared" si="1"/>
        <v>5</v>
      </c>
      <c r="E34" s="50">
        <f t="shared" si="1"/>
        <v>1</v>
      </c>
      <c r="F34" s="50">
        <f t="shared" si="1"/>
        <v>8</v>
      </c>
      <c r="G34" s="50" t="s">
        <v>31</v>
      </c>
      <c r="H34" s="50">
        <f t="shared" si="3"/>
        <v>3</v>
      </c>
      <c r="I34" s="50">
        <f t="shared" si="1"/>
        <v>-5</v>
      </c>
      <c r="J34" s="51">
        <f t="shared" si="1"/>
        <v>0.5506849315068507</v>
      </c>
    </row>
    <row r="35" ht="15" customHeight="1">
      <c r="B35" s="4" t="s">
        <v>288</v>
      </c>
      <c r="C35" s="41">
        <f t="shared" si="5" ref="C35:J35">C23+C26+C29+C32</f>
        <v>3405</v>
      </c>
      <c r="D35" s="41">
        <f t="shared" si="5"/>
        <v>3833</v>
      </c>
      <c r="E35" s="41">
        <f t="shared" si="5"/>
        <v>4359</v>
      </c>
      <c r="F35" s="41">
        <f t="shared" si="5"/>
        <v>4221</v>
      </c>
      <c r="G35" s="41">
        <f t="shared" si="5"/>
        <v>15818</v>
      </c>
      <c r="H35" s="41">
        <f t="shared" si="5"/>
        <v>4086</v>
      </c>
      <c r="I35" s="41">
        <f t="shared" si="5"/>
        <v>4011</v>
      </c>
      <c r="J35" s="42">
        <f t="shared" si="5"/>
        <v>3942.63101369863</v>
      </c>
    </row>
    <row r="36" ht="15" customHeight="1">
      <c r="B36" s="37" t="s">
        <v>75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>
        <f t="shared" si="0"/>
        <v>0.19999999999999996</v>
      </c>
      <c r="I36" s="10">
        <f t="shared" si="0"/>
        <v>0.046438820767023214</v>
      </c>
      <c r="J36" s="38">
        <f t="shared" si="0"/>
        <v>-0.09551938203747878</v>
      </c>
    </row>
    <row r="37" ht="15" customHeight="1">
      <c r="B37" s="43" t="s">
        <v>92</v>
      </c>
      <c r="C37" s="50" t="s">
        <v>31</v>
      </c>
      <c r="D37" s="50">
        <f t="shared" si="1"/>
        <v>428</v>
      </c>
      <c r="E37" s="50">
        <f t="shared" si="1"/>
        <v>526</v>
      </c>
      <c r="F37" s="50">
        <f t="shared" si="1"/>
        <v>-138</v>
      </c>
      <c r="G37" s="50" t="s">
        <v>31</v>
      </c>
      <c r="H37" s="50">
        <f t="shared" si="3"/>
        <v>-135</v>
      </c>
      <c r="I37" s="50">
        <f t="shared" si="1"/>
        <v>-75</v>
      </c>
      <c r="J37" s="51">
        <f t="shared" si="1"/>
        <v>-68.36898630137011</v>
      </c>
    </row>
    <row r="38" ht="15" customHeight="1">
      <c r="B38" s="4" t="s">
        <v>227</v>
      </c>
      <c r="C38" s="41">
        <f t="shared" si="6" ref="C38:J38">C19-C35</f>
        <v>8013</v>
      </c>
      <c r="D38" s="41">
        <f t="shared" si="6"/>
        <v>9995</v>
      </c>
      <c r="E38" s="41">
        <f t="shared" si="6"/>
        <v>12404</v>
      </c>
      <c r="F38" s="41">
        <f t="shared" si="6"/>
        <v>12466</v>
      </c>
      <c r="G38" s="41">
        <f t="shared" si="6"/>
        <v>42878</v>
      </c>
      <c r="H38" s="41">
        <f t="shared" si="6"/>
        <v>12145</v>
      </c>
      <c r="I38" s="41">
        <f t="shared" si="6"/>
        <v>12374</v>
      </c>
      <c r="J38" s="42">
        <f t="shared" si="6"/>
        <v>12735.388812785388</v>
      </c>
    </row>
    <row r="39" ht="15" customHeight="1">
      <c r="B39" s="37" t="s">
        <v>75</v>
      </c>
      <c r="C39" s="10" t="s">
        <v>31</v>
      </c>
      <c r="D39" s="10" t="s">
        <v>31</v>
      </c>
      <c r="E39" s="10" t="s">
        <v>31</v>
      </c>
      <c r="F39" s="10" t="s">
        <v>31</v>
      </c>
      <c r="G39" s="10" t="s">
        <v>31</v>
      </c>
      <c r="H39" s="10">
        <f t="shared" si="0"/>
        <v>0.5156620491700985</v>
      </c>
      <c r="I39" s="10">
        <f t="shared" si="0"/>
        <v>0.2380190095047523</v>
      </c>
      <c r="J39" s="38">
        <f t="shared" si="0"/>
        <v>0.02671628610007959</v>
      </c>
      <c r="K39" s="53" t="s">
        <v>104</v>
      </c>
    </row>
    <row r="40" ht="15" customHeight="1">
      <c r="B40" s="37" t="s">
        <v>69</v>
      </c>
      <c r="C40" s="10" t="s">
        <v>31</v>
      </c>
      <c r="D40" s="10">
        <f t="shared" si="7" ref="D40:J112">IF(AND(ISNUMBER(D38),ISNUMBER(C38)),IF(C38&gt;0,D38/C38-1,"n/m"),"n/a")</f>
        <v>0.24734805940346938</v>
      </c>
      <c r="E40" s="10">
        <f t="shared" si="7"/>
        <v>0.2410205102551275</v>
      </c>
      <c r="F40" s="10">
        <f t="shared" si="7"/>
        <v>0.004998387616897748</v>
      </c>
      <c r="G40" s="10" t="s">
        <v>31</v>
      </c>
      <c r="H40" s="10">
        <f t="shared" si="11" ref="H40:H112">IF(AND(ISNUMBER(H38),ISNUMBER(F38)),IF(F38&gt;0,H38/F38-1,"n/m"),"n/a")</f>
        <v>-0.02575004010909676</v>
      </c>
      <c r="I40" s="10">
        <f t="shared" si="7"/>
        <v>0.01885549608892556</v>
      </c>
      <c r="J40" s="38">
        <f t="shared" si="7"/>
        <v>0.02920549642681336</v>
      </c>
    </row>
    <row r="41" ht="15" customHeight="1">
      <c r="B41" s="37" t="s">
        <v>71</v>
      </c>
      <c r="C41" s="10" t="s">
        <v>31</v>
      </c>
      <c r="D41" s="10" t="s">
        <v>31</v>
      </c>
      <c r="E41" s="10" t="s">
        <v>31</v>
      </c>
      <c r="F41" s="10" t="s">
        <v>31</v>
      </c>
      <c r="G41" s="10" t="s">
        <v>31</v>
      </c>
      <c r="H41" s="10">
        <f t="shared" si="8" ref="H41:J78">IF(AND(ISNUMBER(H38),ISNUMBER(C38)),IF(C38&gt;0,H38/C38-1,"n/m"),"n/a")</f>
        <v>0.5156620491700985</v>
      </c>
      <c r="I41" s="10">
        <f t="shared" si="8"/>
        <v>0.2380190095047523</v>
      </c>
      <c r="J41" s="38">
        <f t="shared" si="8"/>
        <v>0.02671628610007959</v>
      </c>
    </row>
    <row r="42" ht="15" customHeight="1">
      <c r="B42" s="37" t="s">
        <v>72</v>
      </c>
      <c r="C42" s="10" t="s">
        <v>31</v>
      </c>
      <c r="D42" s="10" t="s">
        <v>31</v>
      </c>
      <c r="E42" s="10" t="s">
        <v>31</v>
      </c>
      <c r="F42" s="10" t="s">
        <v>31</v>
      </c>
      <c r="G42" s="10" t="s">
        <v>31</v>
      </c>
      <c r="H42" s="10" t="s">
        <v>31</v>
      </c>
      <c r="I42" s="10" t="s">
        <v>31</v>
      </c>
      <c r="J42" s="38" t="s">
        <v>31</v>
      </c>
    </row>
    <row r="43" ht="15" customHeight="1">
      <c r="B43" s="37" t="s">
        <v>73</v>
      </c>
      <c r="C43" s="10" t="s">
        <v>31</v>
      </c>
      <c r="D43" s="10" t="s">
        <v>31</v>
      </c>
      <c r="E43" s="10" t="s">
        <v>31</v>
      </c>
      <c r="F43" s="10" t="s">
        <v>31</v>
      </c>
      <c r="G43" s="10" t="s">
        <v>31</v>
      </c>
      <c r="H43" s="10" t="s">
        <v>31</v>
      </c>
      <c r="I43" s="10" t="s">
        <v>31</v>
      </c>
      <c r="J43" s="38" t="s">
        <v>31</v>
      </c>
    </row>
    <row r="44" ht="15" customHeight="1">
      <c r="B44" s="37" t="s">
        <v>74</v>
      </c>
      <c r="C44" s="10" t="str">
        <f t="shared" si="9" ref="C44:J81">IF(AND(ISNUMBER(C41),ISNUMBER(C42),ISNUMBER(C43)),(1+C41)/((1+C42)*(1+C43))-1,"n/a")</f>
        <v>n/a</v>
      </c>
      <c r="D44" s="10" t="str">
        <f t="shared" si="9"/>
        <v>n/a</v>
      </c>
      <c r="E44" s="10" t="str">
        <f t="shared" si="9"/>
        <v>n/a</v>
      </c>
      <c r="F44" s="10" t="str">
        <f t="shared" si="9"/>
        <v>n/a</v>
      </c>
      <c r="G44" s="10" t="str">
        <f t="shared" si="9"/>
        <v>n/a</v>
      </c>
      <c r="H44" s="10" t="str">
        <f t="shared" si="9"/>
        <v>n/a</v>
      </c>
      <c r="I44" s="10" t="str">
        <f t="shared" si="9"/>
        <v>n/a</v>
      </c>
      <c r="J44" s="38" t="str">
        <f t="shared" si="9"/>
        <v>n/a</v>
      </c>
    </row>
    <row r="45" ht="15" customHeight="1">
      <c r="B45" s="43" t="s">
        <v>289</v>
      </c>
      <c r="C45" s="48">
        <f>C38-'Revenue summary'!C42</f>
        <v>0</v>
      </c>
      <c r="D45" s="48">
        <f>D38-'Revenue summary'!D42</f>
        <v>0</v>
      </c>
      <c r="E45" s="48">
        <f>E38-'Revenue summary'!E42</f>
        <v>0</v>
      </c>
      <c r="F45" s="48">
        <f>F38-'Revenue summary'!F42</f>
        <v>0</v>
      </c>
      <c r="G45" s="48">
        <f>G38-'Revenue summary'!G42</f>
        <v>0</v>
      </c>
      <c r="H45" s="48">
        <f>H38-'Revenue summary'!H42</f>
        <v>0</v>
      </c>
      <c r="I45" s="48">
        <f>I38-'Revenue summary'!I42</f>
        <v>0</v>
      </c>
      <c r="J45" s="49">
        <f>J38-'Revenue summary'!J42</f>
        <v>0</v>
      </c>
    </row>
    <row r="46" ht="15" customHeight="1">
      <c r="B46" s="35" t="s">
        <v>231</v>
      </c>
    </row>
    <row r="47" ht="15" customHeight="1">
      <c r="B47" s="24" t="s">
        <v>290</v>
      </c>
      <c r="C47" s="12">
        <v>1223</v>
      </c>
      <c r="D47" s="12">
        <v>1478</v>
      </c>
      <c r="E47" s="12">
        <v>1812</v>
      </c>
      <c r="F47" s="12">
        <v>1930</v>
      </c>
      <c r="G47" s="9">
        <f t="shared" si="2"/>
        <v>6443</v>
      </c>
      <c r="H47" s="12">
        <v>1964</v>
      </c>
      <c r="I47" s="12">
        <v>2256</v>
      </c>
      <c r="J47" s="36">
        <f>I47*'Segment - Credit Card'!J63/'Segment - Credit Card'!I63</f>
        <v>2301.12</v>
      </c>
      <c r="K47" s="40" t="s">
        <v>281</v>
      </c>
    </row>
    <row r="48" ht="15" customHeight="1">
      <c r="B48" s="37" t="s">
        <v>75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>
        <f t="shared" si="0"/>
        <v>0.605887162714636</v>
      </c>
      <c r="I48" s="10">
        <f t="shared" si="0"/>
        <v>0.5263870094722598</v>
      </c>
      <c r="J48" s="38">
        <f t="shared" si="0"/>
        <v>0.26993377483443703</v>
      </c>
    </row>
    <row r="49" ht="15" customHeight="1">
      <c r="B49" s="37" t="s">
        <v>92</v>
      </c>
      <c r="C49" s="50" t="s">
        <v>31</v>
      </c>
      <c r="D49" s="50">
        <f t="shared" si="1"/>
        <v>255</v>
      </c>
      <c r="E49" s="50">
        <f t="shared" si="1"/>
        <v>334</v>
      </c>
      <c r="F49" s="50">
        <f t="shared" si="1"/>
        <v>118</v>
      </c>
      <c r="G49" s="50" t="s">
        <v>31</v>
      </c>
      <c r="H49" s="50">
        <f t="shared" si="3"/>
        <v>34</v>
      </c>
      <c r="I49" s="50">
        <f t="shared" si="1"/>
        <v>292</v>
      </c>
      <c r="J49" s="51">
        <f t="shared" si="1"/>
        <v>45.11999999999989</v>
      </c>
    </row>
    <row r="50" ht="15" customHeight="1">
      <c r="B50" s="37" t="s">
        <v>71</v>
      </c>
      <c r="C50" s="10" t="s">
        <v>31</v>
      </c>
      <c r="D50" s="10" t="s">
        <v>31</v>
      </c>
      <c r="E50" s="10" t="s">
        <v>31</v>
      </c>
      <c r="F50" s="10" t="s">
        <v>31</v>
      </c>
      <c r="G50" s="10" t="s">
        <v>31</v>
      </c>
      <c r="H50" s="10">
        <f t="shared" si="8"/>
        <v>0.605887162714636</v>
      </c>
      <c r="I50" s="10">
        <f t="shared" si="8"/>
        <v>0.5263870094722598</v>
      </c>
      <c r="J50" s="38">
        <f t="shared" si="8"/>
        <v>0.26993377483443703</v>
      </c>
    </row>
    <row r="51" ht="15" customHeight="1">
      <c r="B51" s="37" t="s">
        <v>72</v>
      </c>
      <c r="C51" s="10" t="s">
        <v>31</v>
      </c>
      <c r="D51" s="10" t="s">
        <v>31</v>
      </c>
      <c r="E51" s="10" t="s">
        <v>31</v>
      </c>
      <c r="F51" s="10" t="s">
        <v>31</v>
      </c>
      <c r="G51" s="10" t="s">
        <v>31</v>
      </c>
      <c r="H51" s="10" t="s">
        <v>31</v>
      </c>
      <c r="I51" s="10" t="s">
        <v>31</v>
      </c>
      <c r="J51" s="38" t="s">
        <v>31</v>
      </c>
    </row>
    <row r="52" ht="15" customHeight="1">
      <c r="B52" s="37" t="s">
        <v>73</v>
      </c>
      <c r="C52" s="10" t="s">
        <v>31</v>
      </c>
      <c r="D52" s="10" t="s">
        <v>31</v>
      </c>
      <c r="E52" s="10" t="s">
        <v>31</v>
      </c>
      <c r="F52" s="10" t="s">
        <v>31</v>
      </c>
      <c r="G52" s="10" t="s">
        <v>31</v>
      </c>
      <c r="H52" s="10" t="s">
        <v>31</v>
      </c>
      <c r="I52" s="10" t="s">
        <v>31</v>
      </c>
      <c r="J52" s="38" t="s">
        <v>31</v>
      </c>
    </row>
    <row r="53" ht="15" customHeight="1">
      <c r="B53" s="37" t="s">
        <v>74</v>
      </c>
      <c r="C53" s="10" t="str">
        <f t="shared" si="9"/>
        <v>n/a</v>
      </c>
      <c r="D53" s="10" t="str">
        <f t="shared" si="9"/>
        <v>n/a</v>
      </c>
      <c r="E53" s="10" t="str">
        <f t="shared" si="9"/>
        <v>n/a</v>
      </c>
      <c r="F53" s="10" t="str">
        <f t="shared" si="9"/>
        <v>n/a</v>
      </c>
      <c r="G53" s="10" t="str">
        <f t="shared" si="9"/>
        <v>n/a</v>
      </c>
      <c r="H53" s="10" t="str">
        <f t="shared" si="9"/>
        <v>n/a</v>
      </c>
      <c r="I53" s="10" t="str">
        <f t="shared" si="9"/>
        <v>n/a</v>
      </c>
      <c r="J53" s="38" t="str">
        <f t="shared" si="9"/>
        <v>n/a</v>
      </c>
    </row>
    <row r="54" ht="15" customHeight="1">
      <c r="B54" s="24" t="s">
        <v>291</v>
      </c>
      <c r="C54" s="12">
        <v>509</v>
      </c>
      <c r="D54" s="12">
        <v>658</v>
      </c>
      <c r="E54" s="12">
        <v>849</v>
      </c>
      <c r="F54" s="12">
        <v>833</v>
      </c>
      <c r="G54" s="9">
        <f t="shared" si="2"/>
        <v>2849</v>
      </c>
      <c r="H54" s="12">
        <v>809</v>
      </c>
      <c r="I54" s="12">
        <v>808</v>
      </c>
      <c r="J54" s="39">
        <v>815</v>
      </c>
      <c r="K54" s="40" t="s">
        <v>281</v>
      </c>
    </row>
    <row r="55" ht="15" customHeight="1">
      <c r="B55" s="37" t="s">
        <v>75</v>
      </c>
      <c r="C55" s="10" t="s">
        <v>31</v>
      </c>
      <c r="D55" s="10" t="s">
        <v>31</v>
      </c>
      <c r="E55" s="10" t="s">
        <v>31</v>
      </c>
      <c r="F55" s="10" t="s">
        <v>31</v>
      </c>
      <c r="G55" s="10" t="s">
        <v>31</v>
      </c>
      <c r="H55" s="10">
        <f t="shared" si="0"/>
        <v>0.5893909626719056</v>
      </c>
      <c r="I55" s="10">
        <f t="shared" si="0"/>
        <v>0.22796352583586632</v>
      </c>
      <c r="J55" s="38">
        <f t="shared" si="0"/>
        <v>-0.0400471142520612</v>
      </c>
    </row>
    <row r="56" ht="15" customHeight="1">
      <c r="B56" s="37" t="s">
        <v>92</v>
      </c>
      <c r="C56" s="50" t="s">
        <v>31</v>
      </c>
      <c r="D56" s="50">
        <f t="shared" si="1"/>
        <v>149</v>
      </c>
      <c r="E56" s="50">
        <f t="shared" si="1"/>
        <v>191</v>
      </c>
      <c r="F56" s="50">
        <f t="shared" si="1"/>
        <v>-16</v>
      </c>
      <c r="G56" s="50" t="s">
        <v>31</v>
      </c>
      <c r="H56" s="50">
        <f t="shared" si="3"/>
        <v>-24</v>
      </c>
      <c r="I56" s="50">
        <f t="shared" si="1"/>
        <v>-1</v>
      </c>
      <c r="J56" s="51">
        <f t="shared" si="1"/>
        <v>7</v>
      </c>
    </row>
    <row r="57" ht="15" customHeight="1">
      <c r="B57" s="37" t="s">
        <v>71</v>
      </c>
      <c r="C57" s="10" t="s">
        <v>31</v>
      </c>
      <c r="D57" s="10" t="s">
        <v>31</v>
      </c>
      <c r="E57" s="10" t="s">
        <v>31</v>
      </c>
      <c r="F57" s="10" t="s">
        <v>31</v>
      </c>
      <c r="G57" s="10" t="s">
        <v>31</v>
      </c>
      <c r="H57" s="10">
        <f t="shared" si="8"/>
        <v>0.5893909626719056</v>
      </c>
      <c r="I57" s="10">
        <f t="shared" si="8"/>
        <v>0.22796352583586632</v>
      </c>
      <c r="J57" s="38">
        <f t="shared" si="8"/>
        <v>-0.0400471142520612</v>
      </c>
    </row>
    <row r="58" ht="15" customHeight="1">
      <c r="B58" s="37" t="s">
        <v>72</v>
      </c>
      <c r="C58" s="10" t="s">
        <v>31</v>
      </c>
      <c r="D58" s="10" t="s">
        <v>31</v>
      </c>
      <c r="E58" s="10" t="s">
        <v>31</v>
      </c>
      <c r="F58" s="10" t="s">
        <v>31</v>
      </c>
      <c r="G58" s="10" t="s">
        <v>31</v>
      </c>
      <c r="H58" s="10" t="s">
        <v>31</v>
      </c>
      <c r="I58" s="10" t="s">
        <v>31</v>
      </c>
      <c r="J58" s="38" t="s">
        <v>31</v>
      </c>
    </row>
    <row r="59" ht="15" customHeight="1">
      <c r="B59" s="37" t="s">
        <v>73</v>
      </c>
      <c r="C59" s="10" t="s">
        <v>31</v>
      </c>
      <c r="D59" s="10" t="s">
        <v>31</v>
      </c>
      <c r="E59" s="10" t="s">
        <v>31</v>
      </c>
      <c r="F59" s="10" t="s">
        <v>31</v>
      </c>
      <c r="G59" s="10" t="s">
        <v>31</v>
      </c>
      <c r="H59" s="10" t="s">
        <v>31</v>
      </c>
      <c r="I59" s="10" t="s">
        <v>31</v>
      </c>
      <c r="J59" s="38" t="s">
        <v>31</v>
      </c>
    </row>
    <row r="60" ht="15" customHeight="1">
      <c r="B60" s="37" t="s">
        <v>74</v>
      </c>
      <c r="C60" s="10" t="str">
        <f t="shared" si="9"/>
        <v>n/a</v>
      </c>
      <c r="D60" s="10" t="str">
        <f t="shared" si="9"/>
        <v>n/a</v>
      </c>
      <c r="E60" s="10" t="str">
        <f t="shared" si="9"/>
        <v>n/a</v>
      </c>
      <c r="F60" s="10" t="str">
        <f t="shared" si="9"/>
        <v>n/a</v>
      </c>
      <c r="G60" s="10" t="str">
        <f t="shared" si="9"/>
        <v>n/a</v>
      </c>
      <c r="H60" s="10" t="str">
        <f t="shared" si="9"/>
        <v>n/a</v>
      </c>
      <c r="I60" s="10" t="str">
        <f t="shared" si="9"/>
        <v>n/a</v>
      </c>
      <c r="J60" s="38" t="str">
        <f t="shared" si="9"/>
        <v>n/a</v>
      </c>
    </row>
    <row r="61" ht="15" customHeight="1">
      <c r="B61" s="24" t="s">
        <v>292</v>
      </c>
      <c r="C61" s="12">
        <v>255</v>
      </c>
      <c r="D61" s="12">
        <v>361</v>
      </c>
      <c r="E61" s="12">
        <v>294</v>
      </c>
      <c r="F61" s="12">
        <v>354</v>
      </c>
      <c r="G61" s="9">
        <f t="shared" si="2"/>
        <v>1264</v>
      </c>
      <c r="H61" s="12">
        <v>313</v>
      </c>
      <c r="I61" s="12">
        <v>412</v>
      </c>
      <c r="J61" s="36">
        <f>'Revenue summary'!J82-J47-J54</f>
        <v>415.090733</v>
      </c>
      <c r="K61" s="40" t="s">
        <v>281</v>
      </c>
    </row>
    <row r="62" ht="15" customHeight="1">
      <c r="B62" s="37" t="s">
        <v>75</v>
      </c>
      <c r="C62" s="10" t="s">
        <v>31</v>
      </c>
      <c r="D62" s="10" t="s">
        <v>31</v>
      </c>
      <c r="E62" s="10" t="s">
        <v>31</v>
      </c>
      <c r="F62" s="10" t="s">
        <v>31</v>
      </c>
      <c r="G62" s="10" t="s">
        <v>31</v>
      </c>
      <c r="H62" s="10">
        <f t="shared" si="0"/>
        <v>0.22745098039215694</v>
      </c>
      <c r="I62" s="10">
        <f t="shared" si="0"/>
        <v>0.1412742382271468</v>
      </c>
      <c r="J62" s="38">
        <f t="shared" si="0"/>
        <v>0.41187324149659865</v>
      </c>
    </row>
    <row r="63" ht="15" customHeight="1">
      <c r="B63" s="37" t="s">
        <v>92</v>
      </c>
      <c r="C63" s="50" t="s">
        <v>31</v>
      </c>
      <c r="D63" s="50">
        <f t="shared" si="1"/>
        <v>106</v>
      </c>
      <c r="E63" s="50">
        <f t="shared" si="1"/>
        <v>-67</v>
      </c>
      <c r="F63" s="50">
        <f t="shared" si="1"/>
        <v>60</v>
      </c>
      <c r="G63" s="50" t="s">
        <v>31</v>
      </c>
      <c r="H63" s="50">
        <f t="shared" si="3"/>
        <v>-41</v>
      </c>
      <c r="I63" s="50">
        <f t="shared" si="1"/>
        <v>99</v>
      </c>
      <c r="J63" s="51">
        <f t="shared" si="1"/>
        <v>3.090733</v>
      </c>
    </row>
    <row r="64" ht="15" customHeight="1">
      <c r="B64" s="37" t="s">
        <v>71</v>
      </c>
      <c r="C64" s="10" t="s">
        <v>31</v>
      </c>
      <c r="D64" s="10" t="s">
        <v>31</v>
      </c>
      <c r="E64" s="10" t="s">
        <v>31</v>
      </c>
      <c r="F64" s="10" t="s">
        <v>31</v>
      </c>
      <c r="G64" s="10" t="s">
        <v>31</v>
      </c>
      <c r="H64" s="10">
        <f t="shared" si="8"/>
        <v>0.22745098039215694</v>
      </c>
      <c r="I64" s="10">
        <f t="shared" si="8"/>
        <v>0.1412742382271468</v>
      </c>
      <c r="J64" s="38">
        <f t="shared" si="8"/>
        <v>0.41187324149659865</v>
      </c>
    </row>
    <row r="65" ht="15" customHeight="1">
      <c r="B65" s="37" t="s">
        <v>72</v>
      </c>
      <c r="C65" s="10" t="s">
        <v>31</v>
      </c>
      <c r="D65" s="10" t="s">
        <v>31</v>
      </c>
      <c r="E65" s="10" t="s">
        <v>31</v>
      </c>
      <c r="F65" s="10" t="s">
        <v>31</v>
      </c>
      <c r="G65" s="10" t="s">
        <v>31</v>
      </c>
      <c r="H65" s="10" t="s">
        <v>31</v>
      </c>
      <c r="I65" s="10" t="s">
        <v>31</v>
      </c>
      <c r="J65" s="38" t="s">
        <v>31</v>
      </c>
    </row>
    <row r="66" ht="15" customHeight="1">
      <c r="B66" s="37" t="s">
        <v>73</v>
      </c>
      <c r="C66" s="10" t="s">
        <v>31</v>
      </c>
      <c r="D66" s="10" t="s">
        <v>31</v>
      </c>
      <c r="E66" s="10" t="s">
        <v>31</v>
      </c>
      <c r="F66" s="10" t="s">
        <v>31</v>
      </c>
      <c r="G66" s="10" t="s">
        <v>31</v>
      </c>
      <c r="H66" s="10" t="s">
        <v>31</v>
      </c>
      <c r="I66" s="10" t="s">
        <v>31</v>
      </c>
      <c r="J66" s="38" t="s">
        <v>31</v>
      </c>
    </row>
    <row r="67" ht="15" customHeight="1">
      <c r="B67" s="37" t="s">
        <v>74</v>
      </c>
      <c r="C67" s="10" t="str">
        <f t="shared" si="9"/>
        <v>n/a</v>
      </c>
      <c r="D67" s="10" t="str">
        <f t="shared" si="9"/>
        <v>n/a</v>
      </c>
      <c r="E67" s="10" t="str">
        <f t="shared" si="9"/>
        <v>n/a</v>
      </c>
      <c r="F67" s="10" t="str">
        <f t="shared" si="9"/>
        <v>n/a</v>
      </c>
      <c r="G67" s="10" t="str">
        <f t="shared" si="9"/>
        <v>n/a</v>
      </c>
      <c r="H67" s="10" t="str">
        <f t="shared" si="9"/>
        <v>n/a</v>
      </c>
      <c r="I67" s="10" t="str">
        <f t="shared" si="9"/>
        <v>n/a</v>
      </c>
      <c r="J67" s="38" t="str">
        <f t="shared" si="9"/>
        <v>n/a</v>
      </c>
    </row>
    <row r="68" ht="15" customHeight="1">
      <c r="B68" s="4" t="s">
        <v>86</v>
      </c>
      <c r="C68" s="41">
        <f t="shared" si="10" ref="C68:J68">C47+C54+C61</f>
        <v>1987</v>
      </c>
      <c r="D68" s="41">
        <f t="shared" si="10"/>
        <v>2497</v>
      </c>
      <c r="E68" s="41">
        <f t="shared" si="10"/>
        <v>2955</v>
      </c>
      <c r="F68" s="41">
        <f t="shared" si="10"/>
        <v>3117</v>
      </c>
      <c r="G68" s="41">
        <f t="shared" si="10"/>
        <v>10556</v>
      </c>
      <c r="H68" s="41">
        <f t="shared" si="10"/>
        <v>3086</v>
      </c>
      <c r="I68" s="41">
        <f t="shared" si="10"/>
        <v>3476</v>
      </c>
      <c r="J68" s="42">
        <f t="shared" si="10"/>
        <v>3531.210733</v>
      </c>
    </row>
    <row r="69" ht="15" customHeight="1">
      <c r="B69" s="37" t="s">
        <v>75</v>
      </c>
      <c r="C69" s="10" t="s">
        <v>31</v>
      </c>
      <c r="D69" s="10" t="s">
        <v>31</v>
      </c>
      <c r="E69" s="10" t="s">
        <v>31</v>
      </c>
      <c r="F69" s="10" t="s">
        <v>31</v>
      </c>
      <c r="G69" s="10" t="s">
        <v>31</v>
      </c>
      <c r="H69" s="10">
        <f t="shared" si="0"/>
        <v>0.5530951182687469</v>
      </c>
      <c r="I69" s="10">
        <f t="shared" si="0"/>
        <v>0.39207048458149774</v>
      </c>
      <c r="J69" s="38">
        <f t="shared" si="0"/>
        <v>0.19499517191201354</v>
      </c>
    </row>
    <row r="70" ht="15" customHeight="1">
      <c r="B70" s="37" t="s">
        <v>69</v>
      </c>
      <c r="C70" s="10" t="s">
        <v>31</v>
      </c>
      <c r="D70" s="10">
        <f t="shared" si="7"/>
        <v>0.25666834423754414</v>
      </c>
      <c r="E70" s="10">
        <f t="shared" si="7"/>
        <v>0.1834201041249499</v>
      </c>
      <c r="F70" s="10">
        <f t="shared" si="7"/>
        <v>0.0548223350253807</v>
      </c>
      <c r="G70" s="10" t="s">
        <v>31</v>
      </c>
      <c r="H70" s="10">
        <f t="shared" si="11"/>
        <v>-0.009945460378569138</v>
      </c>
      <c r="I70" s="10">
        <f t="shared" si="7"/>
        <v>0.12637718729747238</v>
      </c>
      <c r="J70" s="38">
        <f t="shared" si="7"/>
        <v>0.015883409953969974</v>
      </c>
    </row>
    <row r="71" ht="15" customHeight="1">
      <c r="B71" s="37" t="s">
        <v>71</v>
      </c>
      <c r="C71" s="10" t="s">
        <v>31</v>
      </c>
      <c r="D71" s="10" t="s">
        <v>31</v>
      </c>
      <c r="E71" s="10" t="s">
        <v>31</v>
      </c>
      <c r="F71" s="10" t="s">
        <v>31</v>
      </c>
      <c r="G71" s="10" t="s">
        <v>31</v>
      </c>
      <c r="H71" s="10">
        <f t="shared" si="8"/>
        <v>0.5530951182687469</v>
      </c>
      <c r="I71" s="10">
        <f t="shared" si="8"/>
        <v>0.39207048458149774</v>
      </c>
      <c r="J71" s="38">
        <f t="shared" si="8"/>
        <v>0.19499517191201354</v>
      </c>
    </row>
    <row r="72" ht="15" customHeight="1">
      <c r="B72" s="37" t="s">
        <v>72</v>
      </c>
      <c r="C72" s="10" t="s">
        <v>31</v>
      </c>
      <c r="D72" s="10" t="s">
        <v>31</v>
      </c>
      <c r="E72" s="10" t="s">
        <v>31</v>
      </c>
      <c r="F72" s="10" t="s">
        <v>31</v>
      </c>
      <c r="G72" s="10" t="s">
        <v>31</v>
      </c>
      <c r="H72" s="10" t="s">
        <v>31</v>
      </c>
      <c r="I72" s="10" t="s">
        <v>31</v>
      </c>
      <c r="J72" s="38" t="s">
        <v>31</v>
      </c>
    </row>
    <row r="73" ht="15" customHeight="1">
      <c r="B73" s="37" t="s">
        <v>73</v>
      </c>
      <c r="C73" s="10" t="s">
        <v>31</v>
      </c>
      <c r="D73" s="10" t="s">
        <v>31</v>
      </c>
      <c r="E73" s="10" t="s">
        <v>31</v>
      </c>
      <c r="F73" s="10" t="s">
        <v>31</v>
      </c>
      <c r="G73" s="10" t="s">
        <v>31</v>
      </c>
      <c r="H73" s="10" t="s">
        <v>31</v>
      </c>
      <c r="I73" s="10" t="s">
        <v>31</v>
      </c>
      <c r="J73" s="38" t="s">
        <v>31</v>
      </c>
    </row>
    <row r="74" ht="15" customHeight="1">
      <c r="B74" s="37" t="s">
        <v>74</v>
      </c>
      <c r="C74" s="10" t="str">
        <f t="shared" si="9"/>
        <v>n/a</v>
      </c>
      <c r="D74" s="10" t="str">
        <f t="shared" si="9"/>
        <v>n/a</v>
      </c>
      <c r="E74" s="10" t="str">
        <f t="shared" si="9"/>
        <v>n/a</v>
      </c>
      <c r="F74" s="10" t="str">
        <f t="shared" si="9"/>
        <v>n/a</v>
      </c>
      <c r="G74" s="10" t="str">
        <f t="shared" si="9"/>
        <v>n/a</v>
      </c>
      <c r="H74" s="10" t="str">
        <f t="shared" si="9"/>
        <v>n/a</v>
      </c>
      <c r="I74" s="10" t="str">
        <f t="shared" si="9"/>
        <v>n/a</v>
      </c>
      <c r="J74" s="38" t="str">
        <f t="shared" si="9"/>
        <v>n/a</v>
      </c>
    </row>
    <row r="75" ht="15" customHeight="1">
      <c r="B75" s="4" t="s">
        <v>88</v>
      </c>
      <c r="C75" s="41">
        <f t="shared" si="12" ref="C75:J75">C38+C68</f>
        <v>10000</v>
      </c>
      <c r="D75" s="41">
        <f t="shared" si="12"/>
        <v>12492</v>
      </c>
      <c r="E75" s="41">
        <f t="shared" si="12"/>
        <v>15359</v>
      </c>
      <c r="F75" s="41">
        <f t="shared" si="12"/>
        <v>15583</v>
      </c>
      <c r="G75" s="41">
        <f t="shared" si="12"/>
        <v>53434</v>
      </c>
      <c r="H75" s="41">
        <f t="shared" si="12"/>
        <v>15231</v>
      </c>
      <c r="I75" s="41">
        <f t="shared" si="12"/>
        <v>15850</v>
      </c>
      <c r="J75" s="42">
        <f t="shared" si="12"/>
        <v>16266.599545785388</v>
      </c>
    </row>
    <row r="76" ht="15" customHeight="1">
      <c r="B76" s="37" t="s">
        <v>75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>
        <f t="shared" si="0"/>
        <v>0.5230999999999999</v>
      </c>
      <c r="I76" s="10">
        <f t="shared" si="0"/>
        <v>0.26881203970541145</v>
      </c>
      <c r="J76" s="38">
        <f t="shared" si="0"/>
        <v>0.059092359254208526</v>
      </c>
      <c r="K76" s="53" t="s">
        <v>104</v>
      </c>
    </row>
    <row r="77" ht="15" customHeight="1">
      <c r="B77" s="37" t="s">
        <v>69</v>
      </c>
      <c r="C77" s="10" t="s">
        <v>31</v>
      </c>
      <c r="D77" s="10">
        <f t="shared" si="7"/>
        <v>0.2492000000000001</v>
      </c>
      <c r="E77" s="10">
        <f t="shared" si="7"/>
        <v>0.22950688440601996</v>
      </c>
      <c r="F77" s="10">
        <f t="shared" si="7"/>
        <v>0.014584282830913509</v>
      </c>
      <c r="G77" s="10" t="s">
        <v>31</v>
      </c>
      <c r="H77" s="10">
        <f t="shared" si="11"/>
        <v>-0.02258871847526145</v>
      </c>
      <c r="I77" s="10">
        <f t="shared" si="7"/>
        <v>0.04064079837174184</v>
      </c>
      <c r="J77" s="38">
        <f t="shared" si="7"/>
        <v>0.026283883014851073</v>
      </c>
    </row>
    <row r="78" ht="15" customHeight="1">
      <c r="B78" s="37" t="s">
        <v>71</v>
      </c>
      <c r="C78" s="10" t="s">
        <v>31</v>
      </c>
      <c r="D78" s="10" t="s">
        <v>31</v>
      </c>
      <c r="E78" s="10" t="s">
        <v>31</v>
      </c>
      <c r="F78" s="10" t="s">
        <v>31</v>
      </c>
      <c r="G78" s="10" t="s">
        <v>31</v>
      </c>
      <c r="H78" s="10">
        <f t="shared" si="8"/>
        <v>0.5230999999999999</v>
      </c>
      <c r="I78" s="10">
        <f t="shared" si="8"/>
        <v>0.26881203970541145</v>
      </c>
      <c r="J78" s="38">
        <f t="shared" si="8"/>
        <v>0.059092359254208526</v>
      </c>
    </row>
    <row r="79" ht="15" customHeight="1">
      <c r="B79" s="37" t="s">
        <v>72</v>
      </c>
      <c r="C79" s="10" t="s">
        <v>31</v>
      </c>
      <c r="D79" s="10" t="s">
        <v>31</v>
      </c>
      <c r="E79" s="10" t="s">
        <v>31</v>
      </c>
      <c r="F79" s="10" t="s">
        <v>31</v>
      </c>
      <c r="G79" s="10" t="s">
        <v>31</v>
      </c>
      <c r="H79" s="10" t="s">
        <v>31</v>
      </c>
      <c r="I79" s="10" t="s">
        <v>31</v>
      </c>
      <c r="J79" s="38" t="s">
        <v>31</v>
      </c>
    </row>
    <row r="80" ht="15" customHeight="1">
      <c r="B80" s="37" t="s">
        <v>73</v>
      </c>
      <c r="C80" s="10" t="s">
        <v>31</v>
      </c>
      <c r="D80" s="10" t="s">
        <v>31</v>
      </c>
      <c r="E80" s="10" t="s">
        <v>31</v>
      </c>
      <c r="F80" s="10" t="s">
        <v>31</v>
      </c>
      <c r="G80" s="10" t="s">
        <v>31</v>
      </c>
      <c r="H80" s="10" t="s">
        <v>31</v>
      </c>
      <c r="I80" s="10" t="s">
        <v>31</v>
      </c>
      <c r="J80" s="38" t="s">
        <v>31</v>
      </c>
    </row>
    <row r="81" ht="15" customHeight="1">
      <c r="B81" s="37" t="s">
        <v>74</v>
      </c>
      <c r="C81" s="10" t="str">
        <f t="shared" si="9"/>
        <v>n/a</v>
      </c>
      <c r="D81" s="10" t="str">
        <f t="shared" si="9"/>
        <v>n/a</v>
      </c>
      <c r="E81" s="10" t="str">
        <f t="shared" si="9"/>
        <v>n/a</v>
      </c>
      <c r="F81" s="10" t="str">
        <f t="shared" si="9"/>
        <v>n/a</v>
      </c>
      <c r="G81" s="10" t="str">
        <f t="shared" si="9"/>
        <v>n/a</v>
      </c>
      <c r="H81" s="10" t="str">
        <f t="shared" si="9"/>
        <v>n/a</v>
      </c>
      <c r="I81" s="10" t="str">
        <f t="shared" si="9"/>
        <v>n/a</v>
      </c>
      <c r="J81" s="38" t="str">
        <f t="shared" si="9"/>
        <v>n/a</v>
      </c>
    </row>
    <row r="82" ht="15" customHeight="1">
      <c r="B82" s="24" t="s">
        <v>293</v>
      </c>
      <c r="C82" s="12">
        <v>10000</v>
      </c>
      <c r="D82" s="12">
        <v>12492</v>
      </c>
      <c r="E82" s="12">
        <v>15359</v>
      </c>
      <c r="F82" s="12">
        <v>15583</v>
      </c>
      <c r="G82" s="12">
        <v>53434</v>
      </c>
      <c r="H82" s="12">
        <v>15231</v>
      </c>
      <c r="I82" s="12">
        <v>15850</v>
      </c>
      <c r="J82" s="54" t="s">
        <v>31</v>
      </c>
      <c r="K82" s="40" t="s">
        <v>294</v>
      </c>
    </row>
    <row r="83" ht="15" customHeight="1">
      <c r="B83" s="37" t="s">
        <v>75</v>
      </c>
      <c r="C83" s="10" t="s">
        <v>31</v>
      </c>
      <c r="D83" s="10" t="s">
        <v>31</v>
      </c>
      <c r="E83" s="10" t="s">
        <v>31</v>
      </c>
      <c r="F83" s="10" t="s">
        <v>31</v>
      </c>
      <c r="G83" s="10" t="s">
        <v>31</v>
      </c>
      <c r="H83" s="10">
        <f t="shared" si="0"/>
        <v>0.5230999999999999</v>
      </c>
      <c r="I83" s="10">
        <f t="shared" si="0"/>
        <v>0.26881203970541145</v>
      </c>
      <c r="J83" s="38" t="str">
        <f t="shared" si="0"/>
        <v>n/a</v>
      </c>
    </row>
    <row r="84" ht="15" customHeight="1">
      <c r="B84" s="37" t="s">
        <v>92</v>
      </c>
      <c r="C84" s="50" t="s">
        <v>31</v>
      </c>
      <c r="D84" s="50">
        <f t="shared" si="1"/>
        <v>2492</v>
      </c>
      <c r="E84" s="50">
        <f t="shared" si="1"/>
        <v>2867</v>
      </c>
      <c r="F84" s="50">
        <f t="shared" si="1"/>
        <v>224</v>
      </c>
      <c r="G84" s="50" t="s">
        <v>31</v>
      </c>
      <c r="H84" s="50">
        <f t="shared" si="3"/>
        <v>-352</v>
      </c>
      <c r="I84" s="50">
        <f t="shared" si="1"/>
        <v>619</v>
      </c>
      <c r="J84" s="51" t="str">
        <f t="shared" si="1"/>
        <v>n/a</v>
      </c>
    </row>
    <row r="85" ht="15" customHeight="1">
      <c r="B85" s="4" t="s">
        <v>194</v>
      </c>
      <c r="C85" s="60">
        <v>2369</v>
      </c>
      <c r="D85" s="60">
        <v>11430</v>
      </c>
      <c r="E85" s="60">
        <v>2714</v>
      </c>
      <c r="F85" s="60">
        <v>4142</v>
      </c>
      <c r="G85" s="41">
        <f t="shared" si="2"/>
        <v>20655</v>
      </c>
      <c r="H85" s="60">
        <v>4068</v>
      </c>
      <c r="I85" s="60">
        <v>2989</v>
      </c>
      <c r="J85" s="47">
        <f>'Segment - Credit Card'!J218+'Segment - Consumer Banking'!J158+'Segment - Commercial Banking'!J131</f>
        <v>3486.8645000000006</v>
      </c>
      <c r="K85" s="40" t="s">
        <v>281</v>
      </c>
    </row>
    <row r="86" ht="15" customHeight="1">
      <c r="B86" s="37" t="s">
        <v>75</v>
      </c>
      <c r="C86" s="10" t="s">
        <v>31</v>
      </c>
      <c r="D86" s="10" t="s">
        <v>31</v>
      </c>
      <c r="E86" s="10" t="s">
        <v>31</v>
      </c>
      <c r="F86" s="10" t="s">
        <v>31</v>
      </c>
      <c r="G86" s="10" t="s">
        <v>31</v>
      </c>
      <c r="H86" s="10">
        <f t="shared" si="0"/>
        <v>0.7171802448290419</v>
      </c>
      <c r="I86" s="10">
        <f t="shared" si="0"/>
        <v>-0.7384951881014873</v>
      </c>
      <c r="J86" s="38">
        <f t="shared" si="0"/>
        <v>0.2847695283714078</v>
      </c>
    </row>
    <row r="87" ht="15" customHeight="1">
      <c r="B87" s="43" t="s">
        <v>92</v>
      </c>
      <c r="C87" s="50" t="s">
        <v>31</v>
      </c>
      <c r="D87" s="50">
        <f t="shared" si="1"/>
        <v>9061</v>
      </c>
      <c r="E87" s="50">
        <f t="shared" si="1"/>
        <v>-8716</v>
      </c>
      <c r="F87" s="50">
        <f t="shared" si="1"/>
        <v>1428</v>
      </c>
      <c r="G87" s="50" t="s">
        <v>31</v>
      </c>
      <c r="H87" s="50">
        <f t="shared" si="3"/>
        <v>-74</v>
      </c>
      <c r="I87" s="50">
        <f t="shared" si="1"/>
        <v>-1079</v>
      </c>
      <c r="J87" s="51">
        <f t="shared" si="1"/>
        <v>497.8645000000006</v>
      </c>
    </row>
    <row r="88" ht="15" customHeight="1">
      <c r="B88" s="35" t="s">
        <v>195</v>
      </c>
    </row>
    <row r="89" ht="15" customHeight="1">
      <c r="B89" s="24" t="s">
        <v>295</v>
      </c>
      <c r="C89" s="12">
        <v>2546</v>
      </c>
      <c r="D89" s="12">
        <v>2999</v>
      </c>
      <c r="E89" s="12">
        <v>3496</v>
      </c>
      <c r="F89" s="12">
        <v>3430</v>
      </c>
      <c r="G89" s="9">
        <f t="shared" si="2"/>
        <v>12471</v>
      </c>
      <c r="H89" s="12">
        <v>3671</v>
      </c>
      <c r="I89" s="12">
        <v>3769</v>
      </c>
      <c r="J89" s="39">
        <v>3800</v>
      </c>
      <c r="K89" s="40" t="s">
        <v>281</v>
      </c>
    </row>
    <row r="90" ht="15" customHeight="1">
      <c r="B90" s="37" t="s">
        <v>75</v>
      </c>
      <c r="C90" s="10" t="s">
        <v>31</v>
      </c>
      <c r="D90" s="10" t="s">
        <v>31</v>
      </c>
      <c r="E90" s="10" t="s">
        <v>31</v>
      </c>
      <c r="F90" s="10" t="s">
        <v>31</v>
      </c>
      <c r="G90" s="10" t="s">
        <v>31</v>
      </c>
      <c r="H90" s="10">
        <f t="shared" si="0"/>
        <v>0.44186959937156334</v>
      </c>
      <c r="I90" s="10">
        <f t="shared" si="0"/>
        <v>0.25675225075025</v>
      </c>
      <c r="J90" s="38">
        <f t="shared" si="0"/>
        <v>0.08695652173913038</v>
      </c>
    </row>
    <row r="91" ht="15" customHeight="1">
      <c r="B91" s="37" t="s">
        <v>92</v>
      </c>
      <c r="C91" s="50" t="s">
        <v>31</v>
      </c>
      <c r="D91" s="50">
        <f t="shared" si="1"/>
        <v>453</v>
      </c>
      <c r="E91" s="50">
        <f t="shared" si="1"/>
        <v>497</v>
      </c>
      <c r="F91" s="50">
        <f t="shared" si="1"/>
        <v>-66</v>
      </c>
      <c r="G91" s="50" t="s">
        <v>31</v>
      </c>
      <c r="H91" s="50">
        <f t="shared" si="3"/>
        <v>241</v>
      </c>
      <c r="I91" s="50">
        <f t="shared" si="1"/>
        <v>98</v>
      </c>
      <c r="J91" s="51">
        <f t="shared" si="1"/>
        <v>31</v>
      </c>
    </row>
    <row r="92" ht="15" customHeight="1">
      <c r="B92" s="24" t="s">
        <v>296</v>
      </c>
      <c r="C92" s="12">
        <v>615</v>
      </c>
      <c r="D92" s="12">
        <v>737</v>
      </c>
      <c r="E92" s="12">
        <v>856</v>
      </c>
      <c r="F92" s="12">
        <v>958</v>
      </c>
      <c r="G92" s="9">
        <f t="shared" si="2"/>
        <v>3166</v>
      </c>
      <c r="H92" s="12">
        <v>867</v>
      </c>
      <c r="I92" s="12">
        <v>969</v>
      </c>
      <c r="J92" s="39">
        <v>975</v>
      </c>
      <c r="K92" s="40" t="s">
        <v>281</v>
      </c>
    </row>
    <row r="93" ht="15" customHeight="1">
      <c r="B93" s="37" t="s">
        <v>75</v>
      </c>
      <c r="C93" s="10" t="s">
        <v>31</v>
      </c>
      <c r="D93" s="10" t="s">
        <v>31</v>
      </c>
      <c r="E93" s="10" t="s">
        <v>31</v>
      </c>
      <c r="F93" s="10" t="s">
        <v>31</v>
      </c>
      <c r="G93" s="10" t="s">
        <v>31</v>
      </c>
      <c r="H93" s="10">
        <f t="shared" si="0"/>
        <v>0.40975609756097553</v>
      </c>
      <c r="I93" s="10">
        <f t="shared" si="0"/>
        <v>0.3147896879240162</v>
      </c>
      <c r="J93" s="38">
        <f t="shared" si="0"/>
        <v>0.139018691588785</v>
      </c>
    </row>
    <row r="94" ht="15" customHeight="1">
      <c r="B94" s="37" t="s">
        <v>92</v>
      </c>
      <c r="C94" s="50" t="s">
        <v>31</v>
      </c>
      <c r="D94" s="50">
        <f t="shared" si="1"/>
        <v>122</v>
      </c>
      <c r="E94" s="50">
        <f t="shared" si="1"/>
        <v>119</v>
      </c>
      <c r="F94" s="50">
        <f t="shared" si="1"/>
        <v>102</v>
      </c>
      <c r="G94" s="50" t="s">
        <v>31</v>
      </c>
      <c r="H94" s="50">
        <f t="shared" si="3"/>
        <v>-91</v>
      </c>
      <c r="I94" s="50">
        <f t="shared" si="1"/>
        <v>102</v>
      </c>
      <c r="J94" s="51">
        <f t="shared" si="1"/>
        <v>6</v>
      </c>
    </row>
    <row r="95" ht="15" customHeight="1">
      <c r="B95" s="24" t="s">
        <v>297</v>
      </c>
      <c r="C95" s="12">
        <v>1202</v>
      </c>
      <c r="D95" s="12">
        <v>1345</v>
      </c>
      <c r="E95" s="12">
        <v>1403</v>
      </c>
      <c r="F95" s="12">
        <v>1934</v>
      </c>
      <c r="G95" s="9">
        <f t="shared" si="2"/>
        <v>5884</v>
      </c>
      <c r="H95" s="12">
        <v>1497</v>
      </c>
      <c r="I95" s="12">
        <v>1661</v>
      </c>
      <c r="J95" s="39">
        <v>1730</v>
      </c>
      <c r="K95" s="40" t="s">
        <v>281</v>
      </c>
    </row>
    <row r="96" ht="15" customHeight="1">
      <c r="B96" s="37" t="s">
        <v>75</v>
      </c>
      <c r="C96" s="10" t="s">
        <v>31</v>
      </c>
      <c r="D96" s="10" t="s">
        <v>31</v>
      </c>
      <c r="E96" s="10" t="s">
        <v>31</v>
      </c>
      <c r="F96" s="10" t="s">
        <v>31</v>
      </c>
      <c r="G96" s="10" t="s">
        <v>31</v>
      </c>
      <c r="H96" s="10">
        <f t="shared" si="0"/>
        <v>0.2454242928452579</v>
      </c>
      <c r="I96" s="10">
        <f t="shared" si="0"/>
        <v>0.23494423791821561</v>
      </c>
      <c r="J96" s="38">
        <f t="shared" si="0"/>
        <v>0.2330719885958661</v>
      </c>
    </row>
    <row r="97" ht="15" customHeight="1">
      <c r="B97" s="37" t="s">
        <v>92</v>
      </c>
      <c r="C97" s="50" t="s">
        <v>31</v>
      </c>
      <c r="D97" s="50">
        <f t="shared" si="1"/>
        <v>143</v>
      </c>
      <c r="E97" s="50">
        <f t="shared" si="1"/>
        <v>58</v>
      </c>
      <c r="F97" s="50">
        <f t="shared" si="1"/>
        <v>531</v>
      </c>
      <c r="G97" s="50" t="s">
        <v>31</v>
      </c>
      <c r="H97" s="50">
        <f t="shared" si="3"/>
        <v>-437</v>
      </c>
      <c r="I97" s="50">
        <f t="shared" si="1"/>
        <v>164</v>
      </c>
      <c r="J97" s="51">
        <f t="shared" si="1"/>
        <v>69</v>
      </c>
    </row>
    <row r="98" ht="15" customHeight="1">
      <c r="B98" s="24" t="s">
        <v>298</v>
      </c>
      <c r="C98" s="12">
        <v>437</v>
      </c>
      <c r="D98" s="12">
        <v>653</v>
      </c>
      <c r="E98" s="12">
        <v>641</v>
      </c>
      <c r="F98" s="12">
        <v>693</v>
      </c>
      <c r="G98" s="9">
        <f t="shared" si="2"/>
        <v>2424</v>
      </c>
      <c r="H98" s="12">
        <v>585</v>
      </c>
      <c r="I98" s="12">
        <v>667</v>
      </c>
      <c r="J98" s="39">
        <v>665</v>
      </c>
      <c r="K98" s="40" t="s">
        <v>281</v>
      </c>
    </row>
    <row r="99" ht="15" customHeight="1">
      <c r="B99" s="37" t="s">
        <v>75</v>
      </c>
      <c r="C99" s="10" t="s">
        <v>31</v>
      </c>
      <c r="D99" s="10" t="s">
        <v>31</v>
      </c>
      <c r="E99" s="10" t="s">
        <v>31</v>
      </c>
      <c r="F99" s="10" t="s">
        <v>31</v>
      </c>
      <c r="G99" s="10" t="s">
        <v>31</v>
      </c>
      <c r="H99" s="10">
        <f t="shared" si="0"/>
        <v>0.33867276887871856</v>
      </c>
      <c r="I99" s="10">
        <f t="shared" si="0"/>
        <v>0.0214395099540583</v>
      </c>
      <c r="J99" s="38">
        <f t="shared" si="0"/>
        <v>0.03744149765990645</v>
      </c>
    </row>
    <row r="100" ht="15" customHeight="1">
      <c r="B100" s="37" t="s">
        <v>92</v>
      </c>
      <c r="C100" s="50" t="s">
        <v>31</v>
      </c>
      <c r="D100" s="50">
        <f t="shared" si="1"/>
        <v>216</v>
      </c>
      <c r="E100" s="50">
        <f t="shared" si="1"/>
        <v>-12</v>
      </c>
      <c r="F100" s="50">
        <f t="shared" si="1"/>
        <v>52</v>
      </c>
      <c r="G100" s="50" t="s">
        <v>31</v>
      </c>
      <c r="H100" s="50">
        <f t="shared" si="3"/>
        <v>-108</v>
      </c>
      <c r="I100" s="50">
        <f t="shared" si="1"/>
        <v>82</v>
      </c>
      <c r="J100" s="51">
        <f t="shared" si="1"/>
        <v>-2</v>
      </c>
    </row>
    <row r="101" ht="15" customHeight="1">
      <c r="B101" s="24" t="s">
        <v>299</v>
      </c>
      <c r="C101" s="12">
        <v>399</v>
      </c>
      <c r="D101" s="12">
        <v>413</v>
      </c>
      <c r="E101" s="12">
        <v>476</v>
      </c>
      <c r="F101" s="12">
        <v>482</v>
      </c>
      <c r="G101" s="9">
        <f t="shared" si="2"/>
        <v>1770</v>
      </c>
      <c r="H101" s="12">
        <v>496</v>
      </c>
      <c r="I101" s="12">
        <v>489</v>
      </c>
      <c r="J101" s="39">
        <v>495</v>
      </c>
      <c r="K101" s="40" t="s">
        <v>281</v>
      </c>
    </row>
    <row r="102" ht="15" customHeight="1">
      <c r="B102" s="37" t="s">
        <v>75</v>
      </c>
      <c r="C102" s="10" t="s">
        <v>31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>
        <f t="shared" si="0"/>
        <v>0.24310776942355883</v>
      </c>
      <c r="I102" s="10">
        <f t="shared" si="0"/>
        <v>0.18401937046004835</v>
      </c>
      <c r="J102" s="38">
        <f t="shared" si="0"/>
        <v>0.0399159663865547</v>
      </c>
    </row>
    <row r="103" ht="15" customHeight="1">
      <c r="B103" s="37" t="s">
        <v>92</v>
      </c>
      <c r="C103" s="50" t="s">
        <v>31</v>
      </c>
      <c r="D103" s="50">
        <f t="shared" si="1"/>
        <v>14</v>
      </c>
      <c r="E103" s="50">
        <f t="shared" si="1"/>
        <v>63</v>
      </c>
      <c r="F103" s="50">
        <f t="shared" si="1"/>
        <v>6</v>
      </c>
      <c r="G103" s="50" t="s">
        <v>31</v>
      </c>
      <c r="H103" s="50">
        <f t="shared" si="3"/>
        <v>14</v>
      </c>
      <c r="I103" s="50">
        <f t="shared" si="1"/>
        <v>-7</v>
      </c>
      <c r="J103" s="51">
        <f t="shared" si="1"/>
        <v>6</v>
      </c>
    </row>
    <row r="104" ht="15" customHeight="1">
      <c r="B104" s="24" t="s">
        <v>300</v>
      </c>
      <c r="C104" s="12">
        <v>16</v>
      </c>
      <c r="D104" s="12">
        <v>271</v>
      </c>
      <c r="E104" s="12">
        <v>514</v>
      </c>
      <c r="F104" s="12">
        <v>525</v>
      </c>
      <c r="G104" s="9">
        <f t="shared" si="2"/>
        <v>1326</v>
      </c>
      <c r="H104" s="12">
        <v>492</v>
      </c>
      <c r="I104" s="12">
        <v>507</v>
      </c>
      <c r="J104" s="39">
        <v>505</v>
      </c>
      <c r="K104" s="40" t="s">
        <v>281</v>
      </c>
    </row>
    <row r="105" ht="15" customHeight="1">
      <c r="B105" s="37" t="s">
        <v>75</v>
      </c>
      <c r="C105" s="10" t="s">
        <v>31</v>
      </c>
      <c r="D105" s="10" t="s">
        <v>31</v>
      </c>
      <c r="E105" s="10" t="s">
        <v>31</v>
      </c>
      <c r="F105" s="10" t="s">
        <v>31</v>
      </c>
      <c r="G105" s="10" t="s">
        <v>31</v>
      </c>
      <c r="H105" s="10" t="str">
        <f>"n/m"</f>
        <v>n/m</v>
      </c>
      <c r="I105" s="10">
        <f t="shared" si="0"/>
        <v>0.8708487084870848</v>
      </c>
      <c r="J105" s="38">
        <f t="shared" si="0"/>
        <v>-0.017509727626459193</v>
      </c>
      <c r="K105" s="44" t="s">
        <v>301</v>
      </c>
    </row>
    <row r="106" ht="15" customHeight="1">
      <c r="B106" s="37" t="s">
        <v>92</v>
      </c>
      <c r="C106" s="50" t="s">
        <v>31</v>
      </c>
      <c r="D106" s="50">
        <f t="shared" si="1"/>
        <v>255</v>
      </c>
      <c r="E106" s="50">
        <f t="shared" si="1"/>
        <v>243</v>
      </c>
      <c r="F106" s="50">
        <f t="shared" si="1"/>
        <v>11</v>
      </c>
      <c r="G106" s="50" t="s">
        <v>31</v>
      </c>
      <c r="H106" s="50">
        <f t="shared" si="3"/>
        <v>-33</v>
      </c>
      <c r="I106" s="50">
        <f t="shared" si="1"/>
        <v>15</v>
      </c>
      <c r="J106" s="51">
        <f t="shared" si="1"/>
        <v>-2</v>
      </c>
    </row>
    <row r="107" ht="15" customHeight="1">
      <c r="B107" s="24" t="s">
        <v>302</v>
      </c>
      <c r="C107" s="12">
        <v>687</v>
      </c>
      <c r="D107" s="12">
        <v>573</v>
      </c>
      <c r="E107" s="12">
        <v>877</v>
      </c>
      <c r="F107" s="12">
        <v>1320</v>
      </c>
      <c r="G107" s="9">
        <f t="shared" si="2"/>
        <v>3457</v>
      </c>
      <c r="H107" s="12">
        <v>856</v>
      </c>
      <c r="I107" s="12">
        <v>981</v>
      </c>
      <c r="J107" s="39">
        <v>975</v>
      </c>
      <c r="K107" s="40" t="s">
        <v>281</v>
      </c>
    </row>
    <row r="108" ht="15" customHeight="1">
      <c r="B108" s="37" t="s">
        <v>75</v>
      </c>
      <c r="C108" s="10" t="s">
        <v>31</v>
      </c>
      <c r="D108" s="10" t="s">
        <v>31</v>
      </c>
      <c r="E108" s="10" t="s">
        <v>31</v>
      </c>
      <c r="F108" s="10" t="s">
        <v>31</v>
      </c>
      <c r="G108" s="10" t="s">
        <v>31</v>
      </c>
      <c r="H108" s="10">
        <f t="shared" si="0"/>
        <v>0.24599708879184856</v>
      </c>
      <c r="I108" s="10">
        <f t="shared" si="0"/>
        <v>0.712041884816754</v>
      </c>
      <c r="J108" s="38">
        <f t="shared" si="0"/>
        <v>0.11174458380843788</v>
      </c>
    </row>
    <row r="109" ht="15" customHeight="1">
      <c r="B109" s="37" t="s">
        <v>92</v>
      </c>
      <c r="C109" s="50" t="s">
        <v>31</v>
      </c>
      <c r="D109" s="50">
        <f t="shared" si="1"/>
        <v>-114</v>
      </c>
      <c r="E109" s="50">
        <f t="shared" si="1"/>
        <v>304</v>
      </c>
      <c r="F109" s="50">
        <f t="shared" si="1"/>
        <v>443</v>
      </c>
      <c r="G109" s="50" t="s">
        <v>31</v>
      </c>
      <c r="H109" s="50">
        <f t="shared" si="3"/>
        <v>-464</v>
      </c>
      <c r="I109" s="50">
        <f t="shared" si="1"/>
        <v>125</v>
      </c>
      <c r="J109" s="51">
        <f t="shared" si="1"/>
        <v>-6</v>
      </c>
    </row>
    <row r="110" ht="15" customHeight="1">
      <c r="B110" s="4" t="s">
        <v>303</v>
      </c>
      <c r="C110" s="41">
        <f t="shared" si="13" ref="C110:J215">C89+C92+C95+C98+C101+C104+C107</f>
        <v>5902</v>
      </c>
      <c r="D110" s="41">
        <f t="shared" si="13"/>
        <v>6991</v>
      </c>
      <c r="E110" s="41">
        <f t="shared" si="13"/>
        <v>8263</v>
      </c>
      <c r="F110" s="41">
        <f t="shared" si="13"/>
        <v>9342</v>
      </c>
      <c r="G110" s="41">
        <f t="shared" si="13"/>
        <v>30498</v>
      </c>
      <c r="H110" s="41">
        <f t="shared" si="13"/>
        <v>8464</v>
      </c>
      <c r="I110" s="41">
        <f t="shared" si="13"/>
        <v>9043</v>
      </c>
      <c r="J110" s="42">
        <f t="shared" si="13"/>
        <v>9145</v>
      </c>
    </row>
    <row r="111" ht="15" customHeight="1">
      <c r="B111" s="37" t="s">
        <v>75</v>
      </c>
      <c r="C111" s="10" t="s">
        <v>31</v>
      </c>
      <c r="D111" s="10" t="s">
        <v>31</v>
      </c>
      <c r="E111" s="10" t="s">
        <v>31</v>
      </c>
      <c r="F111" s="10" t="s">
        <v>31</v>
      </c>
      <c r="G111" s="10" t="s">
        <v>31</v>
      </c>
      <c r="H111" s="10">
        <f t="shared" si="0"/>
        <v>0.43409013893595394</v>
      </c>
      <c r="I111" s="10">
        <f t="shared" si="0"/>
        <v>0.2935202403089687</v>
      </c>
      <c r="J111" s="38">
        <f t="shared" si="0"/>
        <v>0.10674089313808555</v>
      </c>
    </row>
    <row r="112" ht="15" customHeight="1">
      <c r="B112" s="37" t="s">
        <v>69</v>
      </c>
      <c r="C112" s="10" t="s">
        <v>31</v>
      </c>
      <c r="D112" s="10">
        <f t="shared" si="7"/>
        <v>0.1845137241613013</v>
      </c>
      <c r="E112" s="10">
        <f t="shared" si="7"/>
        <v>0.1819482191388928</v>
      </c>
      <c r="F112" s="10">
        <f t="shared" si="7"/>
        <v>0.13058211303400702</v>
      </c>
      <c r="G112" s="10" t="s">
        <v>31</v>
      </c>
      <c r="H112" s="10">
        <f t="shared" si="11"/>
        <v>-0.09398415756797263</v>
      </c>
      <c r="I112" s="10">
        <f t="shared" si="7"/>
        <v>0.06840737240075612</v>
      </c>
      <c r="J112" s="38">
        <f t="shared" si="7"/>
        <v>0.011279442662833095</v>
      </c>
    </row>
    <row r="113" ht="15" customHeight="1">
      <c r="B113" s="24" t="s">
        <v>304</v>
      </c>
      <c r="C113" s="9">
        <f t="shared" si="14" ref="C113:J113">C110-C95</f>
        <v>4700</v>
      </c>
      <c r="D113" s="9">
        <f t="shared" si="14"/>
        <v>5646</v>
      </c>
      <c r="E113" s="9">
        <f t="shared" si="14"/>
        <v>6860</v>
      </c>
      <c r="F113" s="9">
        <f t="shared" si="14"/>
        <v>7408</v>
      </c>
      <c r="G113" s="9">
        <f t="shared" si="14"/>
        <v>24614</v>
      </c>
      <c r="H113" s="9">
        <f t="shared" si="14"/>
        <v>6967</v>
      </c>
      <c r="I113" s="9">
        <f t="shared" si="14"/>
        <v>7382</v>
      </c>
      <c r="J113" s="54">
        <f t="shared" si="14"/>
        <v>7415</v>
      </c>
    </row>
    <row r="114" ht="15" customHeight="1">
      <c r="B114" s="37" t="s">
        <v>75</v>
      </c>
      <c r="C114" s="10" t="s">
        <v>31</v>
      </c>
      <c r="D114" s="10" t="s">
        <v>31</v>
      </c>
      <c r="E114" s="10" t="s">
        <v>31</v>
      </c>
      <c r="F114" s="10" t="s">
        <v>31</v>
      </c>
      <c r="G114" s="10" t="s">
        <v>31</v>
      </c>
      <c r="H114" s="10">
        <f t="shared" si="0"/>
        <v>0.4823404255319148</v>
      </c>
      <c r="I114" s="10">
        <f t="shared" si="0"/>
        <v>0.30747431810131065</v>
      </c>
      <c r="J114" s="38">
        <f t="shared" si="0"/>
        <v>0.08090379008746362</v>
      </c>
    </row>
    <row r="115" ht="15" customHeight="1">
      <c r="B115" s="37" t="s">
        <v>92</v>
      </c>
      <c r="C115" s="50" t="s">
        <v>31</v>
      </c>
      <c r="D115" s="50">
        <f t="shared" si="1"/>
        <v>946</v>
      </c>
      <c r="E115" s="50">
        <f t="shared" si="1"/>
        <v>1214</v>
      </c>
      <c r="F115" s="50">
        <f t="shared" si="1"/>
        <v>548</v>
      </c>
      <c r="G115" s="50" t="s">
        <v>31</v>
      </c>
      <c r="H115" s="50">
        <f t="shared" si="3"/>
        <v>-441</v>
      </c>
      <c r="I115" s="50">
        <f t="shared" si="1"/>
        <v>415</v>
      </c>
      <c r="J115" s="51">
        <f t="shared" si="1"/>
        <v>33</v>
      </c>
    </row>
    <row r="116" ht="15" customHeight="1">
      <c r="B116" s="45" t="s">
        <v>305</v>
      </c>
      <c r="C116" s="41">
        <f t="shared" si="15" ref="C116:J116">C75-C110</f>
        <v>4098</v>
      </c>
      <c r="D116" s="41">
        <f t="shared" si="15"/>
        <v>5501</v>
      </c>
      <c r="E116" s="41">
        <f t="shared" si="15"/>
        <v>7096</v>
      </c>
      <c r="F116" s="41">
        <f t="shared" si="15"/>
        <v>6241</v>
      </c>
      <c r="G116" s="41">
        <f t="shared" si="15"/>
        <v>22936</v>
      </c>
      <c r="H116" s="41">
        <f t="shared" si="15"/>
        <v>6767</v>
      </c>
      <c r="I116" s="41">
        <f t="shared" si="15"/>
        <v>6807</v>
      </c>
      <c r="J116" s="42">
        <f t="shared" si="15"/>
        <v>7121.599545785388</v>
      </c>
    </row>
    <row r="117" ht="15" customHeight="1">
      <c r="B117" s="37" t="s">
        <v>75</v>
      </c>
      <c r="C117" s="10" t="s">
        <v>31</v>
      </c>
      <c r="D117" s="10" t="s">
        <v>31</v>
      </c>
      <c r="E117" s="10" t="s">
        <v>31</v>
      </c>
      <c r="F117" s="10" t="s">
        <v>31</v>
      </c>
      <c r="G117" s="10" t="s">
        <v>31</v>
      </c>
      <c r="H117" s="10">
        <f t="shared" si="0"/>
        <v>0.6512933138116155</v>
      </c>
      <c r="I117" s="10">
        <f t="shared" si="0"/>
        <v>0.23741137974913662</v>
      </c>
      <c r="J117" s="38">
        <f t="shared" si="0"/>
        <v>0.003607602280917055</v>
      </c>
    </row>
    <row r="118" ht="15" customHeight="1">
      <c r="B118" s="37" t="s">
        <v>92</v>
      </c>
      <c r="C118" s="50" t="s">
        <v>31</v>
      </c>
      <c r="D118" s="50">
        <f t="shared" si="1"/>
        <v>1403</v>
      </c>
      <c r="E118" s="50">
        <f t="shared" si="1"/>
        <v>1595</v>
      </c>
      <c r="F118" s="50">
        <f t="shared" si="1"/>
        <v>-855</v>
      </c>
      <c r="G118" s="50" t="s">
        <v>31</v>
      </c>
      <c r="H118" s="50">
        <f t="shared" si="3"/>
        <v>526</v>
      </c>
      <c r="I118" s="50">
        <f t="shared" si="1"/>
        <v>40</v>
      </c>
      <c r="J118" s="51">
        <f t="shared" si="1"/>
        <v>314.5995457853878</v>
      </c>
    </row>
    <row r="119" ht="15" customHeight="1">
      <c r="B119" s="4" t="s">
        <v>306</v>
      </c>
      <c r="C119" s="41">
        <f t="shared" si="16" ref="C119:J119">C75-C85-C110</f>
        <v>1729</v>
      </c>
      <c r="D119" s="41">
        <f t="shared" si="16"/>
        <v>-5929</v>
      </c>
      <c r="E119" s="41">
        <f t="shared" si="16"/>
        <v>4382</v>
      </c>
      <c r="F119" s="41">
        <f t="shared" si="16"/>
        <v>2099</v>
      </c>
      <c r="G119" s="41">
        <f t="shared" si="16"/>
        <v>2281</v>
      </c>
      <c r="H119" s="41">
        <f t="shared" si="16"/>
        <v>2699</v>
      </c>
      <c r="I119" s="41">
        <f t="shared" si="16"/>
        <v>3818</v>
      </c>
      <c r="J119" s="42">
        <f t="shared" si="16"/>
        <v>3634.7350457853863</v>
      </c>
    </row>
    <row r="120" ht="15" customHeight="1">
      <c r="B120" s="37" t="s">
        <v>75</v>
      </c>
      <c r="C120" s="10" t="s">
        <v>31</v>
      </c>
      <c r="D120" s="10" t="s">
        <v>31</v>
      </c>
      <c r="E120" s="10" t="s">
        <v>31</v>
      </c>
      <c r="F120" s="10" t="s">
        <v>31</v>
      </c>
      <c r="G120" s="10" t="s">
        <v>31</v>
      </c>
      <c r="H120" s="10">
        <f t="shared" si="0"/>
        <v>0.5610179294389821</v>
      </c>
      <c r="I120" s="10" t="str">
        <f t="shared" si="0"/>
        <v>n/m</v>
      </c>
      <c r="J120" s="38">
        <f t="shared" si="0"/>
        <v>-0.1705305691954846</v>
      </c>
    </row>
    <row r="121" ht="15" customHeight="1">
      <c r="B121" s="43" t="s">
        <v>92</v>
      </c>
      <c r="C121" s="50" t="s">
        <v>31</v>
      </c>
      <c r="D121" s="50">
        <f t="shared" si="1"/>
        <v>-7658</v>
      </c>
      <c r="E121" s="50">
        <f t="shared" si="1"/>
        <v>10311</v>
      </c>
      <c r="F121" s="50">
        <f t="shared" si="1"/>
        <v>-2283</v>
      </c>
      <c r="G121" s="50" t="s">
        <v>31</v>
      </c>
      <c r="H121" s="50">
        <f t="shared" si="3"/>
        <v>600</v>
      </c>
      <c r="I121" s="50">
        <f t="shared" si="1"/>
        <v>1119</v>
      </c>
      <c r="J121" s="51">
        <f t="shared" si="1"/>
        <v>-183.26495421461368</v>
      </c>
    </row>
    <row r="122" ht="15" customHeight="1">
      <c r="B122" s="37" t="s">
        <v>307</v>
      </c>
      <c r="C122" s="10">
        <f t="shared" si="17" ref="C122:I122">C125/C119</f>
        <v>0.18796992481203006</v>
      </c>
      <c r="D122" s="10">
        <f t="shared" si="17"/>
        <v>0.2809917355371901</v>
      </c>
      <c r="E122" s="10">
        <f t="shared" si="17"/>
        <v>0.2713372889091739</v>
      </c>
      <c r="F122" s="10">
        <f t="shared" si="17"/>
        <v>0.16436398284897571</v>
      </c>
      <c r="G122" s="10">
        <f t="shared" si="17"/>
        <v>0.08461201227531784</v>
      </c>
      <c r="H122" s="10">
        <f t="shared" si="17"/>
        <v>0.19192293442015562</v>
      </c>
      <c r="I122" s="10">
        <f t="shared" si="17"/>
        <v>0.20900995285489785</v>
      </c>
      <c r="J122" s="56">
        <v>0.21</v>
      </c>
      <c r="K122" s="40" t="s">
        <v>136</v>
      </c>
    </row>
    <row r="123" ht="15" customHeight="1">
      <c r="B123" s="57" t="s">
        <v>137</v>
      </c>
      <c r="C123" s="58" t="s">
        <v>31</v>
      </c>
      <c r="D123" s="58">
        <f t="shared" si="18" ref="D123:J247">IF(AND(ISNUMBER(D122),ISNUMBER(C122)),(D122-C122)*10000,"n/a")</f>
        <v>930.2181072516003</v>
      </c>
      <c r="E123" s="58">
        <f t="shared" si="18"/>
        <v>-96.54446628016177</v>
      </c>
      <c r="F123" s="58">
        <f t="shared" si="18"/>
        <v>-1069.733060601982</v>
      </c>
      <c r="G123" s="58" t="s">
        <v>31</v>
      </c>
      <c r="H123" s="58">
        <f t="shared" si="23" ref="H123:H247">IF(AND(ISNUMBER(H122),ISNUMBER(F122)),(H122-F122)*10000,"n/a")</f>
        <v>275.5895157117991</v>
      </c>
      <c r="I123" s="58">
        <f t="shared" si="18"/>
        <v>170.87018434742222</v>
      </c>
      <c r="J123" s="59">
        <f t="shared" si="18"/>
        <v>9.900471451021463</v>
      </c>
    </row>
    <row r="124" ht="15" customHeight="1">
      <c r="B124" s="57" t="s">
        <v>138</v>
      </c>
      <c r="C124" s="58" t="s">
        <v>31</v>
      </c>
      <c r="D124" s="58" t="s">
        <v>31</v>
      </c>
      <c r="E124" s="58" t="s">
        <v>31</v>
      </c>
      <c r="F124" s="58" t="s">
        <v>31</v>
      </c>
      <c r="G124" s="58" t="s">
        <v>31</v>
      </c>
      <c r="H124" s="58">
        <f t="shared" si="19" ref="H124:J248">IF(AND(ISNUMBER(H122),ISNUMBER(C122)),(H122-C122)*10000,"n/a")</f>
        <v>39.53009608125557</v>
      </c>
      <c r="I124" s="58">
        <f t="shared" si="19"/>
        <v>-719.8178268229225</v>
      </c>
      <c r="J124" s="59">
        <f t="shared" si="19"/>
        <v>-613.3728890917392</v>
      </c>
    </row>
    <row r="125" ht="15" customHeight="1">
      <c r="B125" s="24" t="s">
        <v>308</v>
      </c>
      <c r="C125" s="12">
        <v>325</v>
      </c>
      <c r="D125" s="12">
        <v>-1666</v>
      </c>
      <c r="E125" s="12">
        <v>1189</v>
      </c>
      <c r="F125" s="12">
        <v>345</v>
      </c>
      <c r="G125" s="9">
        <f t="shared" si="2"/>
        <v>193</v>
      </c>
      <c r="H125" s="12">
        <v>518</v>
      </c>
      <c r="I125" s="12">
        <v>798</v>
      </c>
      <c r="J125" s="54">
        <f>J119*J122</f>
        <v>763.2943596149311</v>
      </c>
      <c r="K125" s="40" t="s">
        <v>281</v>
      </c>
    </row>
    <row r="126" ht="15" customHeight="1">
      <c r="B126" s="37" t="s">
        <v>75</v>
      </c>
      <c r="C126" s="10" t="s">
        <v>31</v>
      </c>
      <c r="D126" s="10" t="s">
        <v>31</v>
      </c>
      <c r="E126" s="10" t="s">
        <v>31</v>
      </c>
      <c r="F126" s="10" t="s">
        <v>31</v>
      </c>
      <c r="G126" s="10" t="s">
        <v>31</v>
      </c>
      <c r="H126" s="10">
        <f t="shared" si="0"/>
        <v>0.5938461538461539</v>
      </c>
      <c r="I126" s="10" t="str">
        <f t="shared" si="0"/>
        <v>n/m</v>
      </c>
      <c r="J126" s="38">
        <f t="shared" si="0"/>
        <v>-0.35803670343571814</v>
      </c>
    </row>
    <row r="127" ht="15" customHeight="1">
      <c r="B127" s="37" t="s">
        <v>92</v>
      </c>
      <c r="C127" s="50" t="s">
        <v>31</v>
      </c>
      <c r="D127" s="50">
        <f t="shared" si="1"/>
        <v>-1991</v>
      </c>
      <c r="E127" s="50">
        <f t="shared" si="1"/>
        <v>2855</v>
      </c>
      <c r="F127" s="50">
        <f t="shared" si="1"/>
        <v>-844</v>
      </c>
      <c r="G127" s="50" t="s">
        <v>31</v>
      </c>
      <c r="H127" s="50">
        <f t="shared" si="3"/>
        <v>173</v>
      </c>
      <c r="I127" s="50">
        <f t="shared" si="1"/>
        <v>280</v>
      </c>
      <c r="J127" s="51">
        <f t="shared" si="1"/>
        <v>-34.70564038506893</v>
      </c>
    </row>
    <row r="128" ht="15" customHeight="1">
      <c r="B128" s="24" t="s">
        <v>309</v>
      </c>
      <c r="C128" s="9">
        <f t="shared" si="20" ref="C128:J128">C119-C125</f>
        <v>1404</v>
      </c>
      <c r="D128" s="9">
        <f t="shared" si="20"/>
        <v>-4263</v>
      </c>
      <c r="E128" s="9">
        <f t="shared" si="20"/>
        <v>3193</v>
      </c>
      <c r="F128" s="9">
        <f t="shared" si="20"/>
        <v>1754</v>
      </c>
      <c r="G128" s="9">
        <f t="shared" si="20"/>
        <v>2088</v>
      </c>
      <c r="H128" s="9">
        <f t="shared" si="20"/>
        <v>2181</v>
      </c>
      <c r="I128" s="9">
        <f t="shared" si="20"/>
        <v>3020</v>
      </c>
      <c r="J128" s="54">
        <f t="shared" si="20"/>
        <v>2871.440686170455</v>
      </c>
    </row>
    <row r="129" ht="15" customHeight="1">
      <c r="B129" s="37" t="s">
        <v>75</v>
      </c>
      <c r="C129" s="10" t="s">
        <v>31</v>
      </c>
      <c r="D129" s="10" t="s">
        <v>31</v>
      </c>
      <c r="E129" s="10" t="s">
        <v>31</v>
      </c>
      <c r="F129" s="10" t="s">
        <v>31</v>
      </c>
      <c r="G129" s="10" t="s">
        <v>31</v>
      </c>
      <c r="H129" s="10">
        <f t="shared" si="0"/>
        <v>0.5534188034188035</v>
      </c>
      <c r="I129" s="10" t="str">
        <f t="shared" si="0"/>
        <v>n/m</v>
      </c>
      <c r="J129" s="38">
        <f t="shared" si="0"/>
        <v>-0.10070758341044317</v>
      </c>
    </row>
    <row r="130" ht="15" customHeight="1">
      <c r="B130" s="37" t="s">
        <v>92</v>
      </c>
      <c r="C130" s="50" t="s">
        <v>31</v>
      </c>
      <c r="D130" s="50">
        <f t="shared" si="1"/>
        <v>-5667</v>
      </c>
      <c r="E130" s="50">
        <f t="shared" si="1"/>
        <v>7456</v>
      </c>
      <c r="F130" s="50">
        <f t="shared" si="1"/>
        <v>-1439</v>
      </c>
      <c r="G130" s="50" t="s">
        <v>31</v>
      </c>
      <c r="H130" s="50">
        <f t="shared" si="3"/>
        <v>427</v>
      </c>
      <c r="I130" s="50">
        <f t="shared" si="1"/>
        <v>839</v>
      </c>
      <c r="J130" s="51">
        <f t="shared" si="1"/>
        <v>-148.55931382954486</v>
      </c>
    </row>
    <row r="131" ht="15" customHeight="1">
      <c r="B131" s="24" t="s">
        <v>310</v>
      </c>
      <c r="C131" s="12">
        <v>0</v>
      </c>
      <c r="D131" s="12">
        <v>-14</v>
      </c>
      <c r="E131" s="12">
        <v>-1</v>
      </c>
      <c r="F131" s="12">
        <v>380</v>
      </c>
      <c r="G131" s="9">
        <f t="shared" si="2"/>
        <v>365</v>
      </c>
      <c r="H131" s="12">
        <v>-7</v>
      </c>
      <c r="I131" s="12">
        <v>0</v>
      </c>
      <c r="J131" s="39">
        <v>0</v>
      </c>
      <c r="K131" s="40" t="s">
        <v>281</v>
      </c>
    </row>
    <row r="132" ht="15" customHeight="1">
      <c r="B132" s="37" t="s">
        <v>75</v>
      </c>
      <c r="C132" s="10" t="s">
        <v>31</v>
      </c>
      <c r="D132" s="10" t="s">
        <v>31</v>
      </c>
      <c r="E132" s="10" t="s">
        <v>31</v>
      </c>
      <c r="F132" s="10" t="s">
        <v>31</v>
      </c>
      <c r="G132" s="10" t="s">
        <v>31</v>
      </c>
      <c r="H132" s="10" t="str">
        <f t="shared" si="0"/>
        <v>n/m</v>
      </c>
      <c r="I132" s="10" t="str">
        <f t="shared" si="0"/>
        <v>n/m</v>
      </c>
      <c r="J132" s="38" t="str">
        <f t="shared" si="0"/>
        <v>n/m</v>
      </c>
    </row>
    <row r="133" ht="15" customHeight="1">
      <c r="B133" s="37" t="s">
        <v>92</v>
      </c>
      <c r="C133" s="50" t="s">
        <v>31</v>
      </c>
      <c r="D133" s="50">
        <f t="shared" si="1"/>
        <v>-14</v>
      </c>
      <c r="E133" s="50">
        <f t="shared" si="1"/>
        <v>13</v>
      </c>
      <c r="F133" s="50">
        <f t="shared" si="1"/>
        <v>381</v>
      </c>
      <c r="G133" s="50" t="s">
        <v>31</v>
      </c>
      <c r="H133" s="50">
        <f t="shared" si="3"/>
        <v>-387</v>
      </c>
      <c r="I133" s="50">
        <f t="shared" si="1"/>
        <v>7</v>
      </c>
      <c r="J133" s="51">
        <f t="shared" si="1"/>
        <v>0</v>
      </c>
    </row>
    <row r="134" ht="15" customHeight="1">
      <c r="B134" s="4" t="s">
        <v>311</v>
      </c>
      <c r="C134" s="41">
        <f t="shared" si="21" ref="C134:J194">C128+C131</f>
        <v>1404</v>
      </c>
      <c r="D134" s="41">
        <f t="shared" si="21"/>
        <v>-4277</v>
      </c>
      <c r="E134" s="41">
        <f t="shared" si="21"/>
        <v>3192</v>
      </c>
      <c r="F134" s="41">
        <f t="shared" si="21"/>
        <v>2134</v>
      </c>
      <c r="G134" s="41">
        <f t="shared" si="21"/>
        <v>2453</v>
      </c>
      <c r="H134" s="41">
        <f t="shared" si="21"/>
        <v>2174</v>
      </c>
      <c r="I134" s="41">
        <f t="shared" si="21"/>
        <v>3020</v>
      </c>
      <c r="J134" s="42">
        <f t="shared" si="21"/>
        <v>2871.440686170455</v>
      </c>
    </row>
    <row r="135" ht="15" customHeight="1">
      <c r="B135" s="37" t="s">
        <v>75</v>
      </c>
      <c r="C135" s="10" t="s">
        <v>31</v>
      </c>
      <c r="D135" s="10" t="s">
        <v>31</v>
      </c>
      <c r="E135" s="10" t="s">
        <v>31</v>
      </c>
      <c r="F135" s="10" t="s">
        <v>31</v>
      </c>
      <c r="G135" s="10" t="s">
        <v>31</v>
      </c>
      <c r="H135" s="10">
        <f t="shared" si="0"/>
        <v>0.5484330484330484</v>
      </c>
      <c r="I135" s="10" t="str">
        <f t="shared" si="0"/>
        <v>n/m</v>
      </c>
      <c r="J135" s="38">
        <f t="shared" si="0"/>
        <v>-0.10042585019722583</v>
      </c>
    </row>
    <row r="136" ht="15" customHeight="1">
      <c r="B136" s="43" t="s">
        <v>92</v>
      </c>
      <c r="C136" s="50" t="s">
        <v>31</v>
      </c>
      <c r="D136" s="50">
        <f t="shared" si="1"/>
        <v>-5681</v>
      </c>
      <c r="E136" s="50">
        <f t="shared" si="1"/>
        <v>7469</v>
      </c>
      <c r="F136" s="50">
        <f t="shared" si="1"/>
        <v>-1058</v>
      </c>
      <c r="G136" s="50" t="s">
        <v>31</v>
      </c>
      <c r="H136" s="50">
        <f t="shared" si="3"/>
        <v>40</v>
      </c>
      <c r="I136" s="50">
        <f t="shared" si="1"/>
        <v>846</v>
      </c>
      <c r="J136" s="51">
        <f t="shared" si="1"/>
        <v>-148.55931382954486</v>
      </c>
    </row>
    <row r="137" ht="15" customHeight="1">
      <c r="B137" s="37" t="s">
        <v>312</v>
      </c>
      <c r="C137" s="10">
        <f t="shared" si="22" ref="C137:I137">IF(C134&gt;0,-C140/C134,"n/m")</f>
        <v>0.01566951566951567</v>
      </c>
      <c r="D137" s="10" t="str">
        <f t="shared" si="22"/>
        <v>n/m</v>
      </c>
      <c r="E137" s="10">
        <f t="shared" si="22"/>
        <v>0.010338345864661654</v>
      </c>
      <c r="F137" s="10">
        <f t="shared" si="22"/>
        <v>0.00937207122774133</v>
      </c>
      <c r="G137" s="10">
        <f t="shared" si="22"/>
        <v>0.01059926620464737</v>
      </c>
      <c r="H137" s="10">
        <f t="shared" si="22"/>
        <v>0.00919963201471941</v>
      </c>
      <c r="I137" s="10">
        <f t="shared" si="22"/>
        <v>0.009271523178807948</v>
      </c>
      <c r="J137" s="56">
        <v>0.0093</v>
      </c>
      <c r="K137" s="40" t="s">
        <v>136</v>
      </c>
    </row>
    <row r="138" ht="15" customHeight="1">
      <c r="B138" s="57" t="s">
        <v>137</v>
      </c>
      <c r="C138" s="58" t="s">
        <v>31</v>
      </c>
      <c r="D138" s="58" t="str">
        <f t="shared" si="18"/>
        <v>n/a</v>
      </c>
      <c r="E138" s="58" t="str">
        <f t="shared" si="18"/>
        <v>n/a</v>
      </c>
      <c r="F138" s="58">
        <f t="shared" si="18"/>
        <v>-9.662746369203234</v>
      </c>
      <c r="G138" s="58" t="s">
        <v>31</v>
      </c>
      <c r="H138" s="58">
        <f t="shared" si="23"/>
        <v>-1.7243921302191947</v>
      </c>
      <c r="I138" s="58">
        <f t="shared" si="18"/>
        <v>0.7189116408853717</v>
      </c>
      <c r="J138" s="59">
        <f t="shared" si="18"/>
        <v>0.2847682119205136</v>
      </c>
    </row>
    <row r="139" ht="15" customHeight="1">
      <c r="B139" s="57" t="s">
        <v>138</v>
      </c>
      <c r="C139" s="58" t="s">
        <v>31</v>
      </c>
      <c r="D139" s="58" t="s">
        <v>31</v>
      </c>
      <c r="E139" s="58" t="s">
        <v>31</v>
      </c>
      <c r="F139" s="58" t="s">
        <v>31</v>
      </c>
      <c r="G139" s="58" t="s">
        <v>31</v>
      </c>
      <c r="H139" s="58">
        <f t="shared" si="19"/>
        <v>-64.6988365479626</v>
      </c>
      <c r="I139" s="58" t="str">
        <f t="shared" si="19"/>
        <v>n/a</v>
      </c>
      <c r="J139" s="59">
        <f t="shared" si="19"/>
        <v>-10.383458646616543</v>
      </c>
    </row>
    <row r="140" ht="15" customHeight="1">
      <c r="B140" s="24" t="s">
        <v>313</v>
      </c>
      <c r="C140" s="12">
        <v>-22</v>
      </c>
      <c r="D140" s="12">
        <v>-4</v>
      </c>
      <c r="E140" s="12">
        <v>-33</v>
      </c>
      <c r="F140" s="12">
        <v>-20</v>
      </c>
      <c r="G140" s="12">
        <v>-26</v>
      </c>
      <c r="H140" s="12">
        <v>-20</v>
      </c>
      <c r="I140" s="12">
        <v>-28</v>
      </c>
      <c r="J140" s="54">
        <f t="shared" si="34" ref="J140:J221">-J134*J137</f>
        <v>-26.704398381385232</v>
      </c>
      <c r="K140" s="40" t="s">
        <v>314</v>
      </c>
    </row>
    <row r="141" ht="15" customHeight="1">
      <c r="B141" s="37" t="s">
        <v>75</v>
      </c>
      <c r="C141" s="10" t="s">
        <v>31</v>
      </c>
      <c r="D141" s="10" t="s">
        <v>31</v>
      </c>
      <c r="E141" s="10" t="s">
        <v>31</v>
      </c>
      <c r="F141" s="10" t="s">
        <v>31</v>
      </c>
      <c r="G141" s="10" t="s">
        <v>31</v>
      </c>
      <c r="H141" s="10" t="str">
        <f t="shared" si="0"/>
        <v>n/m</v>
      </c>
      <c r="I141" s="10" t="str">
        <f t="shared" si="0"/>
        <v>n/m</v>
      </c>
      <c r="J141" s="38" t="str">
        <f t="shared" si="0"/>
        <v>n/m</v>
      </c>
    </row>
    <row r="142" ht="15" customHeight="1">
      <c r="B142" s="37" t="s">
        <v>92</v>
      </c>
      <c r="C142" s="50" t="s">
        <v>31</v>
      </c>
      <c r="D142" s="50">
        <f t="shared" si="1"/>
        <v>18</v>
      </c>
      <c r="E142" s="50">
        <f t="shared" si="1"/>
        <v>-29</v>
      </c>
      <c r="F142" s="50">
        <f t="shared" si="1"/>
        <v>13</v>
      </c>
      <c r="G142" s="50" t="s">
        <v>31</v>
      </c>
      <c r="H142" s="50">
        <f t="shared" si="3"/>
        <v>0</v>
      </c>
      <c r="I142" s="50">
        <f t="shared" si="1"/>
        <v>-8</v>
      </c>
      <c r="J142" s="51">
        <f t="shared" si="1"/>
        <v>1.2956016186147679</v>
      </c>
    </row>
    <row r="143" ht="15" customHeight="1">
      <c r="B143" s="24" t="s">
        <v>315</v>
      </c>
      <c r="C143" s="12">
        <v>-57</v>
      </c>
      <c r="D143" s="12">
        <v>-65</v>
      </c>
      <c r="E143" s="12">
        <v>-73</v>
      </c>
      <c r="F143" s="12">
        <v>-57</v>
      </c>
      <c r="G143" s="9">
        <f t="shared" si="2"/>
        <v>-252</v>
      </c>
      <c r="H143" s="12">
        <v>-73</v>
      </c>
      <c r="I143" s="12">
        <v>-57</v>
      </c>
      <c r="J143" s="39">
        <v>-73</v>
      </c>
      <c r="K143" s="40" t="s">
        <v>281</v>
      </c>
    </row>
    <row r="144" ht="15" customHeight="1">
      <c r="B144" s="37" t="s">
        <v>75</v>
      </c>
      <c r="C144" s="10" t="s">
        <v>31</v>
      </c>
      <c r="D144" s="10" t="s">
        <v>31</v>
      </c>
      <c r="E144" s="10" t="s">
        <v>31</v>
      </c>
      <c r="F144" s="10" t="s">
        <v>31</v>
      </c>
      <c r="G144" s="10" t="s">
        <v>31</v>
      </c>
      <c r="H144" s="10" t="str">
        <f t="shared" si="0"/>
        <v>n/m</v>
      </c>
      <c r="I144" s="10" t="str">
        <f t="shared" si="0"/>
        <v>n/m</v>
      </c>
      <c r="J144" s="38" t="str">
        <f t="shared" si="0"/>
        <v>n/m</v>
      </c>
    </row>
    <row r="145" ht="15" customHeight="1">
      <c r="B145" s="37" t="s">
        <v>92</v>
      </c>
      <c r="C145" s="50" t="s">
        <v>31</v>
      </c>
      <c r="D145" s="50">
        <f t="shared" si="1"/>
        <v>-8</v>
      </c>
      <c r="E145" s="50">
        <f t="shared" si="1"/>
        <v>-8</v>
      </c>
      <c r="F145" s="50">
        <f t="shared" si="1"/>
        <v>16</v>
      </c>
      <c r="G145" s="50" t="s">
        <v>31</v>
      </c>
      <c r="H145" s="50">
        <f t="shared" si="3"/>
        <v>-16</v>
      </c>
      <c r="I145" s="50">
        <f t="shared" si="1"/>
        <v>16</v>
      </c>
      <c r="J145" s="51">
        <f t="shared" si="1"/>
        <v>-16</v>
      </c>
    </row>
    <row r="146" ht="15" customHeight="1">
      <c r="B146" s="24" t="s">
        <v>316</v>
      </c>
      <c r="C146" s="12">
        <v>0</v>
      </c>
      <c r="D146" s="12">
        <v>6</v>
      </c>
      <c r="E146" s="12">
        <v>0</v>
      </c>
      <c r="F146" s="12">
        <v>0</v>
      </c>
      <c r="G146" s="9">
        <f t="shared" si="2"/>
        <v>6</v>
      </c>
      <c r="H146" s="12">
        <v>0</v>
      </c>
      <c r="I146" s="12">
        <v>0</v>
      </c>
      <c r="J146" s="39">
        <v>0</v>
      </c>
      <c r="K146" s="40" t="s">
        <v>281</v>
      </c>
    </row>
    <row r="147" ht="15" customHeight="1">
      <c r="B147" s="37" t="s">
        <v>75</v>
      </c>
      <c r="C147" s="10" t="s">
        <v>31</v>
      </c>
      <c r="D147" s="10" t="s">
        <v>31</v>
      </c>
      <c r="E147" s="10" t="s">
        <v>31</v>
      </c>
      <c r="F147" s="10" t="s">
        <v>31</v>
      </c>
      <c r="G147" s="10" t="s">
        <v>31</v>
      </c>
      <c r="H147" s="10" t="str">
        <f t="shared" si="0"/>
        <v>n/m</v>
      </c>
      <c r="I147" s="10">
        <f t="shared" si="0"/>
        <v>-1</v>
      </c>
      <c r="J147" s="38" t="str">
        <f t="shared" si="0"/>
        <v>n/m</v>
      </c>
    </row>
    <row r="148" ht="15" customHeight="1">
      <c r="B148" s="37" t="s">
        <v>92</v>
      </c>
      <c r="C148" s="50" t="s">
        <v>31</v>
      </c>
      <c r="D148" s="50">
        <f t="shared" si="1"/>
        <v>6</v>
      </c>
      <c r="E148" s="50">
        <f t="shared" si="1"/>
        <v>-6</v>
      </c>
      <c r="F148" s="50">
        <f t="shared" si="1"/>
        <v>0</v>
      </c>
      <c r="G148" s="50" t="s">
        <v>31</v>
      </c>
      <c r="H148" s="50">
        <f t="shared" si="3"/>
        <v>0</v>
      </c>
      <c r="I148" s="50">
        <f t="shared" si="1"/>
        <v>0</v>
      </c>
      <c r="J148" s="51">
        <f t="shared" si="1"/>
        <v>0</v>
      </c>
    </row>
    <row r="149" ht="15" customHeight="1">
      <c r="B149" s="4" t="s">
        <v>317</v>
      </c>
      <c r="C149" s="41">
        <f t="shared" si="24" ref="C149:J149">C134+C140+C143+C146</f>
        <v>1325</v>
      </c>
      <c r="D149" s="41">
        <f t="shared" si="24"/>
        <v>-4340</v>
      </c>
      <c r="E149" s="41">
        <f t="shared" si="24"/>
        <v>3086</v>
      </c>
      <c r="F149" s="41">
        <f t="shared" si="24"/>
        <v>2057</v>
      </c>
      <c r="G149" s="41">
        <f t="shared" si="24"/>
        <v>2181</v>
      </c>
      <c r="H149" s="41">
        <f t="shared" si="24"/>
        <v>2081</v>
      </c>
      <c r="I149" s="41">
        <f t="shared" si="24"/>
        <v>2935</v>
      </c>
      <c r="J149" s="42">
        <f t="shared" si="24"/>
        <v>2771.73628778907</v>
      </c>
    </row>
    <row r="150" ht="15" customHeight="1">
      <c r="B150" s="37" t="s">
        <v>75</v>
      </c>
      <c r="C150" s="10" t="s">
        <v>31</v>
      </c>
      <c r="D150" s="10" t="s">
        <v>31</v>
      </c>
      <c r="E150" s="10" t="s">
        <v>31</v>
      </c>
      <c r="F150" s="10" t="s">
        <v>31</v>
      </c>
      <c r="G150" s="10" t="s">
        <v>31</v>
      </c>
      <c r="H150" s="10">
        <f t="shared" si="0"/>
        <v>0.570566037735849</v>
      </c>
      <c r="I150" s="10" t="str">
        <f t="shared" si="0"/>
        <v>n/m</v>
      </c>
      <c r="J150" s="38">
        <f t="shared" si="0"/>
        <v>-0.10183529235610178</v>
      </c>
    </row>
    <row r="151" ht="15" customHeight="1">
      <c r="B151" s="43" t="s">
        <v>92</v>
      </c>
      <c r="C151" s="50" t="s">
        <v>31</v>
      </c>
      <c r="D151" s="50">
        <f t="shared" si="1"/>
        <v>-5665</v>
      </c>
      <c r="E151" s="50">
        <f t="shared" si="1"/>
        <v>7426</v>
      </c>
      <c r="F151" s="50">
        <f t="shared" si="1"/>
        <v>-1029</v>
      </c>
      <c r="G151" s="50" t="s">
        <v>31</v>
      </c>
      <c r="H151" s="50">
        <f t="shared" si="3"/>
        <v>24</v>
      </c>
      <c r="I151" s="50">
        <f t="shared" si="1"/>
        <v>854</v>
      </c>
      <c r="J151" s="51">
        <f t="shared" si="1"/>
        <v>-163.26371221092995</v>
      </c>
    </row>
    <row r="152" ht="15" customHeight="1">
      <c r="B152" s="24" t="s">
        <v>318</v>
      </c>
      <c r="C152" s="8">
        <f>'Share Count'!C30</f>
        <v>383.1</v>
      </c>
      <c r="D152" s="8">
        <f>'Share Count'!D30</f>
        <v>505.6</v>
      </c>
      <c r="E152" s="8">
        <f>'Share Count'!E30</f>
        <v>639</v>
      </c>
      <c r="F152" s="8">
        <f>'Share Count'!F30</f>
        <v>631.1</v>
      </c>
      <c r="G152" s="8">
        <f>'Share Count'!G30</f>
        <v>540.7</v>
      </c>
      <c r="H152" s="8">
        <f>'Share Count'!H30</f>
        <v>622.5</v>
      </c>
      <c r="I152" s="8">
        <f>'Share Count'!I30</f>
        <v>620.5</v>
      </c>
      <c r="J152" s="36">
        <f>'Share Count'!J30</f>
        <v>607.55</v>
      </c>
    </row>
    <row r="153" ht="15" customHeight="1">
      <c r="B153" s="37" t="s">
        <v>75</v>
      </c>
      <c r="C153" s="10" t="s">
        <v>31</v>
      </c>
      <c r="D153" s="10" t="s">
        <v>31</v>
      </c>
      <c r="E153" s="10" t="s">
        <v>31</v>
      </c>
      <c r="F153" s="10" t="s">
        <v>31</v>
      </c>
      <c r="G153" s="10" t="s">
        <v>31</v>
      </c>
      <c r="H153" s="10">
        <f t="shared" si="0"/>
        <v>0.6249021143304618</v>
      </c>
      <c r="I153" s="10">
        <f t="shared" si="0"/>
        <v>0.2272547468354429</v>
      </c>
      <c r="J153" s="38">
        <f t="shared" si="0"/>
        <v>-0.049217527386541504</v>
      </c>
    </row>
    <row r="154" ht="15" customHeight="1">
      <c r="B154" s="37" t="s">
        <v>92</v>
      </c>
      <c r="C154" s="50" t="s">
        <v>31</v>
      </c>
      <c r="D154" s="50">
        <f t="shared" si="1"/>
        <v>122.5</v>
      </c>
      <c r="E154" s="50">
        <f t="shared" si="1"/>
        <v>133.39999999999998</v>
      </c>
      <c r="F154" s="50">
        <f t="shared" si="1"/>
        <v>-7.899999999999977</v>
      </c>
      <c r="G154" s="50" t="s">
        <v>31</v>
      </c>
      <c r="H154" s="50">
        <f t="shared" si="3"/>
        <v>-8.600000000000023</v>
      </c>
      <c r="I154" s="50">
        <f t="shared" si="1"/>
        <v>-2</v>
      </c>
      <c r="J154" s="51">
        <f t="shared" si="1"/>
        <v>-12.950000000000045</v>
      </c>
    </row>
    <row r="155" ht="15" customHeight="1">
      <c r="B155" s="24" t="s">
        <v>319</v>
      </c>
      <c r="C155" s="8">
        <f>'Share Count'!C36</f>
        <v>384</v>
      </c>
      <c r="D155" s="8">
        <f>'Share Count'!D36</f>
        <v>505.6</v>
      </c>
      <c r="E155" s="8">
        <f>'Share Count'!E36</f>
        <v>639.5</v>
      </c>
      <c r="F155" s="8">
        <f>'Share Count'!F36</f>
        <v>631.6</v>
      </c>
      <c r="G155" s="8">
        <f>'Share Count'!G36</f>
        <v>541.3</v>
      </c>
      <c r="H155" s="8">
        <f>'Share Count'!H36</f>
        <v>623.4</v>
      </c>
      <c r="I155" s="8">
        <f>'Share Count'!I36</f>
        <v>621.1</v>
      </c>
      <c r="J155" s="36">
        <f>'Share Count'!J36</f>
        <v>608.15</v>
      </c>
    </row>
    <row r="156" ht="15" customHeight="1">
      <c r="B156" s="37" t="s">
        <v>75</v>
      </c>
      <c r="C156" s="10" t="s">
        <v>31</v>
      </c>
      <c r="D156" s="10" t="s">
        <v>31</v>
      </c>
      <c r="E156" s="10" t="s">
        <v>31</v>
      </c>
      <c r="F156" s="10" t="s">
        <v>31</v>
      </c>
      <c r="G156" s="10" t="s">
        <v>31</v>
      </c>
      <c r="H156" s="10">
        <f t="shared" si="0"/>
        <v>0.6234374999999999</v>
      </c>
      <c r="I156" s="10">
        <f t="shared" si="0"/>
        <v>0.22844145569620244</v>
      </c>
      <c r="J156" s="38">
        <f t="shared" si="0"/>
        <v>-0.04902267396403448</v>
      </c>
    </row>
    <row r="157" ht="15" customHeight="1">
      <c r="B157" s="37" t="s">
        <v>92</v>
      </c>
      <c r="C157" s="50" t="s">
        <v>31</v>
      </c>
      <c r="D157" s="50">
        <f t="shared" si="1"/>
        <v>121.60000000000002</v>
      </c>
      <c r="E157" s="50">
        <f t="shared" si="1"/>
        <v>133.89999999999998</v>
      </c>
      <c r="F157" s="50">
        <f t="shared" si="1"/>
        <v>-7.899999999999977</v>
      </c>
      <c r="G157" s="50" t="s">
        <v>31</v>
      </c>
      <c r="H157" s="50">
        <f t="shared" si="3"/>
        <v>-8.200000000000045</v>
      </c>
      <c r="I157" s="50">
        <f t="shared" si="1"/>
        <v>-2.2999999999999545</v>
      </c>
      <c r="J157" s="51">
        <f t="shared" si="1"/>
        <v>-12.950000000000045</v>
      </c>
    </row>
    <row r="158" ht="15" customHeight="1">
      <c r="B158" s="24" t="s">
        <v>320</v>
      </c>
      <c r="C158" s="15">
        <f t="shared" si="25" ref="C158:J158">C149/C152</f>
        <v>3.458626990341947</v>
      </c>
      <c r="D158" s="15">
        <f t="shared" si="25"/>
        <v>-8.583860759493671</v>
      </c>
      <c r="E158" s="15">
        <f t="shared" si="25"/>
        <v>4.829420970266041</v>
      </c>
      <c r="F158" s="15">
        <f t="shared" si="25"/>
        <v>3.2593883695135477</v>
      </c>
      <c r="G158" s="15">
        <f t="shared" si="25"/>
        <v>4.033660070279267</v>
      </c>
      <c r="H158" s="15">
        <f t="shared" si="25"/>
        <v>3.342971887550201</v>
      </c>
      <c r="I158" s="15">
        <f t="shared" si="25"/>
        <v>4.730056406124094</v>
      </c>
      <c r="J158" s="61">
        <f t="shared" si="25"/>
        <v>4.562153382913456</v>
      </c>
    </row>
    <row r="159" ht="15" customHeight="1">
      <c r="B159" s="37" t="s">
        <v>75</v>
      </c>
      <c r="C159" s="10" t="s">
        <v>31</v>
      </c>
      <c r="D159" s="10" t="s">
        <v>31</v>
      </c>
      <c r="E159" s="10" t="s">
        <v>31</v>
      </c>
      <c r="F159" s="10" t="s">
        <v>31</v>
      </c>
      <c r="G159" s="10" t="s">
        <v>31</v>
      </c>
      <c r="H159" s="10">
        <f t="shared" si="0"/>
        <v>-0.033439599909070084</v>
      </c>
      <c r="I159" s="10" t="str">
        <f t="shared" si="0"/>
        <v>n/m</v>
      </c>
      <c r="J159" s="38">
        <f t="shared" si="0"/>
        <v>-0.05534153866438807</v>
      </c>
    </row>
    <row r="160" ht="15" customHeight="1">
      <c r="B160" s="37" t="s">
        <v>92</v>
      </c>
      <c r="C160" s="62" t="s">
        <v>31</v>
      </c>
      <c r="D160" s="62">
        <f t="shared" si="1"/>
        <v>-12.042487749835619</v>
      </c>
      <c r="E160" s="62">
        <f t="shared" si="1"/>
        <v>13.413281729759712</v>
      </c>
      <c r="F160" s="62">
        <f t="shared" si="1"/>
        <v>-1.570032600752493</v>
      </c>
      <c r="G160" s="62" t="s">
        <v>31</v>
      </c>
      <c r="H160" s="62">
        <f t="shared" si="3"/>
        <v>0.08358351803665309</v>
      </c>
      <c r="I160" s="62">
        <f t="shared" si="1"/>
        <v>1.387084518573893</v>
      </c>
      <c r="J160" s="63">
        <f t="shared" si="1"/>
        <v>-0.16790302321063777</v>
      </c>
    </row>
    <row r="161" ht="15" customHeight="1">
      <c r="B161" s="4" t="s">
        <v>321</v>
      </c>
      <c r="C161" s="64">
        <f t="shared" si="26" ref="C161:J161">C149/C155</f>
        <v>3.4505208333333335</v>
      </c>
      <c r="D161" s="64">
        <f t="shared" si="26"/>
        <v>-8.583860759493671</v>
      </c>
      <c r="E161" s="64">
        <f t="shared" si="26"/>
        <v>4.825645035183737</v>
      </c>
      <c r="F161" s="64">
        <f t="shared" si="26"/>
        <v>3.2568081063964534</v>
      </c>
      <c r="G161" s="64">
        <f t="shared" si="26"/>
        <v>4.029188989469795</v>
      </c>
      <c r="H161" s="64">
        <f t="shared" si="26"/>
        <v>3.3381456528713507</v>
      </c>
      <c r="I161" s="64">
        <f t="shared" si="26"/>
        <v>4.725487039124134</v>
      </c>
      <c r="J161" s="65">
        <f t="shared" si="26"/>
        <v>4.557652368312209</v>
      </c>
    </row>
    <row r="162" ht="15" customHeight="1">
      <c r="B162" s="37" t="s">
        <v>75</v>
      </c>
      <c r="C162" s="10" t="s">
        <v>31</v>
      </c>
      <c r="D162" s="10" t="s">
        <v>31</v>
      </c>
      <c r="E162" s="10" t="s">
        <v>31</v>
      </c>
      <c r="F162" s="10" t="s">
        <v>31</v>
      </c>
      <c r="G162" s="10" t="s">
        <v>31</v>
      </c>
      <c r="H162" s="10">
        <f t="shared" si="0"/>
        <v>-0.03256759946973686</v>
      </c>
      <c r="I162" s="10" t="str">
        <f t="shared" si="0"/>
        <v>n/m</v>
      </c>
      <c r="J162" s="38">
        <f t="shared" si="0"/>
        <v>-0.055535097363688335</v>
      </c>
    </row>
    <row r="163" ht="15" customHeight="1">
      <c r="B163" s="43" t="s">
        <v>92</v>
      </c>
      <c r="C163" s="62" t="s">
        <v>31</v>
      </c>
      <c r="D163" s="62">
        <f t="shared" si="1"/>
        <v>-12.034381592827005</v>
      </c>
      <c r="E163" s="62">
        <f t="shared" si="1"/>
        <v>13.409505794677408</v>
      </c>
      <c r="F163" s="62">
        <f t="shared" si="1"/>
        <v>-1.568836928787284</v>
      </c>
      <c r="G163" s="62" t="s">
        <v>31</v>
      </c>
      <c r="H163" s="62">
        <f t="shared" si="3"/>
        <v>0.08133754647489733</v>
      </c>
      <c r="I163" s="62">
        <f t="shared" si="1"/>
        <v>1.3873413862527837</v>
      </c>
      <c r="J163" s="63">
        <f t="shared" si="1"/>
        <v>-0.16783467081192516</v>
      </c>
    </row>
    <row r="164" ht="15" customHeight="1">
      <c r="B164" s="24" t="s">
        <v>322</v>
      </c>
      <c r="C164" s="16">
        <v>3.45</v>
      </c>
      <c r="D164" s="16">
        <v>-8.58</v>
      </c>
      <c r="E164" s="16">
        <v>4.83</v>
      </c>
      <c r="F164" s="16">
        <v>3.26</v>
      </c>
      <c r="G164" s="16">
        <v>4.03</v>
      </c>
      <c r="H164" s="16">
        <v>3.34</v>
      </c>
      <c r="I164" s="16">
        <v>4.73</v>
      </c>
      <c r="J164" s="61" t="s">
        <v>31</v>
      </c>
      <c r="K164" s="40" t="s">
        <v>294</v>
      </c>
    </row>
    <row r="165" ht="15" customHeight="1">
      <c r="B165" s="37" t="s">
        <v>75</v>
      </c>
      <c r="C165" s="10" t="s">
        <v>31</v>
      </c>
      <c r="D165" s="10" t="s">
        <v>31</v>
      </c>
      <c r="E165" s="10" t="s">
        <v>31</v>
      </c>
      <c r="F165" s="10" t="s">
        <v>31</v>
      </c>
      <c r="G165" s="10" t="s">
        <v>31</v>
      </c>
      <c r="H165" s="10">
        <f t="shared" si="0"/>
        <v>-0.03188405797101457</v>
      </c>
      <c r="I165" s="10" t="str">
        <f t="shared" si="0"/>
        <v>n/m</v>
      </c>
      <c r="J165" s="38" t="str">
        <f t="shared" si="0"/>
        <v>n/a</v>
      </c>
    </row>
    <row r="166" ht="15" customHeight="1">
      <c r="B166" s="37" t="s">
        <v>92</v>
      </c>
      <c r="C166" s="62" t="s">
        <v>31</v>
      </c>
      <c r="D166" s="62">
        <f t="shared" si="1"/>
        <v>-12.030000000000001</v>
      </c>
      <c r="E166" s="62">
        <f t="shared" si="1"/>
        <v>13.41</v>
      </c>
      <c r="F166" s="62">
        <f t="shared" si="1"/>
        <v>-1.5700000000000003</v>
      </c>
      <c r="G166" s="62" t="s">
        <v>31</v>
      </c>
      <c r="H166" s="62">
        <f t="shared" si="3"/>
        <v>0.08000000000000007</v>
      </c>
      <c r="I166" s="62">
        <f t="shared" si="1"/>
        <v>1.3900000000000006</v>
      </c>
      <c r="J166" s="63" t="str">
        <f t="shared" si="1"/>
        <v>n/a</v>
      </c>
    </row>
    <row r="167" ht="15" customHeight="1">
      <c r="B167" s="43" t="s">
        <v>323</v>
      </c>
      <c r="C167" s="62">
        <f t="shared" si="27" ref="C167:I233">IF(ABS(ROUND(C161,2)-C164)&lt;=0.011,0,ROUND(C161,2)-C164)</f>
        <v>0</v>
      </c>
      <c r="D167" s="62">
        <f t="shared" si="27"/>
        <v>0</v>
      </c>
      <c r="E167" s="62">
        <f t="shared" si="27"/>
        <v>0</v>
      </c>
      <c r="F167" s="62">
        <f t="shared" si="27"/>
        <v>0</v>
      </c>
      <c r="G167" s="62">
        <f t="shared" si="27"/>
        <v>0</v>
      </c>
      <c r="H167" s="62">
        <f t="shared" si="27"/>
        <v>0</v>
      </c>
      <c r="I167" s="62">
        <f t="shared" si="27"/>
        <v>0</v>
      </c>
      <c r="J167" s="63" t="s">
        <v>31</v>
      </c>
    </row>
    <row r="168" ht="15" customHeight="1">
      <c r="B168" s="35" t="s">
        <v>324</v>
      </c>
    </row>
    <row r="169" ht="15" customHeight="1">
      <c r="B169" s="43" t="s">
        <v>39</v>
      </c>
      <c r="C169" s="10">
        <f t="shared" si="28" ref="C169:J169">C110/C75</f>
        <v>0.5902</v>
      </c>
      <c r="D169" s="10">
        <f t="shared" si="28"/>
        <v>0.5596381684277938</v>
      </c>
      <c r="E169" s="10">
        <f t="shared" si="28"/>
        <v>0.5379907546064197</v>
      </c>
      <c r="F169" s="10">
        <f t="shared" si="28"/>
        <v>0.5994994545337868</v>
      </c>
      <c r="G169" s="10">
        <f t="shared" si="28"/>
        <v>0.5707601901411087</v>
      </c>
      <c r="H169" s="10">
        <f t="shared" si="28"/>
        <v>0.5557087518875976</v>
      </c>
      <c r="I169" s="10">
        <f t="shared" si="28"/>
        <v>0.5705362776025237</v>
      </c>
      <c r="J169" s="38">
        <f t="shared" si="28"/>
        <v>0.5621949427266397</v>
      </c>
    </row>
    <row r="170" ht="15" customHeight="1">
      <c r="B170" s="37" t="s">
        <v>137</v>
      </c>
      <c r="C170" s="58" t="s">
        <v>31</v>
      </c>
      <c r="D170" s="58">
        <f t="shared" si="18"/>
        <v>-305.61831572206154</v>
      </c>
      <c r="E170" s="58">
        <f t="shared" si="18"/>
        <v>-216.47413821374138</v>
      </c>
      <c r="F170" s="58">
        <f t="shared" si="18"/>
        <v>615.0869992736718</v>
      </c>
      <c r="G170" s="58" t="s">
        <v>31</v>
      </c>
      <c r="H170" s="58">
        <f t="shared" si="23"/>
        <v>-437.90702646189226</v>
      </c>
      <c r="I170" s="58">
        <f t="shared" si="18"/>
        <v>148.2752571492607</v>
      </c>
      <c r="J170" s="59">
        <f t="shared" si="18"/>
        <v>-83.41334875883955</v>
      </c>
    </row>
    <row r="171" ht="15" customHeight="1">
      <c r="B171" s="37" t="s">
        <v>138</v>
      </c>
      <c r="C171" s="58" t="s">
        <v>31</v>
      </c>
      <c r="D171" s="58" t="s">
        <v>31</v>
      </c>
      <c r="E171" s="58" t="s">
        <v>31</v>
      </c>
      <c r="F171" s="58" t="s">
        <v>31</v>
      </c>
      <c r="G171" s="58" t="s">
        <v>31</v>
      </c>
      <c r="H171" s="58">
        <f t="shared" si="19"/>
        <v>-344.9124811240234</v>
      </c>
      <c r="I171" s="58">
        <f t="shared" si="19"/>
        <v>108.98109174729886</v>
      </c>
      <c r="J171" s="59">
        <f t="shared" si="19"/>
        <v>242.04188120220073</v>
      </c>
    </row>
    <row r="172" ht="15" customHeight="1">
      <c r="B172" s="43" t="s">
        <v>325</v>
      </c>
      <c r="C172" s="10">
        <f t="shared" si="29" ref="C172:J172">C113/C75</f>
        <v>0.47</v>
      </c>
      <c r="D172" s="10">
        <f t="shared" si="29"/>
        <v>0.45196926032660906</v>
      </c>
      <c r="E172" s="10">
        <f t="shared" si="29"/>
        <v>0.44664366169672504</v>
      </c>
      <c r="F172" s="10">
        <f t="shared" si="29"/>
        <v>0.47538984791118527</v>
      </c>
      <c r="G172" s="10">
        <f t="shared" si="29"/>
        <v>0.4606430362690422</v>
      </c>
      <c r="H172" s="10">
        <f t="shared" si="29"/>
        <v>0.4574223622874401</v>
      </c>
      <c r="I172" s="10">
        <f t="shared" si="29"/>
        <v>0.4657413249211356</v>
      </c>
      <c r="J172" s="38">
        <f t="shared" si="29"/>
        <v>0.455842044868019</v>
      </c>
    </row>
    <row r="173" ht="15" customHeight="1">
      <c r="B173" s="37" t="s">
        <v>137</v>
      </c>
      <c r="C173" s="58" t="s">
        <v>31</v>
      </c>
      <c r="D173" s="58">
        <f t="shared" si="18"/>
        <v>-180.30739673390917</v>
      </c>
      <c r="E173" s="58">
        <f t="shared" si="18"/>
        <v>-53.255986298840206</v>
      </c>
      <c r="F173" s="58">
        <f t="shared" si="18"/>
        <v>287.4618621446023</v>
      </c>
      <c r="G173" s="58" t="s">
        <v>31</v>
      </c>
      <c r="H173" s="58">
        <f t="shared" si="23"/>
        <v>-179.6748562374517</v>
      </c>
      <c r="I173" s="58">
        <f t="shared" si="18"/>
        <v>83.18962633695526</v>
      </c>
      <c r="J173" s="59">
        <f t="shared" si="18"/>
        <v>-98.99280053116632</v>
      </c>
    </row>
    <row r="174" ht="15" customHeight="1">
      <c r="B174" s="37" t="s">
        <v>138</v>
      </c>
      <c r="C174" s="58" t="s">
        <v>31</v>
      </c>
      <c r="D174" s="58" t="s">
        <v>31</v>
      </c>
      <c r="E174" s="58" t="s">
        <v>31</v>
      </c>
      <c r="F174" s="58" t="s">
        <v>31</v>
      </c>
      <c r="G174" s="58" t="s">
        <v>31</v>
      </c>
      <c r="H174" s="58">
        <f t="shared" si="19"/>
        <v>-125.77637712559874</v>
      </c>
      <c r="I174" s="58">
        <f t="shared" si="19"/>
        <v>137.7206459452657</v>
      </c>
      <c r="J174" s="59">
        <f t="shared" si="19"/>
        <v>91.98383171293956</v>
      </c>
    </row>
    <row r="175" ht="15" customHeight="1">
      <c r="B175" s="43" t="s">
        <v>201</v>
      </c>
      <c r="C175" s="10">
        <f t="shared" si="30" ref="C175:J175">C119/C75</f>
        <v>0.1729</v>
      </c>
      <c r="D175" s="10">
        <f t="shared" si="30"/>
        <v>-0.4746237592058918</v>
      </c>
      <c r="E175" s="10">
        <f t="shared" si="30"/>
        <v>0.2853050328797448</v>
      </c>
      <c r="F175" s="10">
        <f t="shared" si="30"/>
        <v>0.13469806840788037</v>
      </c>
      <c r="G175" s="10">
        <f t="shared" si="30"/>
        <v>0.04268817606767227</v>
      </c>
      <c r="H175" s="10">
        <f t="shared" si="30"/>
        <v>0.17720438579213446</v>
      </c>
      <c r="I175" s="10">
        <f t="shared" si="30"/>
        <v>0.24088328075709778</v>
      </c>
      <c r="J175" s="38">
        <f t="shared" si="30"/>
        <v>0.2234477485939667</v>
      </c>
    </row>
    <row r="176" ht="15" customHeight="1">
      <c r="B176" s="37" t="s">
        <v>137</v>
      </c>
      <c r="C176" s="58" t="s">
        <v>31</v>
      </c>
      <c r="D176" s="58">
        <f t="shared" si="18"/>
        <v>-6475.2375920589175</v>
      </c>
      <c r="E176" s="58">
        <f t="shared" si="18"/>
        <v>7599.287920856365</v>
      </c>
      <c r="F176" s="58">
        <f t="shared" si="18"/>
        <v>-1506.0696447186442</v>
      </c>
      <c r="G176" s="58" t="s">
        <v>31</v>
      </c>
      <c r="H176" s="58">
        <f t="shared" si="23"/>
        <v>425.0631738425409</v>
      </c>
      <c r="I176" s="58">
        <f t="shared" si="18"/>
        <v>636.7889496496332</v>
      </c>
      <c r="J176" s="59">
        <f t="shared" si="18"/>
        <v>-174.3553216313107</v>
      </c>
    </row>
    <row r="177" ht="15" customHeight="1">
      <c r="B177" s="37" t="s">
        <v>138</v>
      </c>
      <c r="C177" s="58" t="s">
        <v>31</v>
      </c>
      <c r="D177" s="58" t="s">
        <v>31</v>
      </c>
      <c r="E177" s="58" t="s">
        <v>31</v>
      </c>
      <c r="F177" s="58" t="s">
        <v>31</v>
      </c>
      <c r="G177" s="58" t="s">
        <v>31</v>
      </c>
      <c r="H177" s="58">
        <f t="shared" si="19"/>
        <v>43.04385792134463</v>
      </c>
      <c r="I177" s="58">
        <f t="shared" si="19"/>
        <v>7155.070399629896</v>
      </c>
      <c r="J177" s="59">
        <f t="shared" si="19"/>
        <v>-618.5728428577808</v>
      </c>
    </row>
    <row r="178" ht="15" customHeight="1">
      <c r="B178" s="43" t="s">
        <v>326</v>
      </c>
      <c r="C178" s="10">
        <f t="shared" si="31" ref="C178:J178">C38/C75</f>
        <v>0.8013</v>
      </c>
      <c r="D178" s="10">
        <f t="shared" si="31"/>
        <v>0.8001120717259046</v>
      </c>
      <c r="E178" s="10">
        <f t="shared" si="31"/>
        <v>0.8076046617618334</v>
      </c>
      <c r="F178" s="10">
        <f t="shared" si="31"/>
        <v>0.7999743310017327</v>
      </c>
      <c r="G178" s="10">
        <f t="shared" si="31"/>
        <v>0.8024478796272037</v>
      </c>
      <c r="H178" s="10">
        <f t="shared" si="31"/>
        <v>0.7973869082791675</v>
      </c>
      <c r="I178" s="10">
        <f t="shared" si="31"/>
        <v>0.7806940063091483</v>
      </c>
      <c r="J178" s="38">
        <f t="shared" si="31"/>
        <v>0.7829164772231131</v>
      </c>
    </row>
    <row r="179" ht="15" customHeight="1">
      <c r="B179" s="37" t="s">
        <v>137</v>
      </c>
      <c r="C179" s="58" t="s">
        <v>31</v>
      </c>
      <c r="D179" s="58">
        <f t="shared" si="18"/>
        <v>-11.879282740954178</v>
      </c>
      <c r="E179" s="58">
        <f t="shared" si="18"/>
        <v>74.92590035928836</v>
      </c>
      <c r="F179" s="58">
        <f t="shared" si="18"/>
        <v>-76.30330760100779</v>
      </c>
      <c r="G179" s="58" t="s">
        <v>31</v>
      </c>
      <c r="H179" s="58">
        <f t="shared" si="23"/>
        <v>-25.8742272256518</v>
      </c>
      <c r="I179" s="58">
        <f t="shared" si="18"/>
        <v>-166.9290197001916</v>
      </c>
      <c r="J179" s="59">
        <f t="shared" si="18"/>
        <v>22.224709139647693</v>
      </c>
    </row>
    <row r="180" ht="15" customHeight="1">
      <c r="B180" s="37" t="s">
        <v>138</v>
      </c>
      <c r="C180" s="58" t="s">
        <v>31</v>
      </c>
      <c r="D180" s="58" t="s">
        <v>31</v>
      </c>
      <c r="E180" s="58" t="s">
        <v>31</v>
      </c>
      <c r="F180" s="58" t="s">
        <v>31</v>
      </c>
      <c r="G180" s="58" t="s">
        <v>31</v>
      </c>
      <c r="H180" s="58">
        <f t="shared" si="19"/>
        <v>-39.1309172083254</v>
      </c>
      <c r="I180" s="58">
        <f t="shared" si="19"/>
        <v>-194.1806541675628</v>
      </c>
      <c r="J180" s="59">
        <f t="shared" si="19"/>
        <v>-246.88184538720347</v>
      </c>
    </row>
    <row r="181" ht="15" customHeight="1">
      <c r="B181" s="43" t="s">
        <v>327</v>
      </c>
      <c r="C181" s="10">
        <f t="shared" si="32" ref="C181:J181">C85/C75</f>
        <v>0.2369</v>
      </c>
      <c r="D181" s="10">
        <f t="shared" si="32"/>
        <v>0.9149855907780979</v>
      </c>
      <c r="E181" s="10">
        <f t="shared" si="32"/>
        <v>0.17670421251383553</v>
      </c>
      <c r="F181" s="10">
        <f t="shared" si="32"/>
        <v>0.2658024770583328</v>
      </c>
      <c r="G181" s="10">
        <f t="shared" si="32"/>
        <v>0.3865516337912191</v>
      </c>
      <c r="H181" s="10">
        <f t="shared" si="32"/>
        <v>0.26708686232026785</v>
      </c>
      <c r="I181" s="10">
        <f t="shared" si="32"/>
        <v>0.18858044164037854</v>
      </c>
      <c r="J181" s="38">
        <f t="shared" si="32"/>
        <v>0.2143573086793935</v>
      </c>
    </row>
    <row r="182" ht="15" customHeight="1">
      <c r="B182" s="37" t="s">
        <v>137</v>
      </c>
      <c r="C182" s="58" t="s">
        <v>31</v>
      </c>
      <c r="D182" s="58">
        <f t="shared" si="18"/>
        <v>6780.85590778098</v>
      </c>
      <c r="E182" s="58">
        <f t="shared" si="18"/>
        <v>-7382.813782642625</v>
      </c>
      <c r="F182" s="58">
        <f t="shared" si="18"/>
        <v>890.982645444973</v>
      </c>
      <c r="G182" s="58" t="s">
        <v>31</v>
      </c>
      <c r="H182" s="58">
        <f t="shared" si="23"/>
        <v>12.843852619350283</v>
      </c>
      <c r="I182" s="58">
        <f t="shared" si="18"/>
        <v>-785.064206798893</v>
      </c>
      <c r="J182" s="59">
        <f t="shared" si="18"/>
        <v>257.7686703901497</v>
      </c>
    </row>
    <row r="183" ht="15" customHeight="1">
      <c r="B183" s="37" t="s">
        <v>138</v>
      </c>
      <c r="C183" s="58" t="s">
        <v>31</v>
      </c>
      <c r="D183" s="58" t="s">
        <v>31</v>
      </c>
      <c r="E183" s="58" t="s">
        <v>31</v>
      </c>
      <c r="F183" s="58" t="s">
        <v>31</v>
      </c>
      <c r="G183" s="58" t="s">
        <v>31</v>
      </c>
      <c r="H183" s="58">
        <f t="shared" si="19"/>
        <v>301.86862320267846</v>
      </c>
      <c r="I183" s="58">
        <f t="shared" si="19"/>
        <v>-7264.051491377194</v>
      </c>
      <c r="J183" s="59">
        <f t="shared" si="19"/>
        <v>376.5309616555798</v>
      </c>
    </row>
    <row r="184" ht="15" customHeight="1">
      <c r="B184" s="43" t="s">
        <v>38</v>
      </c>
      <c r="C184" s="18">
        <f>'Balance Sheet'!C124</f>
        <v>0.06926103839696092</v>
      </c>
      <c r="D184" s="18">
        <f>'Balance Sheet'!D124</f>
        <v>0.07616268104829416</v>
      </c>
      <c r="E184" s="18">
        <f>'Balance Sheet'!E124</f>
        <v>0.08363464122026744</v>
      </c>
      <c r="F184" s="18">
        <f>'Balance Sheet'!F124</f>
        <v>0.08259321219750551</v>
      </c>
      <c r="G184" s="18">
        <f>'Balance Sheet'!G124</f>
        <v>0.07843273548752938</v>
      </c>
      <c r="H184" s="18">
        <f>'Balance Sheet'!H124</f>
        <v>0.07871374800906715</v>
      </c>
      <c r="I184" s="18">
        <f>'Balance Sheet'!I124</f>
        <v>0.08014469310197982</v>
      </c>
      <c r="J184" s="66">
        <f>'Balance Sheet'!J124</f>
        <v>0.0830013989308368</v>
      </c>
    </row>
    <row r="185" ht="15" customHeight="1">
      <c r="B185" s="37" t="s">
        <v>137</v>
      </c>
      <c r="C185" s="58" t="s">
        <v>31</v>
      </c>
      <c r="D185" s="58">
        <f t="shared" si="18"/>
        <v>69.01642651333236</v>
      </c>
      <c r="E185" s="58">
        <f t="shared" si="18"/>
        <v>74.71960171973282</v>
      </c>
      <c r="F185" s="58">
        <f t="shared" si="18"/>
        <v>-10.414290227619277</v>
      </c>
      <c r="G185" s="58" t="s">
        <v>31</v>
      </c>
      <c r="H185" s="58">
        <f t="shared" si="23"/>
        <v>-38.794641884383616</v>
      </c>
      <c r="I185" s="58">
        <f t="shared" si="18"/>
        <v>14.309450929126665</v>
      </c>
      <c r="J185" s="59">
        <f t="shared" si="18"/>
        <v>28.56705828856984</v>
      </c>
    </row>
    <row r="186" ht="15" customHeight="1">
      <c r="B186" s="37" t="s">
        <v>138</v>
      </c>
      <c r="C186" s="58" t="s">
        <v>31</v>
      </c>
      <c r="D186" s="58" t="s">
        <v>31</v>
      </c>
      <c r="E186" s="58" t="s">
        <v>31</v>
      </c>
      <c r="F186" s="58" t="s">
        <v>31</v>
      </c>
      <c r="G186" s="58" t="s">
        <v>31</v>
      </c>
      <c r="H186" s="58">
        <f t="shared" si="19"/>
        <v>94.5270961210623</v>
      </c>
      <c r="I186" s="58">
        <f t="shared" si="19"/>
        <v>39.8201205368566</v>
      </c>
      <c r="J186" s="59">
        <f t="shared" si="19"/>
        <v>-6.332422894306383</v>
      </c>
    </row>
    <row r="187" ht="15" customHeight="1">
      <c r="B187" s="35" t="s">
        <v>328</v>
      </c>
    </row>
    <row r="188" ht="15" customHeight="1">
      <c r="B188" s="24" t="s">
        <v>329</v>
      </c>
      <c r="C188" s="12">
        <v>0</v>
      </c>
      <c r="D188" s="12">
        <v>255</v>
      </c>
      <c r="E188" s="12">
        <v>498</v>
      </c>
      <c r="F188" s="12">
        <v>509</v>
      </c>
      <c r="G188" s="9">
        <f t="shared" si="2"/>
        <v>1262</v>
      </c>
      <c r="H188" s="12">
        <v>478</v>
      </c>
      <c r="I188" s="12">
        <v>518</v>
      </c>
      <c r="J188" s="39">
        <v>515</v>
      </c>
      <c r="K188" s="40" t="s">
        <v>330</v>
      </c>
    </row>
    <row r="189" ht="15" customHeight="1">
      <c r="B189" s="37" t="s">
        <v>75</v>
      </c>
      <c r="C189" s="10" t="s">
        <v>31</v>
      </c>
      <c r="D189" s="10" t="s">
        <v>31</v>
      </c>
      <c r="E189" s="10" t="s">
        <v>31</v>
      </c>
      <c r="F189" s="10" t="s">
        <v>31</v>
      </c>
      <c r="G189" s="10" t="s">
        <v>31</v>
      </c>
      <c r="H189" s="10" t="str">
        <f t="shared" si="0"/>
        <v>n/m</v>
      </c>
      <c r="I189" s="10">
        <f t="shared" si="0"/>
        <v>1.0313725490196077</v>
      </c>
      <c r="J189" s="38">
        <f t="shared" si="0"/>
        <v>0.034136546184738936</v>
      </c>
    </row>
    <row r="190" ht="15" customHeight="1">
      <c r="B190" s="37" t="s">
        <v>92</v>
      </c>
      <c r="C190" s="50" t="s">
        <v>31</v>
      </c>
      <c r="D190" s="50">
        <f t="shared" si="1"/>
        <v>255</v>
      </c>
      <c r="E190" s="50">
        <f t="shared" si="1"/>
        <v>243</v>
      </c>
      <c r="F190" s="50">
        <f t="shared" si="1"/>
        <v>11</v>
      </c>
      <c r="G190" s="50" t="s">
        <v>31</v>
      </c>
      <c r="H190" s="50">
        <f t="shared" si="3"/>
        <v>-31</v>
      </c>
      <c r="I190" s="50">
        <f t="shared" si="1"/>
        <v>40</v>
      </c>
      <c r="J190" s="51">
        <f t="shared" si="1"/>
        <v>-3</v>
      </c>
    </row>
    <row r="191" ht="15" customHeight="1">
      <c r="B191" s="24" t="s">
        <v>331</v>
      </c>
      <c r="C191" s="12">
        <v>0</v>
      </c>
      <c r="D191" s="12">
        <v>85</v>
      </c>
      <c r="E191" s="12">
        <v>105</v>
      </c>
      <c r="F191" s="12">
        <v>37</v>
      </c>
      <c r="G191" s="9">
        <f t="shared" si="2"/>
        <v>227</v>
      </c>
      <c r="H191" s="12">
        <v>-1</v>
      </c>
      <c r="I191" s="12">
        <v>-24</v>
      </c>
      <c r="J191" s="39">
        <v>-25</v>
      </c>
      <c r="K191" s="40" t="s">
        <v>330</v>
      </c>
    </row>
    <row r="192" ht="15" customHeight="1">
      <c r="B192" s="37" t="s">
        <v>75</v>
      </c>
      <c r="C192" s="10" t="s">
        <v>31</v>
      </c>
      <c r="D192" s="10" t="s">
        <v>31</v>
      </c>
      <c r="E192" s="10" t="s">
        <v>31</v>
      </c>
      <c r="F192" s="10" t="s">
        <v>31</v>
      </c>
      <c r="G192" s="10" t="s">
        <v>31</v>
      </c>
      <c r="H192" s="10" t="str">
        <f t="shared" si="0"/>
        <v>n/m</v>
      </c>
      <c r="I192" s="10">
        <f t="shared" si="0"/>
        <v>-1.2823529411764705</v>
      </c>
      <c r="J192" s="38">
        <f t="shared" si="0"/>
        <v>-1.2380952380952381</v>
      </c>
    </row>
    <row r="193" ht="15" customHeight="1">
      <c r="B193" s="37" t="s">
        <v>92</v>
      </c>
      <c r="C193" s="50" t="s">
        <v>31</v>
      </c>
      <c r="D193" s="50">
        <f t="shared" si="1"/>
        <v>85</v>
      </c>
      <c r="E193" s="50">
        <f t="shared" si="1"/>
        <v>20</v>
      </c>
      <c r="F193" s="50">
        <f t="shared" si="1"/>
        <v>-68</v>
      </c>
      <c r="G193" s="50" t="s">
        <v>31</v>
      </c>
      <c r="H193" s="50">
        <f t="shared" si="3"/>
        <v>-38</v>
      </c>
      <c r="I193" s="50">
        <f t="shared" si="1"/>
        <v>-23</v>
      </c>
      <c r="J193" s="51">
        <f t="shared" si="1"/>
        <v>-1</v>
      </c>
    </row>
    <row r="194" ht="15" customHeight="1">
      <c r="B194" s="45" t="s">
        <v>332</v>
      </c>
      <c r="C194" s="41">
        <f t="shared" si="21"/>
        <v>0</v>
      </c>
      <c r="D194" s="41">
        <f t="shared" si="21"/>
        <v>340</v>
      </c>
      <c r="E194" s="41">
        <f t="shared" si="21"/>
        <v>603</v>
      </c>
      <c r="F194" s="41">
        <f t="shared" si="21"/>
        <v>546</v>
      </c>
      <c r="G194" s="41">
        <f t="shared" si="21"/>
        <v>1489</v>
      </c>
      <c r="H194" s="41">
        <f t="shared" si="21"/>
        <v>477</v>
      </c>
      <c r="I194" s="41">
        <f t="shared" si="21"/>
        <v>494</v>
      </c>
      <c r="J194" s="42">
        <f t="shared" si="21"/>
        <v>490</v>
      </c>
    </row>
    <row r="195" ht="15" customHeight="1">
      <c r="B195" s="37" t="s">
        <v>75</v>
      </c>
      <c r="C195" s="10" t="s">
        <v>31</v>
      </c>
      <c r="D195" s="10" t="s">
        <v>31</v>
      </c>
      <c r="E195" s="10" t="s">
        <v>31</v>
      </c>
      <c r="F195" s="10" t="s">
        <v>31</v>
      </c>
      <c r="G195" s="10" t="s">
        <v>31</v>
      </c>
      <c r="H195" s="10" t="str">
        <f t="shared" si="0"/>
        <v>n/m</v>
      </c>
      <c r="I195" s="10">
        <f t="shared" si="0"/>
        <v>0.4529411764705882</v>
      </c>
      <c r="J195" s="38">
        <f t="shared" si="0"/>
        <v>-0.1873963515754561</v>
      </c>
    </row>
    <row r="196" ht="15" customHeight="1">
      <c r="B196" s="37" t="s">
        <v>92</v>
      </c>
      <c r="C196" s="50" t="s">
        <v>31</v>
      </c>
      <c r="D196" s="50">
        <f t="shared" si="1"/>
        <v>340</v>
      </c>
      <c r="E196" s="50">
        <f t="shared" si="1"/>
        <v>263</v>
      </c>
      <c r="F196" s="50">
        <f t="shared" si="1"/>
        <v>-57</v>
      </c>
      <c r="G196" s="50" t="s">
        <v>31</v>
      </c>
      <c r="H196" s="50">
        <f t="shared" si="3"/>
        <v>-69</v>
      </c>
      <c r="I196" s="50">
        <f t="shared" si="1"/>
        <v>17</v>
      </c>
      <c r="J196" s="51">
        <f t="shared" si="1"/>
        <v>-4</v>
      </c>
    </row>
    <row r="197" ht="15" customHeight="1">
      <c r="B197" s="24" t="s">
        <v>333</v>
      </c>
      <c r="C197" s="12">
        <v>110</v>
      </c>
      <c r="D197" s="12">
        <v>299</v>
      </c>
      <c r="E197" s="12">
        <v>348</v>
      </c>
      <c r="F197" s="12">
        <v>352</v>
      </c>
      <c r="G197" s="9">
        <f t="shared" si="2"/>
        <v>1109</v>
      </c>
      <c r="H197" s="12">
        <v>415</v>
      </c>
      <c r="I197" s="12">
        <v>298</v>
      </c>
      <c r="J197" s="39">
        <v>300</v>
      </c>
      <c r="K197" s="40" t="s">
        <v>330</v>
      </c>
    </row>
    <row r="198" ht="15" customHeight="1">
      <c r="B198" s="37" t="s">
        <v>75</v>
      </c>
      <c r="C198" s="10" t="s">
        <v>31</v>
      </c>
      <c r="D198" s="10" t="s">
        <v>31</v>
      </c>
      <c r="E198" s="10" t="s">
        <v>31</v>
      </c>
      <c r="F198" s="10" t="s">
        <v>31</v>
      </c>
      <c r="G198" s="10" t="s">
        <v>31</v>
      </c>
      <c r="H198" s="10">
        <f t="shared" si="0"/>
        <v>2.772727272727273</v>
      </c>
      <c r="I198" s="10">
        <f t="shared" si="0"/>
        <v>-0.0033444816053511683</v>
      </c>
      <c r="J198" s="38">
        <f t="shared" si="0"/>
        <v>-0.13793103448275867</v>
      </c>
    </row>
    <row r="199" ht="15" customHeight="1">
      <c r="B199" s="37" t="s">
        <v>92</v>
      </c>
      <c r="C199" s="50" t="s">
        <v>31</v>
      </c>
      <c r="D199" s="50">
        <f t="shared" si="1"/>
        <v>189</v>
      </c>
      <c r="E199" s="50">
        <f t="shared" si="1"/>
        <v>49</v>
      </c>
      <c r="F199" s="50">
        <f t="shared" si="1"/>
        <v>4</v>
      </c>
      <c r="G199" s="50" t="s">
        <v>31</v>
      </c>
      <c r="H199" s="50">
        <f t="shared" si="3"/>
        <v>63</v>
      </c>
      <c r="I199" s="50">
        <f t="shared" si="1"/>
        <v>-117</v>
      </c>
      <c r="J199" s="51">
        <f t="shared" si="1"/>
        <v>2</v>
      </c>
    </row>
    <row r="200" ht="15" customHeight="1">
      <c r="B200" s="24" t="s">
        <v>334</v>
      </c>
      <c r="C200" s="12">
        <v>0</v>
      </c>
      <c r="D200" s="12">
        <v>0</v>
      </c>
      <c r="E200" s="12">
        <v>0</v>
      </c>
      <c r="F200" s="12">
        <v>0</v>
      </c>
      <c r="G200" s="9">
        <f t="shared" si="2"/>
        <v>0</v>
      </c>
      <c r="H200" s="12">
        <v>0</v>
      </c>
      <c r="I200" s="12">
        <v>96</v>
      </c>
      <c r="J200" s="39">
        <v>80</v>
      </c>
      <c r="K200" s="40" t="s">
        <v>330</v>
      </c>
    </row>
    <row r="201" ht="15" customHeight="1">
      <c r="B201" s="37" t="s">
        <v>75</v>
      </c>
      <c r="C201" s="10" t="s">
        <v>31</v>
      </c>
      <c r="D201" s="10" t="s">
        <v>31</v>
      </c>
      <c r="E201" s="10" t="s">
        <v>31</v>
      </c>
      <c r="F201" s="10" t="s">
        <v>31</v>
      </c>
      <c r="G201" s="10" t="s">
        <v>31</v>
      </c>
      <c r="H201" s="10" t="str">
        <f t="shared" si="0"/>
        <v>n/m</v>
      </c>
      <c r="I201" s="10" t="str">
        <f t="shared" si="0"/>
        <v>n/m</v>
      </c>
      <c r="J201" s="38" t="str">
        <f t="shared" si="0"/>
        <v>n/m</v>
      </c>
    </row>
    <row r="202" ht="15" customHeight="1">
      <c r="B202" s="37" t="s">
        <v>92</v>
      </c>
      <c r="C202" s="50" t="s">
        <v>31</v>
      </c>
      <c r="D202" s="50">
        <f t="shared" si="1"/>
        <v>0</v>
      </c>
      <c r="E202" s="50">
        <f t="shared" si="1"/>
        <v>0</v>
      </c>
      <c r="F202" s="50">
        <f t="shared" si="1"/>
        <v>0</v>
      </c>
      <c r="G202" s="50" t="s">
        <v>31</v>
      </c>
      <c r="H202" s="50">
        <f t="shared" si="3"/>
        <v>0</v>
      </c>
      <c r="I202" s="50">
        <f t="shared" si="1"/>
        <v>96</v>
      </c>
      <c r="J202" s="51">
        <f t="shared" si="1"/>
        <v>-16</v>
      </c>
    </row>
    <row r="203" ht="15" customHeight="1">
      <c r="B203" s="24" t="s">
        <v>335</v>
      </c>
      <c r="C203" s="12">
        <v>0</v>
      </c>
      <c r="D203" s="12">
        <v>8767</v>
      </c>
      <c r="E203" s="12">
        <v>0</v>
      </c>
      <c r="F203" s="12">
        <v>0</v>
      </c>
      <c r="G203" s="9">
        <f t="shared" si="2"/>
        <v>8767</v>
      </c>
      <c r="H203" s="12">
        <v>0</v>
      </c>
      <c r="I203" s="12">
        <v>0</v>
      </c>
      <c r="J203" s="39">
        <v>0</v>
      </c>
      <c r="K203" s="40" t="s">
        <v>330</v>
      </c>
    </row>
    <row r="204" ht="15" customHeight="1">
      <c r="B204" s="37" t="s">
        <v>75</v>
      </c>
      <c r="C204" s="10" t="s">
        <v>31</v>
      </c>
      <c r="D204" s="10" t="s">
        <v>31</v>
      </c>
      <c r="E204" s="10" t="s">
        <v>31</v>
      </c>
      <c r="F204" s="10" t="s">
        <v>31</v>
      </c>
      <c r="G204" s="10" t="s">
        <v>31</v>
      </c>
      <c r="H204" s="10" t="str">
        <f t="shared" si="0"/>
        <v>n/m</v>
      </c>
      <c r="I204" s="10">
        <f t="shared" si="0"/>
        <v>-1</v>
      </c>
      <c r="J204" s="38" t="str">
        <f t="shared" si="0"/>
        <v>n/m</v>
      </c>
    </row>
    <row r="205" ht="15" customHeight="1">
      <c r="B205" s="37" t="s">
        <v>92</v>
      </c>
      <c r="C205" s="50" t="s">
        <v>31</v>
      </c>
      <c r="D205" s="50">
        <f t="shared" si="1"/>
        <v>8767</v>
      </c>
      <c r="E205" s="50">
        <f t="shared" si="1"/>
        <v>-8767</v>
      </c>
      <c r="F205" s="50">
        <f t="shared" si="1"/>
        <v>0</v>
      </c>
      <c r="G205" s="50" t="s">
        <v>31</v>
      </c>
      <c r="H205" s="50">
        <f t="shared" si="3"/>
        <v>0</v>
      </c>
      <c r="I205" s="50">
        <f t="shared" si="1"/>
        <v>0</v>
      </c>
      <c r="J205" s="51">
        <f t="shared" si="1"/>
        <v>0</v>
      </c>
    </row>
    <row r="206" ht="15" customHeight="1">
      <c r="B206" s="24" t="s">
        <v>336</v>
      </c>
      <c r="C206" s="12">
        <v>198</v>
      </c>
      <c r="D206" s="12">
        <v>41</v>
      </c>
      <c r="E206" s="12">
        <v>0</v>
      </c>
      <c r="F206" s="12">
        <v>117</v>
      </c>
      <c r="G206" s="9">
        <f t="shared" si="2"/>
        <v>356</v>
      </c>
      <c r="H206" s="12">
        <v>0</v>
      </c>
      <c r="I206" s="12">
        <v>0</v>
      </c>
      <c r="J206" s="39">
        <v>0</v>
      </c>
      <c r="K206" s="40" t="s">
        <v>330</v>
      </c>
    </row>
    <row r="207" ht="15" customHeight="1">
      <c r="B207" s="37" t="s">
        <v>75</v>
      </c>
      <c r="C207" s="10" t="s">
        <v>31</v>
      </c>
      <c r="D207" s="10" t="s">
        <v>31</v>
      </c>
      <c r="E207" s="10" t="s">
        <v>31</v>
      </c>
      <c r="F207" s="10" t="s">
        <v>31</v>
      </c>
      <c r="G207" s="10" t="s">
        <v>31</v>
      </c>
      <c r="H207" s="10">
        <f t="shared" si="0"/>
        <v>-1</v>
      </c>
      <c r="I207" s="10">
        <f t="shared" si="0"/>
        <v>-1</v>
      </c>
      <c r="J207" s="38" t="str">
        <f t="shared" si="0"/>
        <v>n/m</v>
      </c>
    </row>
    <row r="208" ht="15" customHeight="1">
      <c r="B208" s="37" t="s">
        <v>92</v>
      </c>
      <c r="C208" s="50" t="s">
        <v>31</v>
      </c>
      <c r="D208" s="50">
        <f t="shared" si="1"/>
        <v>-157</v>
      </c>
      <c r="E208" s="50">
        <f t="shared" si="1"/>
        <v>-41</v>
      </c>
      <c r="F208" s="50">
        <f t="shared" si="1"/>
        <v>117</v>
      </c>
      <c r="G208" s="50" t="s">
        <v>31</v>
      </c>
      <c r="H208" s="50">
        <f t="shared" si="3"/>
        <v>-117</v>
      </c>
      <c r="I208" s="50">
        <f t="shared" si="1"/>
        <v>0</v>
      </c>
      <c r="J208" s="51">
        <f t="shared" si="1"/>
        <v>0</v>
      </c>
    </row>
    <row r="209" ht="15" customHeight="1">
      <c r="B209" s="24" t="s">
        <v>337</v>
      </c>
      <c r="C209" s="12">
        <v>0</v>
      </c>
      <c r="D209" s="12">
        <v>0</v>
      </c>
      <c r="E209" s="12">
        <v>0</v>
      </c>
      <c r="F209" s="12">
        <v>-483</v>
      </c>
      <c r="G209" s="9">
        <f t="shared" si="2"/>
        <v>-483</v>
      </c>
      <c r="H209" s="12">
        <v>0</v>
      </c>
      <c r="I209" s="12">
        <v>0</v>
      </c>
      <c r="J209" s="39">
        <v>0</v>
      </c>
      <c r="K209" s="40" t="s">
        <v>330</v>
      </c>
    </row>
    <row r="210" ht="15" customHeight="1">
      <c r="B210" s="37" t="s">
        <v>75</v>
      </c>
      <c r="C210" s="10" t="s">
        <v>31</v>
      </c>
      <c r="D210" s="10" t="s">
        <v>31</v>
      </c>
      <c r="E210" s="10" t="s">
        <v>31</v>
      </c>
      <c r="F210" s="10" t="s">
        <v>31</v>
      </c>
      <c r="G210" s="10" t="s">
        <v>31</v>
      </c>
      <c r="H210" s="10" t="str">
        <f t="shared" si="0"/>
        <v>n/m</v>
      </c>
      <c r="I210" s="10" t="str">
        <f t="shared" si="0"/>
        <v>n/m</v>
      </c>
      <c r="J210" s="38" t="str">
        <f t="shared" si="0"/>
        <v>n/m</v>
      </c>
    </row>
    <row r="211" ht="15" customHeight="1">
      <c r="B211" s="37" t="s">
        <v>92</v>
      </c>
      <c r="C211" s="50" t="s">
        <v>31</v>
      </c>
      <c r="D211" s="50">
        <f t="shared" si="1"/>
        <v>0</v>
      </c>
      <c r="E211" s="50">
        <f t="shared" si="1"/>
        <v>0</v>
      </c>
      <c r="F211" s="50">
        <f t="shared" si="1"/>
        <v>-483</v>
      </c>
      <c r="G211" s="50" t="s">
        <v>31</v>
      </c>
      <c r="H211" s="50">
        <f t="shared" si="3"/>
        <v>483</v>
      </c>
      <c r="I211" s="50">
        <f t="shared" si="1"/>
        <v>0</v>
      </c>
      <c r="J211" s="51">
        <f t="shared" si="1"/>
        <v>0</v>
      </c>
    </row>
    <row r="212" ht="15" customHeight="1">
      <c r="B212" s="24" t="s">
        <v>338</v>
      </c>
      <c r="C212" s="12">
        <v>0</v>
      </c>
      <c r="D212" s="12">
        <v>0</v>
      </c>
      <c r="E212" s="12">
        <v>0</v>
      </c>
      <c r="F212" s="12">
        <v>-29</v>
      </c>
      <c r="G212" s="9">
        <f t="shared" si="2"/>
        <v>-29</v>
      </c>
      <c r="H212" s="12">
        <v>0</v>
      </c>
      <c r="I212" s="12">
        <v>0</v>
      </c>
      <c r="J212" s="39">
        <v>0</v>
      </c>
      <c r="K212" s="40" t="s">
        <v>330</v>
      </c>
    </row>
    <row r="213" ht="15" customHeight="1">
      <c r="B213" s="37" t="s">
        <v>75</v>
      </c>
      <c r="C213" s="10" t="s">
        <v>31</v>
      </c>
      <c r="D213" s="10" t="s">
        <v>31</v>
      </c>
      <c r="E213" s="10" t="s">
        <v>31</v>
      </c>
      <c r="F213" s="10" t="s">
        <v>31</v>
      </c>
      <c r="G213" s="10" t="s">
        <v>31</v>
      </c>
      <c r="H213" s="10" t="str">
        <f t="shared" si="0"/>
        <v>n/m</v>
      </c>
      <c r="I213" s="10" t="str">
        <f t="shared" si="0"/>
        <v>n/m</v>
      </c>
      <c r="J213" s="38" t="str">
        <f t="shared" si="0"/>
        <v>n/m</v>
      </c>
    </row>
    <row r="214" ht="15" customHeight="1">
      <c r="B214" s="37" t="s">
        <v>92</v>
      </c>
      <c r="C214" s="50" t="s">
        <v>31</v>
      </c>
      <c r="D214" s="50">
        <f t="shared" si="1"/>
        <v>0</v>
      </c>
      <c r="E214" s="50">
        <f t="shared" si="1"/>
        <v>0</v>
      </c>
      <c r="F214" s="50">
        <f t="shared" si="1"/>
        <v>-29</v>
      </c>
      <c r="G214" s="50" t="s">
        <v>31</v>
      </c>
      <c r="H214" s="50">
        <f t="shared" si="3"/>
        <v>29</v>
      </c>
      <c r="I214" s="50">
        <f t="shared" si="1"/>
        <v>0</v>
      </c>
      <c r="J214" s="51">
        <f t="shared" si="1"/>
        <v>0</v>
      </c>
    </row>
    <row r="215" ht="15" customHeight="1">
      <c r="B215" s="4" t="s">
        <v>339</v>
      </c>
      <c r="C215" s="41">
        <f t="shared" si="13"/>
        <v>308</v>
      </c>
      <c r="D215" s="41">
        <f t="shared" si="13"/>
        <v>9447</v>
      </c>
      <c r="E215" s="41">
        <f t="shared" si="13"/>
        <v>951</v>
      </c>
      <c r="F215" s="41">
        <f t="shared" si="13"/>
        <v>503</v>
      </c>
      <c r="G215" s="41">
        <f t="shared" si="13"/>
        <v>11209</v>
      </c>
      <c r="H215" s="41">
        <f t="shared" si="13"/>
        <v>892</v>
      </c>
      <c r="I215" s="41">
        <f t="shared" si="13"/>
        <v>888</v>
      </c>
      <c r="J215" s="42">
        <f t="shared" si="13"/>
        <v>870</v>
      </c>
    </row>
    <row r="216" ht="15" customHeight="1">
      <c r="B216" s="43" t="s">
        <v>75</v>
      </c>
      <c r="C216" s="10" t="s">
        <v>31</v>
      </c>
      <c r="D216" s="10" t="s">
        <v>31</v>
      </c>
      <c r="E216" s="10" t="s">
        <v>31</v>
      </c>
      <c r="F216" s="10" t="s">
        <v>31</v>
      </c>
      <c r="G216" s="10" t="s">
        <v>31</v>
      </c>
      <c r="H216" s="10">
        <f t="shared" si="0"/>
        <v>1.896103896103896</v>
      </c>
      <c r="I216" s="10">
        <f t="shared" si="0"/>
        <v>-0.9060019053667832</v>
      </c>
      <c r="J216" s="38">
        <f t="shared" si="0"/>
        <v>-0.08517350157728709</v>
      </c>
    </row>
    <row r="217" ht="15" customHeight="1">
      <c r="B217" s="43" t="s">
        <v>92</v>
      </c>
      <c r="C217" s="50" t="s">
        <v>31</v>
      </c>
      <c r="D217" s="50">
        <f t="shared" si="1"/>
        <v>9139</v>
      </c>
      <c r="E217" s="50">
        <f t="shared" si="1"/>
        <v>-8496</v>
      </c>
      <c r="F217" s="50">
        <f t="shared" si="1"/>
        <v>-448</v>
      </c>
      <c r="G217" s="50" t="s">
        <v>31</v>
      </c>
      <c r="H217" s="50">
        <f t="shared" si="3"/>
        <v>389</v>
      </c>
      <c r="I217" s="50">
        <f t="shared" si="1"/>
        <v>-4</v>
      </c>
      <c r="J217" s="51">
        <f t="shared" si="1"/>
        <v>-18</v>
      </c>
    </row>
    <row r="218" ht="15" customHeight="1">
      <c r="B218" s="37" t="s">
        <v>340</v>
      </c>
      <c r="C218" s="10">
        <f t="shared" si="33" ref="C218:I218">-C221/C215</f>
        <v>0.24675324675324675</v>
      </c>
      <c r="D218" s="10">
        <f t="shared" si="33"/>
        <v>0.2475918280935747</v>
      </c>
      <c r="E218" s="10">
        <f t="shared" si="33"/>
        <v>0.24815983175604628</v>
      </c>
      <c r="F218" s="10">
        <f t="shared" si="33"/>
        <v>0.24652087475149106</v>
      </c>
      <c r="G218" s="10">
        <f t="shared" si="33"/>
        <v>0.2475689178338835</v>
      </c>
      <c r="H218" s="10">
        <f t="shared" si="33"/>
        <v>0.24775784753363228</v>
      </c>
      <c r="I218" s="10">
        <f t="shared" si="33"/>
        <v>0.24662162162162163</v>
      </c>
      <c r="J218" s="56">
        <v>0.247</v>
      </c>
      <c r="K218" s="40" t="s">
        <v>136</v>
      </c>
    </row>
    <row r="219" ht="15" customHeight="1">
      <c r="B219" s="57" t="s">
        <v>137</v>
      </c>
      <c r="C219" s="58" t="s">
        <v>31</v>
      </c>
      <c r="D219" s="58">
        <f t="shared" si="18"/>
        <v>8.385813403279375</v>
      </c>
      <c r="E219" s="58">
        <f t="shared" si="18"/>
        <v>5.680036624715889</v>
      </c>
      <c r="F219" s="58">
        <f t="shared" si="18"/>
        <v>-16.389570045552137</v>
      </c>
      <c r="G219" s="58" t="s">
        <v>31</v>
      </c>
      <c r="H219" s="58">
        <f t="shared" si="23"/>
        <v>12.369727821412157</v>
      </c>
      <c r="I219" s="58">
        <f t="shared" si="18"/>
        <v>-11.362259120106522</v>
      </c>
      <c r="J219" s="59">
        <f t="shared" si="18"/>
        <v>3.7837837837836896</v>
      </c>
    </row>
    <row r="220" ht="15" customHeight="1">
      <c r="B220" s="57" t="s">
        <v>138</v>
      </c>
      <c r="C220" s="58" t="s">
        <v>31</v>
      </c>
      <c r="D220" s="58" t="s">
        <v>31</v>
      </c>
      <c r="E220" s="58" t="s">
        <v>31</v>
      </c>
      <c r="F220" s="58" t="s">
        <v>31</v>
      </c>
      <c r="G220" s="58" t="s">
        <v>31</v>
      </c>
      <c r="H220" s="58">
        <f t="shared" si="19"/>
        <v>10.046007803855284</v>
      </c>
      <c r="I220" s="58">
        <f t="shared" si="19"/>
        <v>-9.702064719530611</v>
      </c>
      <c r="J220" s="59">
        <f t="shared" si="19"/>
        <v>-11.598317560462812</v>
      </c>
    </row>
    <row r="221" ht="15" customHeight="1">
      <c r="B221" s="24" t="s">
        <v>341</v>
      </c>
      <c r="C221" s="12">
        <v>-76</v>
      </c>
      <c r="D221" s="12">
        <v>-2339</v>
      </c>
      <c r="E221" s="12">
        <v>-236</v>
      </c>
      <c r="F221" s="12">
        <v>-124</v>
      </c>
      <c r="G221" s="9">
        <f t="shared" si="2"/>
        <v>-2775</v>
      </c>
      <c r="H221" s="12">
        <v>-221</v>
      </c>
      <c r="I221" s="12">
        <v>-219</v>
      </c>
      <c r="J221" s="54">
        <f t="shared" si="34"/>
        <v>-214.89</v>
      </c>
      <c r="K221" s="40" t="s">
        <v>330</v>
      </c>
    </row>
    <row r="222" ht="15" customHeight="1">
      <c r="B222" s="37" t="s">
        <v>75</v>
      </c>
      <c r="C222" s="10" t="s">
        <v>31</v>
      </c>
      <c r="D222" s="10" t="s">
        <v>31</v>
      </c>
      <c r="E222" s="10" t="s">
        <v>31</v>
      </c>
      <c r="F222" s="10" t="s">
        <v>31</v>
      </c>
      <c r="G222" s="10" t="s">
        <v>31</v>
      </c>
      <c r="H222" s="10" t="str">
        <f t="shared" si="0"/>
        <v>n/m</v>
      </c>
      <c r="I222" s="10" t="str">
        <f t="shared" si="0"/>
        <v>n/m</v>
      </c>
      <c r="J222" s="38" t="str">
        <f t="shared" si="0"/>
        <v>n/m</v>
      </c>
    </row>
    <row r="223" ht="15" customHeight="1">
      <c r="B223" s="37" t="s">
        <v>92</v>
      </c>
      <c r="C223" s="50" t="s">
        <v>31</v>
      </c>
      <c r="D223" s="50">
        <f t="shared" si="1"/>
        <v>-2263</v>
      </c>
      <c r="E223" s="50">
        <f t="shared" si="1"/>
        <v>2103</v>
      </c>
      <c r="F223" s="50">
        <f t="shared" si="1"/>
        <v>112</v>
      </c>
      <c r="G223" s="50" t="s">
        <v>31</v>
      </c>
      <c r="H223" s="50">
        <f t="shared" si="3"/>
        <v>-97</v>
      </c>
      <c r="I223" s="50">
        <f t="shared" si="1"/>
        <v>2</v>
      </c>
      <c r="J223" s="51">
        <f t="shared" si="1"/>
        <v>4.110000000000014</v>
      </c>
    </row>
    <row r="224" ht="15" customHeight="1">
      <c r="B224" s="4" t="s">
        <v>342</v>
      </c>
      <c r="C224" s="41">
        <f t="shared" si="35" ref="C224:J224">C149+C215+C221</f>
        <v>1557</v>
      </c>
      <c r="D224" s="41">
        <f t="shared" si="35"/>
        <v>2768</v>
      </c>
      <c r="E224" s="41">
        <f t="shared" si="35"/>
        <v>3801</v>
      </c>
      <c r="F224" s="41">
        <f t="shared" si="35"/>
        <v>2436</v>
      </c>
      <c r="G224" s="41">
        <f t="shared" si="35"/>
        <v>10615</v>
      </c>
      <c r="H224" s="41">
        <f t="shared" si="35"/>
        <v>2752</v>
      </c>
      <c r="I224" s="41">
        <f t="shared" si="35"/>
        <v>3604</v>
      </c>
      <c r="J224" s="42">
        <f t="shared" si="35"/>
        <v>3426.84628778907</v>
      </c>
    </row>
    <row r="225" ht="15" customHeight="1">
      <c r="B225" s="37" t="s">
        <v>75</v>
      </c>
      <c r="C225" s="10" t="s">
        <v>31</v>
      </c>
      <c r="D225" s="10" t="s">
        <v>31</v>
      </c>
      <c r="E225" s="10" t="s">
        <v>31</v>
      </c>
      <c r="F225" s="10" t="s">
        <v>31</v>
      </c>
      <c r="G225" s="10" t="s">
        <v>31</v>
      </c>
      <c r="H225" s="10">
        <f t="shared" si="0"/>
        <v>0.7675016056518946</v>
      </c>
      <c r="I225" s="10">
        <f t="shared" si="0"/>
        <v>0.30202312138728327</v>
      </c>
      <c r="J225" s="38">
        <f t="shared" si="0"/>
        <v>-0.09843559910837407</v>
      </c>
    </row>
    <row r="226" ht="15" customHeight="1">
      <c r="B226" s="43" t="s">
        <v>92</v>
      </c>
      <c r="C226" s="50" t="s">
        <v>31</v>
      </c>
      <c r="D226" s="50">
        <f t="shared" si="1"/>
        <v>1211</v>
      </c>
      <c r="E226" s="50">
        <f t="shared" si="1"/>
        <v>1033</v>
      </c>
      <c r="F226" s="50">
        <f t="shared" si="1"/>
        <v>-1365</v>
      </c>
      <c r="G226" s="50" t="s">
        <v>31</v>
      </c>
      <c r="H226" s="50">
        <f t="shared" si="3"/>
        <v>316</v>
      </c>
      <c r="I226" s="50">
        <f t="shared" si="1"/>
        <v>852</v>
      </c>
      <c r="J226" s="51">
        <f t="shared" si="1"/>
        <v>-177.15371221092983</v>
      </c>
    </row>
    <row r="227" ht="15" customHeight="1">
      <c r="B227" s="4" t="s">
        <v>34</v>
      </c>
      <c r="C227" s="64">
        <f t="shared" si="36" ref="C227:J227">C224/C155</f>
        <v>4.0546875</v>
      </c>
      <c r="D227" s="64">
        <f t="shared" si="36"/>
        <v>5.474683544303797</v>
      </c>
      <c r="E227" s="64">
        <f t="shared" si="36"/>
        <v>5.943706020328381</v>
      </c>
      <c r="F227" s="64">
        <f t="shared" si="36"/>
        <v>3.856871437618746</v>
      </c>
      <c r="G227" s="64">
        <f t="shared" si="36"/>
        <v>19.610197672270463</v>
      </c>
      <c r="H227" s="64">
        <f t="shared" si="36"/>
        <v>4.414501122874559</v>
      </c>
      <c r="I227" s="64">
        <f t="shared" si="36"/>
        <v>5.802608275639994</v>
      </c>
      <c r="J227" s="65">
        <f t="shared" si="36"/>
        <v>5.634870159975451</v>
      </c>
    </row>
    <row r="228" ht="15" customHeight="1">
      <c r="B228" s="37" t="s">
        <v>75</v>
      </c>
      <c r="C228" s="10" t="s">
        <v>31</v>
      </c>
      <c r="D228" s="10" t="s">
        <v>31</v>
      </c>
      <c r="E228" s="10" t="s">
        <v>31</v>
      </c>
      <c r="F228" s="10" t="s">
        <v>31</v>
      </c>
      <c r="G228" s="10" t="s">
        <v>31</v>
      </c>
      <c r="H228" s="10">
        <f t="shared" si="0"/>
        <v>0.08874016132551743</v>
      </c>
      <c r="I228" s="10">
        <f t="shared" si="0"/>
        <v>0.05989839023250765</v>
      </c>
      <c r="J228" s="38">
        <f t="shared" si="0"/>
        <v>-0.051960150669744576</v>
      </c>
    </row>
    <row r="229" ht="15" customHeight="1">
      <c r="B229" s="43" t="s">
        <v>92</v>
      </c>
      <c r="C229" s="62" t="s">
        <v>31</v>
      </c>
      <c r="D229" s="62">
        <f t="shared" si="1"/>
        <v>1.4199960443037973</v>
      </c>
      <c r="E229" s="62">
        <f t="shared" si="1"/>
        <v>0.469022476024584</v>
      </c>
      <c r="F229" s="62">
        <f t="shared" si="1"/>
        <v>-2.0868345827096353</v>
      </c>
      <c r="G229" s="62" t="s">
        <v>31</v>
      </c>
      <c r="H229" s="62">
        <f t="shared" si="3"/>
        <v>0.5576296852558129</v>
      </c>
      <c r="I229" s="62">
        <f t="shared" si="1"/>
        <v>1.3881071527654347</v>
      </c>
      <c r="J229" s="63">
        <f t="shared" si="1"/>
        <v>-0.16773811566454278</v>
      </c>
    </row>
    <row r="230" ht="15" customHeight="1">
      <c r="B230" s="24" t="s">
        <v>343</v>
      </c>
      <c r="C230" s="16">
        <v>4.06</v>
      </c>
      <c r="D230" s="16">
        <v>5.48</v>
      </c>
      <c r="E230" s="16">
        <v>5.95</v>
      </c>
      <c r="F230" s="16">
        <v>3.86</v>
      </c>
      <c r="G230" s="16">
        <v>19.61</v>
      </c>
      <c r="H230" s="16">
        <v>4.42</v>
      </c>
      <c r="I230" s="16">
        <v>5.81</v>
      </c>
      <c r="J230" s="61" t="s">
        <v>31</v>
      </c>
      <c r="K230" s="40" t="s">
        <v>330</v>
      </c>
    </row>
    <row r="231" ht="15" customHeight="1">
      <c r="B231" s="37" t="s">
        <v>75</v>
      </c>
      <c r="C231" s="10" t="s">
        <v>31</v>
      </c>
      <c r="D231" s="10" t="s">
        <v>31</v>
      </c>
      <c r="E231" s="10" t="s">
        <v>31</v>
      </c>
      <c r="F231" s="10" t="s">
        <v>31</v>
      </c>
      <c r="G231" s="10" t="s">
        <v>31</v>
      </c>
      <c r="H231" s="10">
        <f t="shared" si="0"/>
        <v>0.08866995073891637</v>
      </c>
      <c r="I231" s="10">
        <f t="shared" si="0"/>
        <v>0.06021897810218957</v>
      </c>
      <c r="J231" s="38" t="str">
        <f t="shared" si="0"/>
        <v>n/a</v>
      </c>
    </row>
    <row r="232" ht="15" customHeight="1">
      <c r="B232" s="37" t="s">
        <v>92</v>
      </c>
      <c r="C232" s="62" t="s">
        <v>31</v>
      </c>
      <c r="D232" s="62">
        <f t="shared" si="1"/>
        <v>1.4200000000000008</v>
      </c>
      <c r="E232" s="62">
        <f t="shared" si="1"/>
        <v>0.46999999999999975</v>
      </c>
      <c r="F232" s="62">
        <f t="shared" si="1"/>
        <v>-2.0900000000000003</v>
      </c>
      <c r="G232" s="62" t="s">
        <v>31</v>
      </c>
      <c r="H232" s="62">
        <f t="shared" si="3"/>
        <v>0.56</v>
      </c>
      <c r="I232" s="62">
        <f t="shared" si="1"/>
        <v>1.3899999999999997</v>
      </c>
      <c r="J232" s="63" t="str">
        <f t="shared" si="1"/>
        <v>n/a</v>
      </c>
    </row>
    <row r="233" ht="15" customHeight="1">
      <c r="B233" s="43" t="s">
        <v>344</v>
      </c>
      <c r="C233" s="62">
        <f t="shared" si="27"/>
        <v>0</v>
      </c>
      <c r="D233" s="62">
        <f t="shared" si="27"/>
        <v>0</v>
      </c>
      <c r="E233" s="62">
        <f t="shared" si="27"/>
        <v>0</v>
      </c>
      <c r="F233" s="62">
        <f t="shared" si="27"/>
        <v>0</v>
      </c>
      <c r="G233" s="62">
        <f t="shared" si="27"/>
        <v>0</v>
      </c>
      <c r="H233" s="62">
        <f t="shared" si="27"/>
        <v>0</v>
      </c>
      <c r="I233" s="62">
        <f t="shared" si="27"/>
        <v>0</v>
      </c>
      <c r="J233" s="63" t="s">
        <v>31</v>
      </c>
    </row>
    <row r="234" ht="15" customHeight="1">
      <c r="B234" s="24" t="s">
        <v>345</v>
      </c>
      <c r="C234" s="15">
        <f t="shared" si="37" ref="C234:J234">C227-C161</f>
        <v>0.6041666666666665</v>
      </c>
      <c r="D234" s="15">
        <f t="shared" si="37"/>
        <v>14.058544303797468</v>
      </c>
      <c r="E234" s="15">
        <f t="shared" si="37"/>
        <v>1.118060985144644</v>
      </c>
      <c r="F234" s="15">
        <f t="shared" si="37"/>
        <v>0.6000633312222927</v>
      </c>
      <c r="G234" s="15">
        <f t="shared" si="37"/>
        <v>15.581008682800668</v>
      </c>
      <c r="H234" s="15">
        <f t="shared" si="37"/>
        <v>1.0763554700032083</v>
      </c>
      <c r="I234" s="15">
        <f t="shared" si="37"/>
        <v>1.0771212365158593</v>
      </c>
      <c r="J234" s="61">
        <f t="shared" si="37"/>
        <v>1.0772177916632417</v>
      </c>
    </row>
    <row r="235" ht="15" customHeight="1">
      <c r="B235" s="37" t="s">
        <v>75</v>
      </c>
      <c r="C235" s="10" t="s">
        <v>31</v>
      </c>
      <c r="D235" s="10" t="s">
        <v>31</v>
      </c>
      <c r="E235" s="10" t="s">
        <v>31</v>
      </c>
      <c r="F235" s="10" t="s">
        <v>31</v>
      </c>
      <c r="G235" s="10" t="s">
        <v>31</v>
      </c>
      <c r="H235" s="10">
        <f t="shared" si="0"/>
        <v>0.781553881384621</v>
      </c>
      <c r="I235" s="10">
        <f t="shared" si="0"/>
        <v>-0.9233831602163171</v>
      </c>
      <c r="J235" s="38">
        <f t="shared" si="0"/>
        <v>-0.03653038074315629</v>
      </c>
    </row>
    <row r="236" ht="15" customHeight="1">
      <c r="B236" s="37" t="s">
        <v>92</v>
      </c>
      <c r="C236" s="62" t="s">
        <v>31</v>
      </c>
      <c r="D236" s="62">
        <f t="shared" si="1"/>
        <v>13.454377637130802</v>
      </c>
      <c r="E236" s="62">
        <f t="shared" si="1"/>
        <v>-12.940483318652824</v>
      </c>
      <c r="F236" s="62">
        <f t="shared" si="1"/>
        <v>-0.5179976539223512</v>
      </c>
      <c r="G236" s="62" t="s">
        <v>31</v>
      </c>
      <c r="H236" s="62">
        <f t="shared" si="3"/>
        <v>0.4762921387809156</v>
      </c>
      <c r="I236" s="62">
        <f t="shared" si="1"/>
        <v>0.0007657665126510338</v>
      </c>
      <c r="J236" s="63">
        <f t="shared" si="1"/>
        <v>0.00009655514738238224</v>
      </c>
    </row>
    <row r="237" ht="15" customHeight="1">
      <c r="B237" s="24" t="s">
        <v>346</v>
      </c>
      <c r="C237" s="9">
        <f t="shared" si="38" ref="C237:J237">C110-C188-C197-C200-C206-C212</f>
        <v>5594</v>
      </c>
      <c r="D237" s="9">
        <f t="shared" si="38"/>
        <v>6396</v>
      </c>
      <c r="E237" s="9">
        <f t="shared" si="38"/>
        <v>7417</v>
      </c>
      <c r="F237" s="9">
        <f t="shared" si="38"/>
        <v>8393</v>
      </c>
      <c r="G237" s="9">
        <f t="shared" si="38"/>
        <v>27800</v>
      </c>
      <c r="H237" s="9">
        <f t="shared" si="38"/>
        <v>7571</v>
      </c>
      <c r="I237" s="9">
        <f t="shared" si="38"/>
        <v>8131</v>
      </c>
      <c r="J237" s="54">
        <f t="shared" si="38"/>
        <v>8250</v>
      </c>
    </row>
    <row r="238" ht="15" customHeight="1">
      <c r="B238" s="37" t="s">
        <v>75</v>
      </c>
      <c r="C238" s="10" t="s">
        <v>31</v>
      </c>
      <c r="D238" s="10" t="s">
        <v>31</v>
      </c>
      <c r="E238" s="10" t="s">
        <v>31</v>
      </c>
      <c r="F238" s="10" t="s">
        <v>31</v>
      </c>
      <c r="G238" s="10" t="s">
        <v>31</v>
      </c>
      <c r="H238" s="10">
        <f t="shared" si="0"/>
        <v>0.35341437254200936</v>
      </c>
      <c r="I238" s="10">
        <f t="shared" si="0"/>
        <v>0.27126328955597256</v>
      </c>
      <c r="J238" s="38">
        <f t="shared" si="0"/>
        <v>0.11230955912093843</v>
      </c>
    </row>
    <row r="239" ht="15" customHeight="1">
      <c r="B239" s="37" t="s">
        <v>92</v>
      </c>
      <c r="C239" s="50" t="s">
        <v>31</v>
      </c>
      <c r="D239" s="50">
        <f t="shared" si="1"/>
        <v>802</v>
      </c>
      <c r="E239" s="50">
        <f t="shared" si="1"/>
        <v>1021</v>
      </c>
      <c r="F239" s="50">
        <f t="shared" si="1"/>
        <v>976</v>
      </c>
      <c r="G239" s="50" t="s">
        <v>31</v>
      </c>
      <c r="H239" s="50">
        <f t="shared" si="3"/>
        <v>-822</v>
      </c>
      <c r="I239" s="50">
        <f t="shared" si="1"/>
        <v>560</v>
      </c>
      <c r="J239" s="51">
        <f t="shared" si="1"/>
        <v>119</v>
      </c>
    </row>
    <row r="240" ht="15" customHeight="1">
      <c r="B240" s="55" t="s">
        <v>347</v>
      </c>
      <c r="C240" s="9">
        <f t="shared" si="39" ref="C240:J240">C237-C95</f>
        <v>4392</v>
      </c>
      <c r="D240" s="9">
        <f t="shared" si="39"/>
        <v>5051</v>
      </c>
      <c r="E240" s="9">
        <f t="shared" si="39"/>
        <v>6014</v>
      </c>
      <c r="F240" s="9">
        <f t="shared" si="39"/>
        <v>6459</v>
      </c>
      <c r="G240" s="9">
        <f t="shared" si="39"/>
        <v>21916</v>
      </c>
      <c r="H240" s="9">
        <f t="shared" si="39"/>
        <v>6074</v>
      </c>
      <c r="I240" s="9">
        <f t="shared" si="39"/>
        <v>6470</v>
      </c>
      <c r="J240" s="54">
        <f t="shared" si="39"/>
        <v>6520</v>
      </c>
    </row>
    <row r="241" ht="15" customHeight="1">
      <c r="B241" s="57" t="s">
        <v>69</v>
      </c>
      <c r="C241" s="10" t="s">
        <v>31</v>
      </c>
      <c r="D241" s="10">
        <f t="shared" si="40" ref="D241:J241">IF(AND(ISNUMBER(D240),ISNUMBER(C240)),IF(C240&gt;0,D240/C240-1,"n/m"),"n/a")</f>
        <v>0.15004553734061932</v>
      </c>
      <c r="E241" s="10">
        <f t="shared" si="40"/>
        <v>0.1906553157790536</v>
      </c>
      <c r="F241" s="10">
        <f t="shared" si="40"/>
        <v>0.07399401396740934</v>
      </c>
      <c r="G241" s="10" t="s">
        <v>31</v>
      </c>
      <c r="H241" s="10">
        <f>IF(AND(ISNUMBER(H240),ISNUMBER(F240)),IF(F240&gt;0,H240/F240-1,"n/m"),"n/a")</f>
        <v>-0.05960675027093976</v>
      </c>
      <c r="I241" s="10">
        <f t="shared" si="40"/>
        <v>0.06519591702337824</v>
      </c>
      <c r="J241" s="38">
        <f t="shared" si="40"/>
        <v>0.007727975270479082</v>
      </c>
    </row>
    <row r="242" ht="15" customHeight="1">
      <c r="B242" s="57" t="s">
        <v>75</v>
      </c>
      <c r="C242" s="10" t="s">
        <v>31</v>
      </c>
      <c r="D242" s="10" t="s">
        <v>31</v>
      </c>
      <c r="E242" s="10" t="s">
        <v>31</v>
      </c>
      <c r="F242" s="10" t="s">
        <v>31</v>
      </c>
      <c r="G242" s="10" t="s">
        <v>31</v>
      </c>
      <c r="H242" s="10">
        <f t="shared" si="41" ref="H242:J242">IF(AND(ISNUMBER(H240),ISNUMBER(C240)),IF(C240&gt;0,H240/C240-1,"n/m"),"n/a")</f>
        <v>0.38296903460837894</v>
      </c>
      <c r="I242" s="10">
        <f t="shared" si="41"/>
        <v>0.2809344684220947</v>
      </c>
      <c r="J242" s="38">
        <f t="shared" si="41"/>
        <v>0.08413701363485204</v>
      </c>
    </row>
    <row r="243" ht="15" customHeight="1">
      <c r="B243" s="24" t="s">
        <v>348</v>
      </c>
      <c r="C243" s="9">
        <f t="shared" si="42" ref="C243:J243">C75+C191</f>
        <v>10000</v>
      </c>
      <c r="D243" s="9">
        <f t="shared" si="42"/>
        <v>12577</v>
      </c>
      <c r="E243" s="9">
        <f t="shared" si="42"/>
        <v>15464</v>
      </c>
      <c r="F243" s="9">
        <f t="shared" si="42"/>
        <v>15620</v>
      </c>
      <c r="G243" s="9">
        <f t="shared" si="42"/>
        <v>53661</v>
      </c>
      <c r="H243" s="9">
        <f t="shared" si="42"/>
        <v>15230</v>
      </c>
      <c r="I243" s="9">
        <f t="shared" si="42"/>
        <v>15826</v>
      </c>
      <c r="J243" s="54">
        <f t="shared" si="42"/>
        <v>16241.599545785388</v>
      </c>
      <c r="K243" s="44" t="s">
        <v>349</v>
      </c>
    </row>
    <row r="244" ht="15" customHeight="1">
      <c r="B244" s="37" t="s">
        <v>75</v>
      </c>
      <c r="C244" s="10" t="s">
        <v>31</v>
      </c>
      <c r="D244" s="10" t="s">
        <v>31</v>
      </c>
      <c r="E244" s="10" t="s">
        <v>31</v>
      </c>
      <c r="F244" s="10" t="s">
        <v>31</v>
      </c>
      <c r="G244" s="10" t="s">
        <v>31</v>
      </c>
      <c r="H244" s="10">
        <f t="shared" si="0"/>
        <v>0.5229999999999999</v>
      </c>
      <c r="I244" s="10">
        <f t="shared" si="0"/>
        <v>0.25832869523733804</v>
      </c>
      <c r="J244" s="38">
        <f t="shared" si="0"/>
        <v>0.05028450244344196</v>
      </c>
      <c r="K244" s="67"/>
    </row>
    <row r="245" ht="15" customHeight="1">
      <c r="B245" s="37" t="s">
        <v>92</v>
      </c>
      <c r="C245" s="50" t="s">
        <v>31</v>
      </c>
      <c r="D245" s="50">
        <f t="shared" si="1"/>
        <v>2577</v>
      </c>
      <c r="E245" s="50">
        <f t="shared" si="1"/>
        <v>2887</v>
      </c>
      <c r="F245" s="50">
        <f t="shared" si="1"/>
        <v>156</v>
      </c>
      <c r="G245" s="50" t="s">
        <v>31</v>
      </c>
      <c r="H245" s="50">
        <f t="shared" si="3"/>
        <v>-390</v>
      </c>
      <c r="I245" s="50">
        <f t="shared" si="1"/>
        <v>596</v>
      </c>
      <c r="J245" s="51">
        <f t="shared" si="1"/>
        <v>415.5995457853878</v>
      </c>
      <c r="K245" s="67"/>
    </row>
    <row r="246" ht="15" customHeight="1">
      <c r="B246" s="43" t="s">
        <v>350</v>
      </c>
      <c r="C246" s="10">
        <f t="shared" si="43" ref="C246:J246">C237/C243</f>
        <v>0.5594</v>
      </c>
      <c r="D246" s="10">
        <f t="shared" si="43"/>
        <v>0.508547348334261</v>
      </c>
      <c r="E246" s="10">
        <f t="shared" si="43"/>
        <v>0.47963010863942057</v>
      </c>
      <c r="F246" s="10">
        <f t="shared" si="43"/>
        <v>0.5373239436619718</v>
      </c>
      <c r="G246" s="10">
        <f t="shared" si="43"/>
        <v>0.5180671251001658</v>
      </c>
      <c r="H246" s="10">
        <f t="shared" si="43"/>
        <v>0.49711096520026266</v>
      </c>
      <c r="I246" s="10">
        <f t="shared" si="43"/>
        <v>0.5137748009604448</v>
      </c>
      <c r="J246" s="38">
        <f t="shared" si="43"/>
        <v>0.5079548954980135</v>
      </c>
      <c r="K246" s="44" t="s">
        <v>351</v>
      </c>
    </row>
    <row r="247" ht="15" customHeight="1">
      <c r="B247" s="37" t="s">
        <v>137</v>
      </c>
      <c r="C247" s="58" t="s">
        <v>31</v>
      </c>
      <c r="D247" s="58">
        <f t="shared" si="18"/>
        <v>-508.52651665739046</v>
      </c>
      <c r="E247" s="58">
        <f t="shared" si="18"/>
        <v>-289.1723969484039</v>
      </c>
      <c r="F247" s="58">
        <f t="shared" si="18"/>
        <v>576.9383502255121</v>
      </c>
      <c r="G247" s="58" t="s">
        <v>31</v>
      </c>
      <c r="H247" s="58">
        <f t="shared" si="23"/>
        <v>-402.1297846170913</v>
      </c>
      <c r="I247" s="58">
        <f t="shared" si="18"/>
        <v>166.63835760182155</v>
      </c>
      <c r="J247" s="59">
        <f t="shared" si="18"/>
        <v>-58.19905462431274</v>
      </c>
    </row>
    <row r="248" ht="15" customHeight="1">
      <c r="B248" s="37" t="s">
        <v>138</v>
      </c>
      <c r="C248" s="58" t="s">
        <v>31</v>
      </c>
      <c r="D248" s="58" t="s">
        <v>31</v>
      </c>
      <c r="E248" s="58" t="s">
        <v>31</v>
      </c>
      <c r="F248" s="58" t="s">
        <v>31</v>
      </c>
      <c r="G248" s="58" t="s">
        <v>31</v>
      </c>
      <c r="H248" s="58">
        <f t="shared" si="19"/>
        <v>-622.8903479973735</v>
      </c>
      <c r="I248" s="58">
        <f t="shared" si="19"/>
        <v>52.27452626183848</v>
      </c>
      <c r="J248" s="59">
        <f t="shared" si="19"/>
        <v>283.24786858592967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D6A8E78-D4AA-A578-9E18-5B0C9C39099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10" width="12.00390625" customWidth="1"/>
    <col min="11" max="11" width="16.00390625" customWidth="1"/>
  </cols>
  <sheetData>
    <row r="1" ht="15" customHeight="1">
      <c r="B1" s="1" t="s">
        <v>0</v>
      </c>
    </row>
    <row r="2" ht="15" customHeight="1">
      <c r="B2" s="2" t="s">
        <v>352</v>
      </c>
    </row>
    <row r="3" ht="15" customHeight="1">
      <c r="B3" s="3" t="s">
        <v>2</v>
      </c>
    </row>
    <row r="5" ht="15" customHeight="1">
      <c r="B5" s="26" t="s">
        <v>55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7" t="s">
        <v>61</v>
      </c>
      <c r="I5" s="27" t="s">
        <v>62</v>
      </c>
      <c r="J5" s="28" t="s">
        <v>63</v>
      </c>
      <c r="K5" s="26" t="s">
        <v>64</v>
      </c>
    </row>
    <row r="6" ht="15" customHeight="1">
      <c r="B6" s="29" t="s">
        <v>65</v>
      </c>
      <c r="C6" s="30">
        <v>45747</v>
      </c>
      <c r="D6" s="30">
        <v>45838</v>
      </c>
      <c r="E6" s="30">
        <v>45930</v>
      </c>
      <c r="F6" s="30">
        <v>46022</v>
      </c>
      <c r="G6" s="30">
        <v>46022</v>
      </c>
      <c r="H6" s="30">
        <v>46112</v>
      </c>
      <c r="I6" s="30">
        <v>46203</v>
      </c>
      <c r="J6" s="31">
        <v>46295</v>
      </c>
      <c r="K6" s="29"/>
    </row>
    <row r="7" ht="15" customHeight="1">
      <c r="B7" s="32" t="s">
        <v>66</v>
      </c>
      <c r="C7" s="33">
        <v>90</v>
      </c>
      <c r="D7" s="33">
        <v>91</v>
      </c>
      <c r="E7" s="33">
        <v>92</v>
      </c>
      <c r="F7" s="33">
        <v>92</v>
      </c>
      <c r="G7" s="33">
        <v>365</v>
      </c>
      <c r="H7" s="33">
        <v>90</v>
      </c>
      <c r="I7" s="33">
        <v>91</v>
      </c>
      <c r="J7" s="34">
        <v>92</v>
      </c>
      <c r="K7" s="32"/>
    </row>
    <row r="9" ht="15" customHeight="1">
      <c r="B9" s="35" t="s">
        <v>353</v>
      </c>
    </row>
    <row r="10" ht="15" customHeight="1">
      <c r="B10" s="24" t="s">
        <v>354</v>
      </c>
      <c r="C10" s="12">
        <v>4108</v>
      </c>
      <c r="D10" s="12">
        <v>4854</v>
      </c>
      <c r="E10" s="12">
        <v>4606</v>
      </c>
      <c r="F10" s="12">
        <v>3031</v>
      </c>
      <c r="G10" s="9">
        <f t="shared" si="0" ref="G10:J151">F10</f>
        <v>3031</v>
      </c>
      <c r="H10" s="12">
        <v>4555</v>
      </c>
      <c r="I10" s="12">
        <v>4834</v>
      </c>
      <c r="J10" s="54">
        <f t="shared" si="0"/>
        <v>4834</v>
      </c>
      <c r="K10" s="40" t="s">
        <v>355</v>
      </c>
    </row>
    <row r="11" ht="15" customHeight="1">
      <c r="B11" s="24" t="s">
        <v>356</v>
      </c>
      <c r="C11" s="12">
        <v>44465</v>
      </c>
      <c r="D11" s="12">
        <v>54255</v>
      </c>
      <c r="E11" s="12">
        <v>50673</v>
      </c>
      <c r="F11" s="12">
        <v>54403</v>
      </c>
      <c r="G11" s="9">
        <f t="shared" si="0"/>
        <v>54403</v>
      </c>
      <c r="H11" s="12">
        <v>71939</v>
      </c>
      <c r="I11" s="12">
        <v>49880</v>
      </c>
      <c r="J11" s="54">
        <f>J58-(J10+J13+J16+J23+SUM(J24:J30))</f>
        <v>46257.077686170465</v>
      </c>
      <c r="K11" s="40" t="s">
        <v>357</v>
      </c>
    </row>
    <row r="12" ht="15" customHeight="1">
      <c r="B12" s="45" t="s">
        <v>358</v>
      </c>
      <c r="C12" s="41">
        <f t="shared" si="1" ref="C12:J39">C10+C11</f>
        <v>48573</v>
      </c>
      <c r="D12" s="41">
        <f t="shared" si="1"/>
        <v>59109</v>
      </c>
      <c r="E12" s="41">
        <f t="shared" si="1"/>
        <v>55279</v>
      </c>
      <c r="F12" s="41">
        <f t="shared" si="1"/>
        <v>57434</v>
      </c>
      <c r="G12" s="41">
        <f t="shared" si="1"/>
        <v>57434</v>
      </c>
      <c r="H12" s="41">
        <f t="shared" si="1"/>
        <v>76494</v>
      </c>
      <c r="I12" s="41">
        <f t="shared" si="1"/>
        <v>54714</v>
      </c>
      <c r="J12" s="42">
        <f t="shared" si="1"/>
        <v>51091.077686170465</v>
      </c>
    </row>
    <row r="13" ht="15" customHeight="1">
      <c r="B13" s="24" t="s">
        <v>359</v>
      </c>
      <c r="C13" s="12">
        <v>392</v>
      </c>
      <c r="D13" s="12">
        <v>2469</v>
      </c>
      <c r="E13" s="12">
        <v>3248</v>
      </c>
      <c r="F13" s="12">
        <v>4659</v>
      </c>
      <c r="G13" s="9">
        <f t="shared" si="0"/>
        <v>4659</v>
      </c>
      <c r="H13" s="12">
        <v>2762</v>
      </c>
      <c r="I13" s="12">
        <v>1167</v>
      </c>
      <c r="J13" s="54">
        <f t="shared" si="0"/>
        <v>1167</v>
      </c>
      <c r="K13" s="40" t="s">
        <v>355</v>
      </c>
    </row>
    <row r="14" ht="15" customHeight="1">
      <c r="B14" s="24" t="s">
        <v>360</v>
      </c>
      <c r="C14" s="12">
        <v>84362</v>
      </c>
      <c r="D14" s="12">
        <v>87196</v>
      </c>
      <c r="E14" s="12">
        <v>89733</v>
      </c>
      <c r="F14" s="12">
        <v>91051</v>
      </c>
      <c r="G14" s="9">
        <f t="shared" si="0"/>
        <v>91051</v>
      </c>
      <c r="H14" s="12">
        <v>90620</v>
      </c>
      <c r="I14" s="12">
        <v>90041</v>
      </c>
      <c r="J14" s="54">
        <f t="shared" si="0"/>
        <v>90041</v>
      </c>
      <c r="K14" s="40" t="s">
        <v>355</v>
      </c>
    </row>
    <row r="15" ht="15" customHeight="1">
      <c r="B15" s="24" t="s">
        <v>361</v>
      </c>
      <c r="C15" s="12">
        <v>0</v>
      </c>
      <c r="D15" s="12">
        <v>0</v>
      </c>
      <c r="E15" s="12">
        <v>0</v>
      </c>
      <c r="F15" s="12">
        <v>0</v>
      </c>
      <c r="G15" s="9">
        <f t="shared" si="0"/>
        <v>0</v>
      </c>
      <c r="H15" s="12">
        <v>1694</v>
      </c>
      <c r="I15" s="12">
        <v>2737</v>
      </c>
      <c r="J15" s="54">
        <f t="shared" si="0"/>
        <v>2737</v>
      </c>
      <c r="K15" s="40" t="s">
        <v>355</v>
      </c>
    </row>
    <row r="16" ht="15" customHeight="1">
      <c r="B16" s="45" t="s">
        <v>362</v>
      </c>
      <c r="C16" s="41">
        <f t="shared" si="1"/>
        <v>84362</v>
      </c>
      <c r="D16" s="41">
        <f t="shared" si="1"/>
        <v>87196</v>
      </c>
      <c r="E16" s="41">
        <f t="shared" si="1"/>
        <v>89733</v>
      </c>
      <c r="F16" s="41">
        <f t="shared" si="1"/>
        <v>91051</v>
      </c>
      <c r="G16" s="41">
        <f t="shared" si="1"/>
        <v>91051</v>
      </c>
      <c r="H16" s="41">
        <f t="shared" si="1"/>
        <v>92314</v>
      </c>
      <c r="I16" s="41">
        <f t="shared" si="1"/>
        <v>92778</v>
      </c>
      <c r="J16" s="42">
        <f t="shared" si="1"/>
        <v>92778</v>
      </c>
    </row>
    <row r="17" ht="15" customHeight="1">
      <c r="B17" s="55" t="s">
        <v>363</v>
      </c>
      <c r="C17" s="12">
        <v>295939</v>
      </c>
      <c r="D17" s="12">
        <v>384413</v>
      </c>
      <c r="E17" s="12">
        <v>389808</v>
      </c>
      <c r="F17" s="12">
        <v>425665</v>
      </c>
      <c r="G17" s="9">
        <f t="shared" si="0"/>
        <v>425665</v>
      </c>
      <c r="H17" s="12">
        <v>421360</v>
      </c>
      <c r="I17" s="12">
        <v>431440</v>
      </c>
      <c r="J17" s="54">
        <f>J19-J18</f>
        <v>438562</v>
      </c>
      <c r="K17" s="40" t="s">
        <v>355</v>
      </c>
    </row>
    <row r="18" ht="15" customHeight="1">
      <c r="B18" s="55" t="s">
        <v>364</v>
      </c>
      <c r="C18" s="12">
        <v>27659</v>
      </c>
      <c r="D18" s="12">
        <v>54884</v>
      </c>
      <c r="E18" s="12">
        <v>53351</v>
      </c>
      <c r="F18" s="12">
        <v>27957</v>
      </c>
      <c r="G18" s="9">
        <f t="shared" si="0"/>
        <v>27957</v>
      </c>
      <c r="H18" s="12">
        <v>26394</v>
      </c>
      <c r="I18" s="12">
        <v>25728</v>
      </c>
      <c r="J18" s="54">
        <f t="shared" si="0"/>
        <v>25728</v>
      </c>
      <c r="K18" s="40" t="s">
        <v>355</v>
      </c>
    </row>
    <row r="19" ht="15" customHeight="1">
      <c r="B19" s="45" t="s">
        <v>365</v>
      </c>
      <c r="C19" s="41">
        <f t="shared" si="1"/>
        <v>323598</v>
      </c>
      <c r="D19" s="41">
        <f t="shared" si="1"/>
        <v>439297</v>
      </c>
      <c r="E19" s="41">
        <f t="shared" si="1"/>
        <v>443159</v>
      </c>
      <c r="F19" s="41">
        <f t="shared" si="1"/>
        <v>453622</v>
      </c>
      <c r="G19" s="41">
        <f t="shared" si="1"/>
        <v>453622</v>
      </c>
      <c r="H19" s="41">
        <f t="shared" si="1"/>
        <v>447754</v>
      </c>
      <c r="I19" s="41">
        <f t="shared" si="1"/>
        <v>457168</v>
      </c>
      <c r="J19" s="47">
        <f>'Segment - Credit Card'!J19+'Segment - Consumer Banking'!J16+'Segment - Commercial Banking'!J16</f>
        <v>464290</v>
      </c>
    </row>
    <row r="20" ht="15" customHeight="1">
      <c r="B20" s="37" t="s">
        <v>75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>
        <f t="shared" si="2" ref="H20:J144">IF(AND(ISNUMBER(H19),ISNUMBER(C19)),IF(C19&gt;0,H19/C19-1,"n/m"),"n/a")</f>
        <v>0.38367357029400684</v>
      </c>
      <c r="I20" s="10">
        <f t="shared" si="2"/>
        <v>0.04068090608403874</v>
      </c>
      <c r="J20" s="38">
        <f t="shared" si="2"/>
        <v>0.047682660173888</v>
      </c>
    </row>
    <row r="21" ht="15" customHeight="1">
      <c r="B21" s="37" t="s">
        <v>92</v>
      </c>
      <c r="C21" s="50" t="s">
        <v>31</v>
      </c>
      <c r="D21" s="50">
        <f t="shared" si="3" ref="D21:J145">IF(AND(ISNUMBER(D19),ISNUMBER(C19)),D19-C19,"n/a")</f>
        <v>115699</v>
      </c>
      <c r="E21" s="50">
        <f t="shared" si="3"/>
        <v>3862</v>
      </c>
      <c r="F21" s="50">
        <f t="shared" si="3"/>
        <v>10463</v>
      </c>
      <c r="G21" s="50" t="s">
        <v>31</v>
      </c>
      <c r="H21" s="50">
        <f t="shared" si="6" ref="H21:H145">IF(AND(ISNUMBER(H19),ISNUMBER(F19)),H19-F19,"n/a")</f>
        <v>-5868</v>
      </c>
      <c r="I21" s="50">
        <f t="shared" si="3"/>
        <v>9414</v>
      </c>
      <c r="J21" s="51">
        <f t="shared" si="3"/>
        <v>7122</v>
      </c>
    </row>
    <row r="22" ht="15" customHeight="1">
      <c r="B22" s="24" t="s">
        <v>366</v>
      </c>
      <c r="C22" s="12">
        <v>-15899</v>
      </c>
      <c r="D22" s="12">
        <v>-23873</v>
      </c>
      <c r="E22" s="12">
        <v>-23103</v>
      </c>
      <c r="F22" s="12">
        <v>-23409</v>
      </c>
      <c r="G22" s="9">
        <f t="shared" si="0"/>
        <v>-23409</v>
      </c>
      <c r="H22" s="12">
        <v>-23630</v>
      </c>
      <c r="I22" s="12">
        <v>-22966</v>
      </c>
      <c r="J22" s="36">
        <f>-('Segment - Credit Card'!J200+'Segment - Consumer Banking'!J143+'Segment - Commercial Banking'!J116)</f>
        <v>-23129.677</v>
      </c>
      <c r="K22" s="40" t="s">
        <v>355</v>
      </c>
    </row>
    <row r="23" ht="15" customHeight="1">
      <c r="B23" s="45" t="s">
        <v>367</v>
      </c>
      <c r="C23" s="41">
        <f t="shared" si="4" ref="C23:J23">C19+C22</f>
        <v>307699</v>
      </c>
      <c r="D23" s="41">
        <f t="shared" si="4"/>
        <v>415424</v>
      </c>
      <c r="E23" s="41">
        <f t="shared" si="4"/>
        <v>420056</v>
      </c>
      <c r="F23" s="41">
        <f t="shared" si="4"/>
        <v>430213</v>
      </c>
      <c r="G23" s="41">
        <f t="shared" si="4"/>
        <v>430213</v>
      </c>
      <c r="H23" s="41">
        <f t="shared" si="4"/>
        <v>424124</v>
      </c>
      <c r="I23" s="41">
        <f t="shared" si="4"/>
        <v>434202</v>
      </c>
      <c r="J23" s="42">
        <f t="shared" si="4"/>
        <v>441160.323</v>
      </c>
    </row>
    <row r="24" ht="15" customHeight="1">
      <c r="B24" s="24" t="s">
        <v>368</v>
      </c>
      <c r="C24" s="12">
        <v>686</v>
      </c>
      <c r="D24" s="12">
        <v>198</v>
      </c>
      <c r="E24" s="12">
        <v>670</v>
      </c>
      <c r="F24" s="12">
        <v>760</v>
      </c>
      <c r="G24" s="9">
        <f t="shared" si="0"/>
        <v>760</v>
      </c>
      <c r="H24" s="12">
        <v>186</v>
      </c>
      <c r="I24" s="12">
        <v>264</v>
      </c>
      <c r="J24" s="54">
        <f t="shared" si="0"/>
        <v>264</v>
      </c>
      <c r="K24" s="40" t="s">
        <v>355</v>
      </c>
    </row>
    <row r="25" ht="15" customHeight="1">
      <c r="B25" s="24" t="s">
        <v>369</v>
      </c>
      <c r="C25" s="12">
        <v>4579</v>
      </c>
      <c r="D25" s="12">
        <v>5687</v>
      </c>
      <c r="E25" s="12">
        <v>5576</v>
      </c>
      <c r="F25" s="12">
        <v>5602</v>
      </c>
      <c r="G25" s="9">
        <f t="shared" si="0"/>
        <v>5602</v>
      </c>
      <c r="H25" s="12">
        <v>5730</v>
      </c>
      <c r="I25" s="12">
        <v>6244</v>
      </c>
      <c r="J25" s="36">
        <f>I25-'Cash Flow Statement'!J24-'Cash Flow Statement'!J44</f>
        <v>6404</v>
      </c>
      <c r="K25" s="40" t="s">
        <v>355</v>
      </c>
    </row>
    <row r="26" ht="15" customHeight="1">
      <c r="B26" s="24" t="s">
        <v>370</v>
      </c>
      <c r="C26" s="12">
        <v>2599</v>
      </c>
      <c r="D26" s="12">
        <v>3373</v>
      </c>
      <c r="E26" s="12">
        <v>3456</v>
      </c>
      <c r="F26" s="12">
        <v>3492</v>
      </c>
      <c r="G26" s="9">
        <f t="shared" si="0"/>
        <v>3492</v>
      </c>
      <c r="H26" s="12">
        <v>3460</v>
      </c>
      <c r="I26" s="12">
        <v>3432</v>
      </c>
      <c r="J26" s="54">
        <f t="shared" si="0"/>
        <v>3432</v>
      </c>
      <c r="K26" s="40" t="s">
        <v>355</v>
      </c>
    </row>
    <row r="27" ht="15" customHeight="1">
      <c r="B27" s="24" t="s">
        <v>371</v>
      </c>
      <c r="C27" s="12">
        <v>15070</v>
      </c>
      <c r="D27" s="12">
        <v>28335</v>
      </c>
      <c r="E27" s="12">
        <v>28863</v>
      </c>
      <c r="F27" s="12">
        <v>28509</v>
      </c>
      <c r="G27" s="9">
        <f t="shared" si="0"/>
        <v>28509</v>
      </c>
      <c r="H27" s="12">
        <v>28502</v>
      </c>
      <c r="I27" s="12">
        <v>31866</v>
      </c>
      <c r="J27" s="54">
        <f t="shared" si="0"/>
        <v>31866</v>
      </c>
      <c r="K27" s="40" t="s">
        <v>355</v>
      </c>
    </row>
    <row r="28" ht="15" customHeight="1">
      <c r="B28" s="24" t="s">
        <v>372</v>
      </c>
      <c r="C28" s="12">
        <v>217</v>
      </c>
      <c r="D28" s="12">
        <v>18157</v>
      </c>
      <c r="E28" s="12">
        <v>17042</v>
      </c>
      <c r="F28" s="12">
        <v>16578</v>
      </c>
      <c r="G28" s="9">
        <f t="shared" si="0"/>
        <v>16578</v>
      </c>
      <c r="H28" s="12">
        <v>16087</v>
      </c>
      <c r="I28" s="12">
        <v>16077</v>
      </c>
      <c r="J28" s="36">
        <f>I28-'Income Statement'!J104</f>
        <v>15572</v>
      </c>
      <c r="K28" s="40" t="s">
        <v>355</v>
      </c>
    </row>
    <row r="29" ht="15" customHeight="1">
      <c r="B29" s="24" t="s">
        <v>373</v>
      </c>
      <c r="C29" s="12">
        <v>29427</v>
      </c>
      <c r="D29" s="12">
        <v>30904</v>
      </c>
      <c r="E29" s="12">
        <v>29957</v>
      </c>
      <c r="F29" s="12">
        <v>30711</v>
      </c>
      <c r="G29" s="9">
        <f t="shared" si="0"/>
        <v>30711</v>
      </c>
      <c r="H29" s="12">
        <v>33246</v>
      </c>
      <c r="I29" s="12">
        <v>33091</v>
      </c>
      <c r="J29" s="54">
        <f t="shared" si="0"/>
        <v>33091</v>
      </c>
      <c r="K29" s="40" t="s">
        <v>355</v>
      </c>
    </row>
    <row r="30" ht="15" customHeight="1">
      <c r="B30" s="24" t="s">
        <v>374</v>
      </c>
      <c r="C30" s="12">
        <v>0</v>
      </c>
      <c r="D30" s="12">
        <v>8116</v>
      </c>
      <c r="E30" s="12">
        <v>7997</v>
      </c>
      <c r="F30" s="12">
        <v>0</v>
      </c>
      <c r="G30" s="9">
        <f t="shared" si="0"/>
        <v>0</v>
      </c>
      <c r="H30" s="12">
        <v>0</v>
      </c>
      <c r="I30" s="12">
        <v>0</v>
      </c>
      <c r="J30" s="54">
        <f t="shared" si="0"/>
        <v>0</v>
      </c>
      <c r="K30" s="40" t="s">
        <v>355</v>
      </c>
    </row>
    <row r="31" ht="15" customHeight="1">
      <c r="B31" s="4" t="s">
        <v>375</v>
      </c>
      <c r="C31" s="41">
        <f t="shared" si="5" ref="C31:J31">C12+C13+C16+C23+SUM(C24:C30)</f>
        <v>493604</v>
      </c>
      <c r="D31" s="41">
        <f t="shared" si="5"/>
        <v>658968</v>
      </c>
      <c r="E31" s="41">
        <f t="shared" si="5"/>
        <v>661877</v>
      </c>
      <c r="F31" s="41">
        <f t="shared" si="5"/>
        <v>669009</v>
      </c>
      <c r="G31" s="41">
        <f t="shared" si="5"/>
        <v>669009</v>
      </c>
      <c r="H31" s="41">
        <f t="shared" si="5"/>
        <v>682905</v>
      </c>
      <c r="I31" s="41">
        <f t="shared" si="5"/>
        <v>673835</v>
      </c>
      <c r="J31" s="42">
        <f t="shared" si="5"/>
        <v>676825.4006861704</v>
      </c>
    </row>
    <row r="32" ht="15" customHeight="1">
      <c r="B32" s="37" t="s">
        <v>75</v>
      </c>
      <c r="C32" s="10" t="s">
        <v>31</v>
      </c>
      <c r="D32" s="10" t="s">
        <v>31</v>
      </c>
      <c r="E32" s="10" t="s">
        <v>31</v>
      </c>
      <c r="F32" s="10" t="s">
        <v>31</v>
      </c>
      <c r="G32" s="10" t="s">
        <v>31</v>
      </c>
      <c r="H32" s="10">
        <f t="shared" si="2"/>
        <v>0.38350783218936635</v>
      </c>
      <c r="I32" s="10">
        <f t="shared" si="2"/>
        <v>0.02256103483021943</v>
      </c>
      <c r="J32" s="38">
        <f t="shared" si="2"/>
        <v>0.022584861970079695</v>
      </c>
    </row>
    <row r="33" ht="15" customHeight="1">
      <c r="B33" s="37" t="s">
        <v>92</v>
      </c>
      <c r="C33" s="50" t="s">
        <v>31</v>
      </c>
      <c r="D33" s="50">
        <f t="shared" si="3"/>
        <v>165364</v>
      </c>
      <c r="E33" s="50">
        <f t="shared" si="3"/>
        <v>2909</v>
      </c>
      <c r="F33" s="50">
        <f t="shared" si="3"/>
        <v>7132</v>
      </c>
      <c r="G33" s="50" t="s">
        <v>31</v>
      </c>
      <c r="H33" s="50">
        <f t="shared" si="6"/>
        <v>13896</v>
      </c>
      <c r="I33" s="50">
        <f t="shared" si="3"/>
        <v>-9070</v>
      </c>
      <c r="J33" s="51">
        <f t="shared" si="3"/>
        <v>2990.40068617044</v>
      </c>
    </row>
    <row r="34" ht="15" customHeight="1">
      <c r="B34" s="24" t="s">
        <v>376</v>
      </c>
      <c r="C34" s="12">
        <v>493604</v>
      </c>
      <c r="D34" s="12">
        <v>658968</v>
      </c>
      <c r="E34" s="12">
        <v>661877</v>
      </c>
      <c r="F34" s="12">
        <v>669009</v>
      </c>
      <c r="G34" s="9">
        <f t="shared" si="0"/>
        <v>669009</v>
      </c>
      <c r="H34" s="12">
        <v>682905</v>
      </c>
      <c r="I34" s="12">
        <v>673835</v>
      </c>
      <c r="J34" s="54" t="s">
        <v>31</v>
      </c>
      <c r="K34" s="40" t="s">
        <v>294</v>
      </c>
    </row>
    <row r="35" ht="15" customHeight="1">
      <c r="B35" s="35" t="s">
        <v>377</v>
      </c>
    </row>
    <row r="36" ht="15" customHeight="1">
      <c r="B36" s="24" t="s">
        <v>378</v>
      </c>
      <c r="C36" s="12">
        <v>646</v>
      </c>
      <c r="D36" s="12">
        <v>888</v>
      </c>
      <c r="E36" s="12">
        <v>826</v>
      </c>
      <c r="F36" s="12">
        <v>844</v>
      </c>
      <c r="G36" s="9">
        <f t="shared" si="0"/>
        <v>844</v>
      </c>
      <c r="H36" s="12">
        <v>827</v>
      </c>
      <c r="I36" s="12">
        <v>816</v>
      </c>
      <c r="J36" s="54">
        <f t="shared" si="0"/>
        <v>816</v>
      </c>
      <c r="K36" s="40" t="s">
        <v>355</v>
      </c>
    </row>
    <row r="37" ht="15" customHeight="1">
      <c r="B37" s="55" t="s">
        <v>379</v>
      </c>
      <c r="C37" s="12">
        <v>26500</v>
      </c>
      <c r="D37" s="12">
        <v>27879</v>
      </c>
      <c r="E37" s="12">
        <v>27649</v>
      </c>
      <c r="F37" s="12">
        <v>27385</v>
      </c>
      <c r="G37" s="9">
        <f t="shared" si="0"/>
        <v>27385</v>
      </c>
      <c r="H37" s="12">
        <v>27936</v>
      </c>
      <c r="I37" s="12">
        <v>27793</v>
      </c>
      <c r="J37" s="39">
        <v>27800</v>
      </c>
      <c r="K37" s="40" t="s">
        <v>355</v>
      </c>
    </row>
    <row r="38" ht="15" customHeight="1">
      <c r="B38" s="55" t="s">
        <v>380</v>
      </c>
      <c r="C38" s="12">
        <v>340964</v>
      </c>
      <c r="D38" s="12">
        <v>440231</v>
      </c>
      <c r="E38" s="12">
        <v>441136</v>
      </c>
      <c r="F38" s="12">
        <v>448386</v>
      </c>
      <c r="G38" s="9">
        <f t="shared" si="0"/>
        <v>448386</v>
      </c>
      <c r="H38" s="12">
        <v>461117</v>
      </c>
      <c r="I38" s="12">
        <v>456464</v>
      </c>
      <c r="J38" s="54">
        <f>J65-J37</f>
        <v>459200</v>
      </c>
      <c r="K38" s="40" t="s">
        <v>355</v>
      </c>
    </row>
    <row r="39" ht="15" customHeight="1">
      <c r="B39" s="45" t="s">
        <v>381</v>
      </c>
      <c r="C39" s="41">
        <f t="shared" si="1"/>
        <v>367464</v>
      </c>
      <c r="D39" s="41">
        <f t="shared" si="1"/>
        <v>468110</v>
      </c>
      <c r="E39" s="41">
        <f t="shared" si="1"/>
        <v>468785</v>
      </c>
      <c r="F39" s="41">
        <f t="shared" si="1"/>
        <v>475771</v>
      </c>
      <c r="G39" s="41">
        <f t="shared" si="1"/>
        <v>475771</v>
      </c>
      <c r="H39" s="41">
        <f t="shared" si="1"/>
        <v>489053</v>
      </c>
      <c r="I39" s="41">
        <f t="shared" si="1"/>
        <v>484257</v>
      </c>
      <c r="J39" s="42">
        <f t="shared" si="1"/>
        <v>487000</v>
      </c>
    </row>
    <row r="40" ht="15" customHeight="1">
      <c r="B40" s="37" t="s">
        <v>75</v>
      </c>
      <c r="C40" s="10" t="s">
        <v>31</v>
      </c>
      <c r="D40" s="10" t="s">
        <v>31</v>
      </c>
      <c r="E40" s="10" t="s">
        <v>31</v>
      </c>
      <c r="F40" s="10" t="s">
        <v>31</v>
      </c>
      <c r="G40" s="10" t="s">
        <v>31</v>
      </c>
      <c r="H40" s="10">
        <f t="shared" si="2"/>
        <v>0.33088683517296924</v>
      </c>
      <c r="I40" s="10">
        <f t="shared" si="2"/>
        <v>0.03449402918117528</v>
      </c>
      <c r="J40" s="38">
        <f t="shared" si="2"/>
        <v>0.038855765436180745</v>
      </c>
    </row>
    <row r="41" ht="15" customHeight="1">
      <c r="B41" s="37" t="s">
        <v>92</v>
      </c>
      <c r="C41" s="50" t="s">
        <v>31</v>
      </c>
      <c r="D41" s="50">
        <f t="shared" si="3"/>
        <v>100646</v>
      </c>
      <c r="E41" s="50">
        <f t="shared" si="3"/>
        <v>675</v>
      </c>
      <c r="F41" s="50">
        <f t="shared" si="3"/>
        <v>6986</v>
      </c>
      <c r="G41" s="50" t="s">
        <v>31</v>
      </c>
      <c r="H41" s="50">
        <f t="shared" si="6"/>
        <v>13282</v>
      </c>
      <c r="I41" s="50">
        <f t="shared" si="3"/>
        <v>-4796</v>
      </c>
      <c r="J41" s="51">
        <f t="shared" si="3"/>
        <v>2743</v>
      </c>
    </row>
    <row r="42" ht="15" customHeight="1">
      <c r="B42" s="24" t="s">
        <v>285</v>
      </c>
      <c r="C42" s="12">
        <v>11716</v>
      </c>
      <c r="D42" s="12">
        <v>14658</v>
      </c>
      <c r="E42" s="12">
        <v>13642</v>
      </c>
      <c r="F42" s="12">
        <v>12853</v>
      </c>
      <c r="G42" s="9">
        <f t="shared" si="0"/>
        <v>12853</v>
      </c>
      <c r="H42" s="12">
        <v>11283</v>
      </c>
      <c r="I42" s="12">
        <v>8502</v>
      </c>
      <c r="J42" s="54">
        <f t="shared" si="0"/>
        <v>8502</v>
      </c>
      <c r="K42" s="40" t="s">
        <v>355</v>
      </c>
    </row>
    <row r="43" ht="15" customHeight="1">
      <c r="B43" s="55" t="s">
        <v>382</v>
      </c>
      <c r="C43" s="12">
        <v>573</v>
      </c>
      <c r="D43" s="12">
        <v>742</v>
      </c>
      <c r="E43" s="12">
        <v>616</v>
      </c>
      <c r="F43" s="12">
        <v>587</v>
      </c>
      <c r="G43" s="9">
        <f t="shared" si="0"/>
        <v>587</v>
      </c>
      <c r="H43" s="12">
        <v>626</v>
      </c>
      <c r="I43" s="12">
        <v>694</v>
      </c>
      <c r="J43" s="54">
        <f t="shared" si="0"/>
        <v>694</v>
      </c>
      <c r="K43" s="40" t="s">
        <v>355</v>
      </c>
    </row>
    <row r="44" ht="15" customHeight="1">
      <c r="B44" s="55" t="s">
        <v>286</v>
      </c>
      <c r="C44" s="12">
        <v>29459</v>
      </c>
      <c r="D44" s="12">
        <v>36706</v>
      </c>
      <c r="E44" s="12">
        <v>36662</v>
      </c>
      <c r="F44" s="12">
        <v>36001</v>
      </c>
      <c r="G44" s="9">
        <f t="shared" si="0"/>
        <v>36001</v>
      </c>
      <c r="H44" s="12">
        <v>38421</v>
      </c>
      <c r="I44" s="12">
        <v>35620</v>
      </c>
      <c r="J44" s="36">
        <f>I44+'Cash Flow Statement'!J30+'Cash Flow Statement'!J31</f>
        <v>35880</v>
      </c>
      <c r="K44" s="40" t="s">
        <v>355</v>
      </c>
    </row>
    <row r="45" ht="15" customHeight="1">
      <c r="B45" s="55" t="s">
        <v>287</v>
      </c>
      <c r="C45" s="12">
        <v>25</v>
      </c>
      <c r="D45" s="12">
        <v>560</v>
      </c>
      <c r="E45" s="12">
        <v>562</v>
      </c>
      <c r="F45" s="12">
        <v>1559</v>
      </c>
      <c r="G45" s="9">
        <f t="shared" si="0"/>
        <v>1559</v>
      </c>
      <c r="H45" s="12">
        <v>1558</v>
      </c>
      <c r="I45" s="12">
        <v>555</v>
      </c>
      <c r="J45" s="54">
        <f t="shared" si="0"/>
        <v>555</v>
      </c>
      <c r="K45" s="40" t="s">
        <v>355</v>
      </c>
    </row>
    <row r="46" ht="15" customHeight="1">
      <c r="B46" s="45" t="s">
        <v>383</v>
      </c>
      <c r="C46" s="41">
        <f t="shared" si="7" ref="C46:J65">C43+C44+C45</f>
        <v>30057</v>
      </c>
      <c r="D46" s="41">
        <f t="shared" si="7"/>
        <v>38008</v>
      </c>
      <c r="E46" s="41">
        <f t="shared" si="7"/>
        <v>37840</v>
      </c>
      <c r="F46" s="41">
        <f t="shared" si="7"/>
        <v>38147</v>
      </c>
      <c r="G46" s="41">
        <f t="shared" si="7"/>
        <v>38147</v>
      </c>
      <c r="H46" s="41">
        <f t="shared" si="7"/>
        <v>40605</v>
      </c>
      <c r="I46" s="41">
        <f t="shared" si="7"/>
        <v>36869</v>
      </c>
      <c r="J46" s="42">
        <f t="shared" si="7"/>
        <v>37129</v>
      </c>
    </row>
    <row r="47" ht="15" customHeight="1">
      <c r="B47" s="24" t="s">
        <v>384</v>
      </c>
      <c r="C47" s="12">
        <v>20179</v>
      </c>
      <c r="D47" s="12">
        <v>26316</v>
      </c>
      <c r="E47" s="12">
        <v>26941</v>
      </c>
      <c r="F47" s="12">
        <v>27778</v>
      </c>
      <c r="G47" s="9">
        <f t="shared" si="0"/>
        <v>27778</v>
      </c>
      <c r="H47" s="12">
        <v>28876</v>
      </c>
      <c r="I47" s="12">
        <v>29598</v>
      </c>
      <c r="J47" s="36">
        <f>I47+'Segment - Commercial Banking'!J128</f>
        <v>29603</v>
      </c>
      <c r="K47" s="40" t="s">
        <v>355</v>
      </c>
    </row>
    <row r="48" ht="15" customHeight="1">
      <c r="B48" s="24" t="s">
        <v>385</v>
      </c>
      <c r="C48" s="12">
        <v>0</v>
      </c>
      <c r="D48" s="12">
        <v>32</v>
      </c>
      <c r="E48" s="12">
        <v>30</v>
      </c>
      <c r="F48" s="12">
        <v>0</v>
      </c>
      <c r="G48" s="9">
        <f t="shared" si="0"/>
        <v>0</v>
      </c>
      <c r="H48" s="12">
        <v>0</v>
      </c>
      <c r="I48" s="12">
        <v>0</v>
      </c>
      <c r="J48" s="54">
        <f t="shared" si="0"/>
        <v>0</v>
      </c>
      <c r="K48" s="40" t="s">
        <v>355</v>
      </c>
    </row>
    <row r="49" ht="15" customHeight="1">
      <c r="B49" s="4" t="s">
        <v>386</v>
      </c>
      <c r="C49" s="41">
        <f t="shared" si="8" ref="C49:J49">C36+C39+C42+C46+C47+C48</f>
        <v>430062</v>
      </c>
      <c r="D49" s="41">
        <f t="shared" si="8"/>
        <v>548012</v>
      </c>
      <c r="E49" s="41">
        <f t="shared" si="8"/>
        <v>548064</v>
      </c>
      <c r="F49" s="41">
        <f t="shared" si="8"/>
        <v>555393</v>
      </c>
      <c r="G49" s="41">
        <f t="shared" si="8"/>
        <v>555393</v>
      </c>
      <c r="H49" s="41">
        <f t="shared" si="8"/>
        <v>570644</v>
      </c>
      <c r="I49" s="41">
        <f t="shared" si="8"/>
        <v>560042</v>
      </c>
      <c r="J49" s="42">
        <f t="shared" si="8"/>
        <v>563050</v>
      </c>
    </row>
    <row r="50" ht="15" customHeight="1">
      <c r="B50" s="35" t="s">
        <v>387</v>
      </c>
    </row>
    <row r="51" ht="15" customHeight="1">
      <c r="B51" s="24" t="s">
        <v>388</v>
      </c>
      <c r="C51" s="12">
        <v>0</v>
      </c>
      <c r="D51" s="12">
        <v>0</v>
      </c>
      <c r="E51" s="12">
        <v>0</v>
      </c>
      <c r="F51" s="12">
        <v>0</v>
      </c>
      <c r="G51" s="9">
        <f t="shared" si="0"/>
        <v>0</v>
      </c>
      <c r="H51" s="12">
        <v>0</v>
      </c>
      <c r="I51" s="12">
        <v>0</v>
      </c>
      <c r="J51" s="54">
        <f t="shared" si="0"/>
        <v>0</v>
      </c>
      <c r="K51" s="40" t="s">
        <v>355</v>
      </c>
    </row>
    <row r="52" ht="15" customHeight="1">
      <c r="B52" s="24" t="s">
        <v>389</v>
      </c>
      <c r="C52" s="12">
        <v>7</v>
      </c>
      <c r="D52" s="12">
        <v>7</v>
      </c>
      <c r="E52" s="12">
        <v>7</v>
      </c>
      <c r="F52" s="12">
        <v>7</v>
      </c>
      <c r="G52" s="9">
        <f t="shared" si="0"/>
        <v>7</v>
      </c>
      <c r="H52" s="12">
        <v>7</v>
      </c>
      <c r="I52" s="12">
        <v>7</v>
      </c>
      <c r="J52" s="54">
        <f t="shared" si="0"/>
        <v>7</v>
      </c>
      <c r="K52" s="40" t="s">
        <v>355</v>
      </c>
    </row>
    <row r="53" ht="15" customHeight="1">
      <c r="B53" s="24" t="s">
        <v>390</v>
      </c>
      <c r="C53" s="12">
        <v>36693</v>
      </c>
      <c r="D53" s="12">
        <v>63465</v>
      </c>
      <c r="E53" s="12">
        <v>63725</v>
      </c>
      <c r="F53" s="12">
        <v>64031</v>
      </c>
      <c r="G53" s="9">
        <f t="shared" si="0"/>
        <v>64031</v>
      </c>
      <c r="H53" s="12">
        <v>64284</v>
      </c>
      <c r="I53" s="12">
        <v>65105</v>
      </c>
      <c r="J53" s="36">
        <f>I53+'Cash Flow Statement'!J14</f>
        <v>65275</v>
      </c>
      <c r="K53" s="40" t="s">
        <v>355</v>
      </c>
    </row>
    <row r="54" ht="15" customHeight="1">
      <c r="B54" s="24" t="s">
        <v>391</v>
      </c>
      <c r="C54" s="12">
        <v>65616</v>
      </c>
      <c r="D54" s="12">
        <v>60892</v>
      </c>
      <c r="E54" s="12">
        <v>63624</v>
      </c>
      <c r="F54" s="12">
        <v>65192</v>
      </c>
      <c r="G54" s="9">
        <f t="shared" si="0"/>
        <v>65192</v>
      </c>
      <c r="H54" s="12">
        <v>66788</v>
      </c>
      <c r="I54" s="12">
        <v>69250</v>
      </c>
      <c r="J54" s="36">
        <f>I54+'Income Statement'!J134-'Share Count'!J43+'Income Statement'!J143</f>
        <v>71562.40068617045</v>
      </c>
      <c r="K54" s="40" t="s">
        <v>355</v>
      </c>
    </row>
    <row r="55" ht="15" customHeight="1">
      <c r="B55" s="24" t="s">
        <v>392</v>
      </c>
      <c r="C55" s="12">
        <v>-7529</v>
      </c>
      <c r="D55" s="12">
        <v>-6819</v>
      </c>
      <c r="E55" s="12">
        <v>-5917</v>
      </c>
      <c r="F55" s="12">
        <v>-5468</v>
      </c>
      <c r="G55" s="9">
        <f t="shared" si="0"/>
        <v>-5468</v>
      </c>
      <c r="H55" s="12">
        <v>-5879</v>
      </c>
      <c r="I55" s="12">
        <v>-6300</v>
      </c>
      <c r="J55" s="54">
        <f t="shared" si="0"/>
        <v>-6300</v>
      </c>
      <c r="K55" s="40" t="s">
        <v>355</v>
      </c>
    </row>
    <row r="56" ht="15" customHeight="1">
      <c r="B56" s="24" t="s">
        <v>393</v>
      </c>
      <c r="C56" s="12">
        <v>-31245</v>
      </c>
      <c r="D56" s="12">
        <v>-6589</v>
      </c>
      <c r="E56" s="12">
        <v>-7626</v>
      </c>
      <c r="F56" s="12">
        <v>-10146</v>
      </c>
      <c r="G56" s="9">
        <f t="shared" si="0"/>
        <v>-10146</v>
      </c>
      <c r="H56" s="12">
        <v>-12939</v>
      </c>
      <c r="I56" s="12">
        <v>-14269</v>
      </c>
      <c r="J56" s="36">
        <f>I56-'Share Count'!J14</f>
        <v>-16769</v>
      </c>
      <c r="K56" s="40" t="s">
        <v>355</v>
      </c>
    </row>
    <row r="57" ht="15" customHeight="1">
      <c r="B57" s="4" t="s">
        <v>394</v>
      </c>
      <c r="C57" s="41">
        <f t="shared" si="9" ref="C57:J57">SUM(C51:C56)</f>
        <v>63542</v>
      </c>
      <c r="D57" s="41">
        <f t="shared" si="9"/>
        <v>110956</v>
      </c>
      <c r="E57" s="41">
        <f t="shared" si="9"/>
        <v>113813</v>
      </c>
      <c r="F57" s="41">
        <f t="shared" si="9"/>
        <v>113616</v>
      </c>
      <c r="G57" s="41">
        <f t="shared" si="9"/>
        <v>113616</v>
      </c>
      <c r="H57" s="41">
        <f t="shared" si="9"/>
        <v>112261</v>
      </c>
      <c r="I57" s="41">
        <f t="shared" si="9"/>
        <v>113793</v>
      </c>
      <c r="J57" s="42">
        <f t="shared" si="9"/>
        <v>113775.40068617045</v>
      </c>
    </row>
    <row r="58" ht="15" customHeight="1">
      <c r="B58" s="4" t="s">
        <v>395</v>
      </c>
      <c r="C58" s="41">
        <f t="shared" si="10" ref="C58:J58">C49+C57</f>
        <v>493604</v>
      </c>
      <c r="D58" s="41">
        <f t="shared" si="10"/>
        <v>658968</v>
      </c>
      <c r="E58" s="41">
        <f t="shared" si="10"/>
        <v>661877</v>
      </c>
      <c r="F58" s="41">
        <f t="shared" si="10"/>
        <v>669009</v>
      </c>
      <c r="G58" s="41">
        <f t="shared" si="10"/>
        <v>669009</v>
      </c>
      <c r="H58" s="41">
        <f t="shared" si="10"/>
        <v>682905</v>
      </c>
      <c r="I58" s="41">
        <f t="shared" si="10"/>
        <v>673835</v>
      </c>
      <c r="J58" s="42">
        <f t="shared" si="10"/>
        <v>676825.4006861704</v>
      </c>
    </row>
    <row r="59" ht="15" customHeight="1">
      <c r="B59" s="43" t="s">
        <v>396</v>
      </c>
      <c r="C59" s="50">
        <f t="shared" si="11" ref="C59:J59">C31-C49-C57</f>
        <v>0</v>
      </c>
      <c r="D59" s="50">
        <f t="shared" si="11"/>
        <v>0</v>
      </c>
      <c r="E59" s="50">
        <f t="shared" si="11"/>
        <v>0</v>
      </c>
      <c r="F59" s="50">
        <f t="shared" si="11"/>
        <v>0</v>
      </c>
      <c r="G59" s="50">
        <f t="shared" si="11"/>
        <v>0</v>
      </c>
      <c r="H59" s="50">
        <f t="shared" si="11"/>
        <v>0</v>
      </c>
      <c r="I59" s="50">
        <f t="shared" si="11"/>
        <v>0</v>
      </c>
      <c r="J59" s="51">
        <f t="shared" si="11"/>
        <v>0</v>
      </c>
    </row>
    <row r="60" ht="15" customHeight="1">
      <c r="B60" s="43" t="s">
        <v>397</v>
      </c>
      <c r="C60" s="50">
        <f t="shared" si="12" ref="C60:I60">C31-C34</f>
        <v>0</v>
      </c>
      <c r="D60" s="50">
        <f t="shared" si="12"/>
        <v>0</v>
      </c>
      <c r="E60" s="50">
        <f t="shared" si="12"/>
        <v>0</v>
      </c>
      <c r="F60" s="50">
        <f t="shared" si="12"/>
        <v>0</v>
      </c>
      <c r="G60" s="50">
        <f t="shared" si="12"/>
        <v>0</v>
      </c>
      <c r="H60" s="50">
        <f t="shared" si="12"/>
        <v>0</v>
      </c>
      <c r="I60" s="50">
        <f t="shared" si="12"/>
        <v>0</v>
      </c>
      <c r="J60" s="51" t="s">
        <v>31</v>
      </c>
    </row>
    <row r="61" ht="15" customHeight="1">
      <c r="B61" s="35" t="s">
        <v>398</v>
      </c>
    </row>
    <row r="62" ht="15" customHeight="1">
      <c r="B62" s="24" t="s">
        <v>76</v>
      </c>
      <c r="C62" s="8">
        <f>'Segment - Consumer Banking'!C56</f>
        <v>324920</v>
      </c>
      <c r="D62" s="8">
        <f>'Segment - Consumer Banking'!D56</f>
        <v>414044</v>
      </c>
      <c r="E62" s="8">
        <f>'Segment - Consumer Banking'!E56</f>
        <v>416765</v>
      </c>
      <c r="F62" s="8">
        <f>'Segment - Consumer Banking'!F56</f>
        <v>423932</v>
      </c>
      <c r="G62" s="8">
        <f>'Segment - Consumer Banking'!G56</f>
        <v>423932</v>
      </c>
      <c r="H62" s="8">
        <f>'Segment - Consumer Banking'!H56</f>
        <v>438034</v>
      </c>
      <c r="I62" s="8">
        <f>'Segment - Consumer Banking'!I56</f>
        <v>435221</v>
      </c>
      <c r="J62" s="36">
        <f>'Segment - Consumer Banking'!J56</f>
        <v>438000</v>
      </c>
    </row>
    <row r="63" ht="15" customHeight="1">
      <c r="B63" s="24" t="s">
        <v>77</v>
      </c>
      <c r="C63" s="8">
        <f>'Segment - Commercial Banking'!C44</f>
        <v>29984</v>
      </c>
      <c r="D63" s="8">
        <f>'Segment - Commercial Banking'!D44</f>
        <v>29245</v>
      </c>
      <c r="E63" s="8">
        <f>'Segment - Commercial Banking'!E44</f>
        <v>29920</v>
      </c>
      <c r="F63" s="8">
        <f>'Segment - Commercial Banking'!F44</f>
        <v>31250</v>
      </c>
      <c r="G63" s="8">
        <f>'Segment - Commercial Banking'!G44</f>
        <v>31250</v>
      </c>
      <c r="H63" s="8">
        <f>'Segment - Commercial Banking'!H44</f>
        <v>31007</v>
      </c>
      <c r="I63" s="8">
        <f>'Segment - Commercial Banking'!I44</f>
        <v>30841</v>
      </c>
      <c r="J63" s="36">
        <f>'Segment - Commercial Banking'!J44</f>
        <v>31000</v>
      </c>
    </row>
    <row r="64" ht="15" customHeight="1">
      <c r="B64" s="24" t="s">
        <v>84</v>
      </c>
      <c r="C64" s="12">
        <v>12560</v>
      </c>
      <c r="D64" s="12">
        <v>24821</v>
      </c>
      <c r="E64" s="12">
        <v>22100</v>
      </c>
      <c r="F64" s="12">
        <v>20589</v>
      </c>
      <c r="G64" s="9">
        <f t="shared" si="0"/>
        <v>20589</v>
      </c>
      <c r="H64" s="12">
        <v>20012</v>
      </c>
      <c r="I64" s="12">
        <v>18195</v>
      </c>
      <c r="J64" s="39">
        <v>18000</v>
      </c>
      <c r="K64" s="40" t="s">
        <v>399</v>
      </c>
    </row>
    <row r="65" ht="15" customHeight="1">
      <c r="B65" s="4" t="s">
        <v>400</v>
      </c>
      <c r="C65" s="41">
        <f t="shared" si="7"/>
        <v>367464</v>
      </c>
      <c r="D65" s="41">
        <f t="shared" si="7"/>
        <v>468110</v>
      </c>
      <c r="E65" s="41">
        <f t="shared" si="7"/>
        <v>468785</v>
      </c>
      <c r="F65" s="41">
        <f t="shared" si="7"/>
        <v>475771</v>
      </c>
      <c r="G65" s="41">
        <f t="shared" si="7"/>
        <v>475771</v>
      </c>
      <c r="H65" s="41">
        <f t="shared" si="7"/>
        <v>489053</v>
      </c>
      <c r="I65" s="41">
        <f t="shared" si="7"/>
        <v>484257</v>
      </c>
      <c r="J65" s="42">
        <f t="shared" si="7"/>
        <v>487000</v>
      </c>
    </row>
    <row r="66" ht="15" customHeight="1">
      <c r="B66" s="43" t="s">
        <v>401</v>
      </c>
      <c r="C66" s="50">
        <f t="shared" si="13" ref="C66:J66">C65-C39</f>
        <v>0</v>
      </c>
      <c r="D66" s="50">
        <f t="shared" si="13"/>
        <v>0</v>
      </c>
      <c r="E66" s="50">
        <f t="shared" si="13"/>
        <v>0</v>
      </c>
      <c r="F66" s="50">
        <f t="shared" si="13"/>
        <v>0</v>
      </c>
      <c r="G66" s="50">
        <f t="shared" si="13"/>
        <v>0</v>
      </c>
      <c r="H66" s="50">
        <f t="shared" si="13"/>
        <v>0</v>
      </c>
      <c r="I66" s="50">
        <f t="shared" si="13"/>
        <v>0</v>
      </c>
      <c r="J66" s="51">
        <f t="shared" si="13"/>
        <v>0</v>
      </c>
    </row>
    <row r="67" ht="15" customHeight="1">
      <c r="B67" s="43" t="s">
        <v>402</v>
      </c>
      <c r="C67" s="48">
        <f>C19-('Segment - Credit Card'!C19+'Segment - Consumer Banking'!C16+'Segment - Commercial Banking'!C16)</f>
        <v>0</v>
      </c>
      <c r="D67" s="48">
        <f>D19-('Segment - Credit Card'!D19+'Segment - Consumer Banking'!D16+'Segment - Commercial Banking'!D16)</f>
        <v>0</v>
      </c>
      <c r="E67" s="48">
        <f>E19-('Segment - Credit Card'!E19+'Segment - Consumer Banking'!E16+'Segment - Commercial Banking'!E16)</f>
        <v>0</v>
      </c>
      <c r="F67" s="48">
        <f>F19-('Segment - Credit Card'!F19+'Segment - Consumer Banking'!F16+'Segment - Commercial Banking'!F16)</f>
        <v>0</v>
      </c>
      <c r="G67" s="48">
        <f>G19-('Segment - Credit Card'!G19+'Segment - Consumer Banking'!G16+'Segment - Commercial Banking'!G16)</f>
        <v>0</v>
      </c>
      <c r="H67" s="48">
        <f>H19-('Segment - Credit Card'!H19+'Segment - Consumer Banking'!H16+'Segment - Commercial Banking'!H16)</f>
        <v>0</v>
      </c>
      <c r="I67" s="48">
        <f>I19-('Segment - Credit Card'!I19+'Segment - Consumer Banking'!I16+'Segment - Commercial Banking'!I16)</f>
        <v>0</v>
      </c>
      <c r="J67" s="49">
        <f>J19-('Segment - Credit Card'!J19+'Segment - Consumer Banking'!J16+'Segment - Commercial Banking'!J16)</f>
        <v>0</v>
      </c>
    </row>
    <row r="68" ht="15" customHeight="1">
      <c r="B68" s="35" t="s">
        <v>403</v>
      </c>
    </row>
    <row r="69" ht="15" customHeight="1">
      <c r="B69" s="24" t="s">
        <v>404</v>
      </c>
      <c r="C69" s="8">
        <f>'Segment - Credit Card'!C47+'Segment - Consumer Banking'!C42+'Segment - Commercial Banking'!C36</f>
        <v>322385</v>
      </c>
      <c r="D69" s="8">
        <f>'Segment - Credit Card'!D47+'Segment - Consumer Banking'!D42+'Segment - Commercial Banking'!D36</f>
        <v>378157</v>
      </c>
      <c r="E69" s="8">
        <f>'Segment - Credit Card'!E47+'Segment - Consumer Banking'!E42+'Segment - Commercial Banking'!E36</f>
        <v>439859</v>
      </c>
      <c r="F69" s="8">
        <f>'Segment - Credit Card'!F47+'Segment - Consumer Banking'!F42+'Segment - Commercial Banking'!F36</f>
        <v>444680</v>
      </c>
      <c r="G69" s="8">
        <f>'Segment - Credit Card'!G47+'Segment - Consumer Banking'!G42+'Segment - Commercial Banking'!G36</f>
        <v>396725</v>
      </c>
      <c r="H69" s="8">
        <f>'Segment - Credit Card'!H47+'Segment - Consumer Banking'!H42+'Segment - Commercial Banking'!H36</f>
        <v>446235</v>
      </c>
      <c r="I69" s="8">
        <f>'Segment - Credit Card'!I47+'Segment - Consumer Banking'!I42+'Segment - Commercial Banking'!I36</f>
        <v>450679</v>
      </c>
      <c r="J69" s="36">
        <f>'Segment - Credit Card'!J47+'Segment - Consumer Banking'!J42+'Segment - Commercial Banking'!J36</f>
        <v>457993.3333333334</v>
      </c>
    </row>
    <row r="70" ht="15" customHeight="1">
      <c r="B70" s="37" t="s">
        <v>75</v>
      </c>
      <c r="C70" s="10" t="s">
        <v>31</v>
      </c>
      <c r="D70" s="10" t="s">
        <v>31</v>
      </c>
      <c r="E70" s="10" t="s">
        <v>31</v>
      </c>
      <c r="F70" s="10" t="s">
        <v>31</v>
      </c>
      <c r="G70" s="10" t="s">
        <v>31</v>
      </c>
      <c r="H70" s="10">
        <f t="shared" si="2"/>
        <v>0.38416799789072065</v>
      </c>
      <c r="I70" s="10">
        <f t="shared" si="2"/>
        <v>0.1917774892438855</v>
      </c>
      <c r="J70" s="38">
        <f t="shared" si="2"/>
        <v>0.04122760551297877</v>
      </c>
    </row>
    <row r="71" ht="15" customHeight="1">
      <c r="B71" s="37" t="s">
        <v>92</v>
      </c>
      <c r="C71" s="50" t="s">
        <v>31</v>
      </c>
      <c r="D71" s="50">
        <f t="shared" si="3"/>
        <v>55772</v>
      </c>
      <c r="E71" s="50">
        <f t="shared" si="3"/>
        <v>61702</v>
      </c>
      <c r="F71" s="50">
        <f t="shared" si="3"/>
        <v>4821</v>
      </c>
      <c r="G71" s="50" t="s">
        <v>31</v>
      </c>
      <c r="H71" s="50">
        <f t="shared" si="6"/>
        <v>1555</v>
      </c>
      <c r="I71" s="50">
        <f t="shared" si="3"/>
        <v>4444</v>
      </c>
      <c r="J71" s="51">
        <f t="shared" si="3"/>
        <v>7314.333333333372</v>
      </c>
    </row>
    <row r="72" ht="15" customHeight="1">
      <c r="B72" s="24" t="s">
        <v>405</v>
      </c>
      <c r="C72" s="9">
        <f t="shared" si="14" ref="C72:I72">C75-C69</f>
        <v>387</v>
      </c>
      <c r="D72" s="9">
        <f t="shared" si="14"/>
        <v>380</v>
      </c>
      <c r="E72" s="9">
        <f t="shared" si="14"/>
        <v>515</v>
      </c>
      <c r="F72" s="9">
        <f t="shared" si="14"/>
        <v>690</v>
      </c>
      <c r="G72" s="9">
        <f t="shared" si="14"/>
        <v>494</v>
      </c>
      <c r="H72" s="9">
        <f t="shared" si="14"/>
        <v>505</v>
      </c>
      <c r="I72" s="9">
        <f t="shared" si="14"/>
        <v>183</v>
      </c>
      <c r="J72" s="39">
        <v>250</v>
      </c>
      <c r="K72" s="40" t="s">
        <v>145</v>
      </c>
    </row>
    <row r="73" ht="15" customHeight="1">
      <c r="B73" s="37" t="s">
        <v>75</v>
      </c>
      <c r="C73" s="10" t="s">
        <v>31</v>
      </c>
      <c r="D73" s="10" t="s">
        <v>31</v>
      </c>
      <c r="E73" s="10" t="s">
        <v>31</v>
      </c>
      <c r="F73" s="10" t="s">
        <v>31</v>
      </c>
      <c r="G73" s="10" t="s">
        <v>31</v>
      </c>
      <c r="H73" s="10">
        <f t="shared" si="2"/>
        <v>0.30490956072351416</v>
      </c>
      <c r="I73" s="10">
        <f t="shared" si="2"/>
        <v>-0.5184210526315789</v>
      </c>
      <c r="J73" s="38">
        <f t="shared" si="2"/>
        <v>-0.5145631067961165</v>
      </c>
    </row>
    <row r="74" ht="15" customHeight="1">
      <c r="B74" s="37" t="s">
        <v>92</v>
      </c>
      <c r="C74" s="50" t="s">
        <v>31</v>
      </c>
      <c r="D74" s="50">
        <f t="shared" si="3"/>
        <v>-7</v>
      </c>
      <c r="E74" s="50">
        <f t="shared" si="3"/>
        <v>135</v>
      </c>
      <c r="F74" s="50">
        <f t="shared" si="3"/>
        <v>175</v>
      </c>
      <c r="G74" s="50" t="s">
        <v>31</v>
      </c>
      <c r="H74" s="50">
        <f t="shared" si="6"/>
        <v>-185</v>
      </c>
      <c r="I74" s="50">
        <f t="shared" si="3"/>
        <v>-322</v>
      </c>
      <c r="J74" s="51">
        <f t="shared" si="3"/>
        <v>67</v>
      </c>
    </row>
    <row r="75" ht="15" customHeight="1">
      <c r="B75" s="45" t="s">
        <v>406</v>
      </c>
      <c r="C75" s="60">
        <v>322772</v>
      </c>
      <c r="D75" s="60">
        <v>378537</v>
      </c>
      <c r="E75" s="60">
        <v>440374</v>
      </c>
      <c r="F75" s="60">
        <v>445370</v>
      </c>
      <c r="G75" s="60">
        <v>397219</v>
      </c>
      <c r="H75" s="60">
        <v>446740</v>
      </c>
      <c r="I75" s="60">
        <v>450862</v>
      </c>
      <c r="J75" s="42">
        <f>J69+J72</f>
        <v>458243.3333333334</v>
      </c>
      <c r="K75" s="40" t="s">
        <v>407</v>
      </c>
    </row>
    <row r="76" ht="15" customHeight="1">
      <c r="B76" s="37" t="s">
        <v>75</v>
      </c>
      <c r="C76" s="10" t="s">
        <v>31</v>
      </c>
      <c r="D76" s="10" t="s">
        <v>31</v>
      </c>
      <c r="E76" s="10" t="s">
        <v>31</v>
      </c>
      <c r="F76" s="10" t="s">
        <v>31</v>
      </c>
      <c r="G76" s="10" t="s">
        <v>31</v>
      </c>
      <c r="H76" s="10">
        <f t="shared" si="2"/>
        <v>0.38407296791543266</v>
      </c>
      <c r="I76" s="10">
        <f t="shared" si="2"/>
        <v>0.19106454587002064</v>
      </c>
      <c r="J76" s="38">
        <f t="shared" si="2"/>
        <v>0.04057763022642891</v>
      </c>
    </row>
    <row r="77" ht="15" customHeight="1">
      <c r="B77" s="37" t="s">
        <v>92</v>
      </c>
      <c r="C77" s="50" t="s">
        <v>31</v>
      </c>
      <c r="D77" s="50">
        <f t="shared" si="3"/>
        <v>55765</v>
      </c>
      <c r="E77" s="50">
        <f t="shared" si="3"/>
        <v>61837</v>
      </c>
      <c r="F77" s="50">
        <f t="shared" si="3"/>
        <v>4996</v>
      </c>
      <c r="G77" s="50" t="s">
        <v>31</v>
      </c>
      <c r="H77" s="50">
        <f t="shared" si="6"/>
        <v>1370</v>
      </c>
      <c r="I77" s="50">
        <f t="shared" si="3"/>
        <v>4122</v>
      </c>
      <c r="J77" s="51">
        <f t="shared" si="3"/>
        <v>7381.333333333372</v>
      </c>
    </row>
    <row r="78" ht="15" customHeight="1">
      <c r="B78" s="24" t="s">
        <v>408</v>
      </c>
      <c r="C78" s="12">
        <v>92659</v>
      </c>
      <c r="D78" s="12">
        <v>93024</v>
      </c>
      <c r="E78" s="12">
        <v>96186</v>
      </c>
      <c r="F78" s="12">
        <v>97304</v>
      </c>
      <c r="G78" s="12">
        <v>94810</v>
      </c>
      <c r="H78" s="12">
        <v>97803</v>
      </c>
      <c r="I78" s="12">
        <v>99339</v>
      </c>
      <c r="J78" s="39">
        <v>99500</v>
      </c>
      <c r="K78" s="40" t="s">
        <v>407</v>
      </c>
    </row>
    <row r="79" ht="15" customHeight="1">
      <c r="B79" s="37" t="s">
        <v>75</v>
      </c>
      <c r="C79" s="10" t="s">
        <v>31</v>
      </c>
      <c r="D79" s="10" t="s">
        <v>31</v>
      </c>
      <c r="E79" s="10" t="s">
        <v>31</v>
      </c>
      <c r="F79" s="10" t="s">
        <v>31</v>
      </c>
      <c r="G79" s="10" t="s">
        <v>31</v>
      </c>
      <c r="H79" s="10">
        <f t="shared" si="2"/>
        <v>0.05551538436633252</v>
      </c>
      <c r="I79" s="10">
        <f t="shared" si="2"/>
        <v>0.06788570691434459</v>
      </c>
      <c r="J79" s="38">
        <f t="shared" si="2"/>
        <v>0.03445407855613092</v>
      </c>
    </row>
    <row r="80" ht="15" customHeight="1">
      <c r="B80" s="37" t="s">
        <v>92</v>
      </c>
      <c r="C80" s="50" t="s">
        <v>31</v>
      </c>
      <c r="D80" s="50">
        <f t="shared" si="3"/>
        <v>365</v>
      </c>
      <c r="E80" s="50">
        <f t="shared" si="3"/>
        <v>3162</v>
      </c>
      <c r="F80" s="50">
        <f t="shared" si="3"/>
        <v>1118</v>
      </c>
      <c r="G80" s="50" t="s">
        <v>31</v>
      </c>
      <c r="H80" s="50">
        <f t="shared" si="6"/>
        <v>499</v>
      </c>
      <c r="I80" s="50">
        <f t="shared" si="3"/>
        <v>1536</v>
      </c>
      <c r="J80" s="51">
        <f t="shared" si="3"/>
        <v>161</v>
      </c>
    </row>
    <row r="81" ht="15" customHeight="1">
      <c r="B81" s="24" t="s">
        <v>409</v>
      </c>
      <c r="C81" s="12">
        <v>47340</v>
      </c>
      <c r="D81" s="12">
        <v>53368</v>
      </c>
      <c r="E81" s="12">
        <v>56687</v>
      </c>
      <c r="F81" s="12">
        <v>61056</v>
      </c>
      <c r="G81" s="12">
        <v>54656</v>
      </c>
      <c r="H81" s="12">
        <v>72630</v>
      </c>
      <c r="I81" s="12">
        <v>67382</v>
      </c>
      <c r="J81" s="39">
        <v>56000</v>
      </c>
      <c r="K81" s="40" t="s">
        <v>410</v>
      </c>
    </row>
    <row r="82" ht="15" customHeight="1">
      <c r="B82" s="37" t="s">
        <v>75</v>
      </c>
      <c r="C82" s="10" t="s">
        <v>31</v>
      </c>
      <c r="D82" s="10" t="s">
        <v>31</v>
      </c>
      <c r="E82" s="10" t="s">
        <v>31</v>
      </c>
      <c r="F82" s="10" t="s">
        <v>31</v>
      </c>
      <c r="G82" s="10" t="s">
        <v>31</v>
      </c>
      <c r="H82" s="10">
        <f t="shared" si="2"/>
        <v>0.5342205323193916</v>
      </c>
      <c r="I82" s="10">
        <f t="shared" si="2"/>
        <v>0.26259181532004194</v>
      </c>
      <c r="J82" s="38">
        <f t="shared" si="2"/>
        <v>-0.012119180764549209</v>
      </c>
    </row>
    <row r="83" ht="15" customHeight="1">
      <c r="B83" s="37" t="s">
        <v>92</v>
      </c>
      <c r="C83" s="50" t="s">
        <v>31</v>
      </c>
      <c r="D83" s="50">
        <f t="shared" si="3"/>
        <v>6028</v>
      </c>
      <c r="E83" s="50">
        <f t="shared" si="3"/>
        <v>3319</v>
      </c>
      <c r="F83" s="50">
        <f t="shared" si="3"/>
        <v>4369</v>
      </c>
      <c r="G83" s="50" t="s">
        <v>31</v>
      </c>
      <c r="H83" s="50">
        <f t="shared" si="6"/>
        <v>11574</v>
      </c>
      <c r="I83" s="50">
        <f t="shared" si="3"/>
        <v>-5248</v>
      </c>
      <c r="J83" s="51">
        <f t="shared" si="3"/>
        <v>-11382</v>
      </c>
    </row>
    <row r="84" ht="15" customHeight="1">
      <c r="B84" s="4" t="s">
        <v>411</v>
      </c>
      <c r="C84" s="41">
        <f t="shared" si="15" ref="C84:J140">C75+C78+C81</f>
        <v>462771</v>
      </c>
      <c r="D84" s="41">
        <f t="shared" si="15"/>
        <v>524929</v>
      </c>
      <c r="E84" s="41">
        <f t="shared" si="15"/>
        <v>593247</v>
      </c>
      <c r="F84" s="41">
        <f t="shared" si="15"/>
        <v>603730</v>
      </c>
      <c r="G84" s="41">
        <f t="shared" si="15"/>
        <v>546685</v>
      </c>
      <c r="H84" s="41">
        <f t="shared" si="15"/>
        <v>617173</v>
      </c>
      <c r="I84" s="41">
        <f t="shared" si="15"/>
        <v>617583</v>
      </c>
      <c r="J84" s="42">
        <f t="shared" si="15"/>
        <v>613743.3333333334</v>
      </c>
    </row>
    <row r="85" ht="15" customHeight="1">
      <c r="B85" s="37" t="s">
        <v>75</v>
      </c>
      <c r="C85" s="10" t="s">
        <v>31</v>
      </c>
      <c r="D85" s="10" t="s">
        <v>31</v>
      </c>
      <c r="E85" s="10" t="s">
        <v>31</v>
      </c>
      <c r="F85" s="10" t="s">
        <v>31</v>
      </c>
      <c r="G85" s="10" t="s">
        <v>31</v>
      </c>
      <c r="H85" s="10">
        <f t="shared" si="2"/>
        <v>0.33364666325245107</v>
      </c>
      <c r="I85" s="10">
        <f t="shared" si="2"/>
        <v>0.17650768008625928</v>
      </c>
      <c r="J85" s="38">
        <f t="shared" si="2"/>
        <v>0.03454940915560201</v>
      </c>
    </row>
    <row r="86" ht="15" customHeight="1">
      <c r="B86" s="37" t="s">
        <v>92</v>
      </c>
      <c r="C86" s="50" t="s">
        <v>31</v>
      </c>
      <c r="D86" s="50">
        <f t="shared" si="3"/>
        <v>62158</v>
      </c>
      <c r="E86" s="50">
        <f t="shared" si="3"/>
        <v>68318</v>
      </c>
      <c r="F86" s="50">
        <f t="shared" si="3"/>
        <v>10483</v>
      </c>
      <c r="G86" s="50" t="s">
        <v>31</v>
      </c>
      <c r="H86" s="50">
        <f t="shared" si="6"/>
        <v>13443</v>
      </c>
      <c r="I86" s="50">
        <f t="shared" si="3"/>
        <v>410</v>
      </c>
      <c r="J86" s="51">
        <f t="shared" si="3"/>
        <v>-3839.666666666628</v>
      </c>
    </row>
    <row r="87" ht="15" customHeight="1">
      <c r="B87" s="24" t="s">
        <v>412</v>
      </c>
      <c r="C87" s="12">
        <v>337840</v>
      </c>
      <c r="D87" s="12">
        <v>387139</v>
      </c>
      <c r="E87" s="12">
        <v>439527</v>
      </c>
      <c r="F87" s="12">
        <v>442763</v>
      </c>
      <c r="G87" s="12">
        <v>402209</v>
      </c>
      <c r="H87" s="12">
        <v>451957</v>
      </c>
      <c r="I87" s="12">
        <v>458130</v>
      </c>
      <c r="J87" s="39">
        <v>457500</v>
      </c>
      <c r="K87" s="40" t="s">
        <v>413</v>
      </c>
    </row>
    <row r="88" ht="15" customHeight="1">
      <c r="B88" s="37" t="s">
        <v>75</v>
      </c>
      <c r="C88" s="10" t="s">
        <v>31</v>
      </c>
      <c r="D88" s="10" t="s">
        <v>31</v>
      </c>
      <c r="E88" s="10" t="s">
        <v>31</v>
      </c>
      <c r="F88" s="10" t="s">
        <v>31</v>
      </c>
      <c r="G88" s="10" t="s">
        <v>31</v>
      </c>
      <c r="H88" s="10">
        <f t="shared" si="2"/>
        <v>0.33778415818138763</v>
      </c>
      <c r="I88" s="10">
        <f t="shared" si="2"/>
        <v>0.18337341368345728</v>
      </c>
      <c r="J88" s="38">
        <f t="shared" si="2"/>
        <v>0.040891685834999913</v>
      </c>
    </row>
    <row r="89" ht="15" customHeight="1">
      <c r="B89" s="37" t="s">
        <v>92</v>
      </c>
      <c r="C89" s="50" t="s">
        <v>31</v>
      </c>
      <c r="D89" s="50">
        <f t="shared" si="3"/>
        <v>49299</v>
      </c>
      <c r="E89" s="50">
        <f t="shared" si="3"/>
        <v>52388</v>
      </c>
      <c r="F89" s="50">
        <f t="shared" si="3"/>
        <v>3236</v>
      </c>
      <c r="G89" s="50" t="s">
        <v>31</v>
      </c>
      <c r="H89" s="50">
        <f t="shared" si="6"/>
        <v>9194</v>
      </c>
      <c r="I89" s="50">
        <f t="shared" si="3"/>
        <v>6173</v>
      </c>
      <c r="J89" s="51">
        <f t="shared" si="3"/>
        <v>-630</v>
      </c>
    </row>
    <row r="90" ht="15" customHeight="1">
      <c r="B90" s="24" t="s">
        <v>414</v>
      </c>
      <c r="C90" s="12">
        <v>13731</v>
      </c>
      <c r="D90" s="12">
        <v>13043</v>
      </c>
      <c r="E90" s="12">
        <v>12919</v>
      </c>
      <c r="F90" s="12">
        <v>12673</v>
      </c>
      <c r="G90" s="12">
        <v>13088</v>
      </c>
      <c r="H90" s="12">
        <v>12476</v>
      </c>
      <c r="I90" s="12">
        <v>10190</v>
      </c>
      <c r="J90" s="39">
        <v>8600</v>
      </c>
      <c r="K90" s="40" t="s">
        <v>415</v>
      </c>
    </row>
    <row r="91" ht="15" customHeight="1">
      <c r="B91" s="37" t="s">
        <v>75</v>
      </c>
      <c r="C91" s="10" t="s">
        <v>31</v>
      </c>
      <c r="D91" s="10" t="s">
        <v>31</v>
      </c>
      <c r="E91" s="10" t="s">
        <v>31</v>
      </c>
      <c r="F91" s="10" t="s">
        <v>31</v>
      </c>
      <c r="G91" s="10" t="s">
        <v>31</v>
      </c>
      <c r="H91" s="10">
        <f t="shared" si="2"/>
        <v>-0.0913990241060374</v>
      </c>
      <c r="I91" s="10">
        <f t="shared" si="2"/>
        <v>-0.21873802039408108</v>
      </c>
      <c r="J91" s="38">
        <f t="shared" si="2"/>
        <v>-0.33431380137781563</v>
      </c>
    </row>
    <row r="92" ht="15" customHeight="1">
      <c r="B92" s="37" t="s">
        <v>92</v>
      </c>
      <c r="C92" s="50" t="s">
        <v>31</v>
      </c>
      <c r="D92" s="50">
        <f t="shared" si="3"/>
        <v>-688</v>
      </c>
      <c r="E92" s="50">
        <f t="shared" si="3"/>
        <v>-124</v>
      </c>
      <c r="F92" s="50">
        <f t="shared" si="3"/>
        <v>-246</v>
      </c>
      <c r="G92" s="50" t="s">
        <v>31</v>
      </c>
      <c r="H92" s="50">
        <f t="shared" si="6"/>
        <v>-197</v>
      </c>
      <c r="I92" s="50">
        <f t="shared" si="3"/>
        <v>-2286</v>
      </c>
      <c r="J92" s="51">
        <f t="shared" si="3"/>
        <v>-1590</v>
      </c>
    </row>
    <row r="93" ht="15" customHeight="1">
      <c r="B93" s="24" t="s">
        <v>416</v>
      </c>
      <c r="C93" s="12">
        <v>30331</v>
      </c>
      <c r="D93" s="12">
        <v>32872</v>
      </c>
      <c r="E93" s="12">
        <v>36272</v>
      </c>
      <c r="F93" s="12">
        <v>36500</v>
      </c>
      <c r="G93" s="12">
        <v>34017</v>
      </c>
      <c r="H93" s="12">
        <v>37846</v>
      </c>
      <c r="I93" s="12">
        <v>37498</v>
      </c>
      <c r="J93" s="39">
        <v>36300</v>
      </c>
      <c r="K93" s="40" t="s">
        <v>417</v>
      </c>
    </row>
    <row r="94" ht="15" customHeight="1">
      <c r="B94" s="37" t="s">
        <v>75</v>
      </c>
      <c r="C94" s="10" t="s">
        <v>31</v>
      </c>
      <c r="D94" s="10" t="s">
        <v>31</v>
      </c>
      <c r="E94" s="10" t="s">
        <v>31</v>
      </c>
      <c r="F94" s="10" t="s">
        <v>31</v>
      </c>
      <c r="G94" s="10" t="s">
        <v>31</v>
      </c>
      <c r="H94" s="10">
        <f t="shared" si="2"/>
        <v>0.24776631169430607</v>
      </c>
      <c r="I94" s="10">
        <f t="shared" si="2"/>
        <v>0.14072767096617178</v>
      </c>
      <c r="J94" s="38">
        <f t="shared" si="2"/>
        <v>0.0007719453021615141</v>
      </c>
    </row>
    <row r="95" ht="15" customHeight="1">
      <c r="B95" s="37" t="s">
        <v>92</v>
      </c>
      <c r="C95" s="50" t="s">
        <v>31</v>
      </c>
      <c r="D95" s="50">
        <f t="shared" si="3"/>
        <v>2541</v>
      </c>
      <c r="E95" s="50">
        <f t="shared" si="3"/>
        <v>3400</v>
      </c>
      <c r="F95" s="50">
        <f t="shared" si="3"/>
        <v>228</v>
      </c>
      <c r="G95" s="50" t="s">
        <v>31</v>
      </c>
      <c r="H95" s="50">
        <f t="shared" si="6"/>
        <v>1346</v>
      </c>
      <c r="I95" s="50">
        <f t="shared" si="3"/>
        <v>-348</v>
      </c>
      <c r="J95" s="51">
        <f t="shared" si="3"/>
        <v>-1198</v>
      </c>
    </row>
    <row r="96" ht="15" customHeight="1">
      <c r="B96" s="24" t="s">
        <v>418</v>
      </c>
      <c r="C96" s="12">
        <v>2312</v>
      </c>
      <c r="D96" s="12">
        <v>2872</v>
      </c>
      <c r="E96" s="12">
        <v>3120</v>
      </c>
      <c r="F96" s="12">
        <v>3745</v>
      </c>
      <c r="G96" s="12">
        <v>3016</v>
      </c>
      <c r="H96" s="12">
        <v>4238</v>
      </c>
      <c r="I96" s="12">
        <v>3838</v>
      </c>
      <c r="J96" s="39">
        <v>3800</v>
      </c>
      <c r="K96" s="40" t="s">
        <v>407</v>
      </c>
    </row>
    <row r="97" ht="15" customHeight="1">
      <c r="B97" s="37" t="s">
        <v>75</v>
      </c>
      <c r="C97" s="10" t="s">
        <v>31</v>
      </c>
      <c r="D97" s="10" t="s">
        <v>31</v>
      </c>
      <c r="E97" s="10" t="s">
        <v>31</v>
      </c>
      <c r="F97" s="10" t="s">
        <v>31</v>
      </c>
      <c r="G97" s="10" t="s">
        <v>31</v>
      </c>
      <c r="H97" s="10">
        <f t="shared" si="2"/>
        <v>0.8330449826989619</v>
      </c>
      <c r="I97" s="10">
        <f t="shared" si="2"/>
        <v>0.33635097493036215</v>
      </c>
      <c r="J97" s="38">
        <f t="shared" si="2"/>
        <v>0.21794871794871784</v>
      </c>
    </row>
    <row r="98" ht="15" customHeight="1">
      <c r="B98" s="37" t="s">
        <v>92</v>
      </c>
      <c r="C98" s="50" t="s">
        <v>31</v>
      </c>
      <c r="D98" s="50">
        <f t="shared" si="3"/>
        <v>560</v>
      </c>
      <c r="E98" s="50">
        <f t="shared" si="3"/>
        <v>248</v>
      </c>
      <c r="F98" s="50">
        <f t="shared" si="3"/>
        <v>625</v>
      </c>
      <c r="G98" s="50" t="s">
        <v>31</v>
      </c>
      <c r="H98" s="50">
        <f t="shared" si="6"/>
        <v>493</v>
      </c>
      <c r="I98" s="50">
        <f t="shared" si="3"/>
        <v>-400</v>
      </c>
      <c r="J98" s="51">
        <f t="shared" si="3"/>
        <v>-38</v>
      </c>
    </row>
    <row r="99" ht="15" customHeight="1">
      <c r="B99" s="4" t="s">
        <v>419</v>
      </c>
      <c r="C99" s="41">
        <f t="shared" si="16" ref="C99:J99">C87+C90+C93+C96</f>
        <v>384214</v>
      </c>
      <c r="D99" s="41">
        <f t="shared" si="16"/>
        <v>435926</v>
      </c>
      <c r="E99" s="41">
        <f t="shared" si="16"/>
        <v>491838</v>
      </c>
      <c r="F99" s="41">
        <f t="shared" si="16"/>
        <v>495681</v>
      </c>
      <c r="G99" s="41">
        <f t="shared" si="16"/>
        <v>452330</v>
      </c>
      <c r="H99" s="41">
        <f t="shared" si="16"/>
        <v>506517</v>
      </c>
      <c r="I99" s="41">
        <f t="shared" si="16"/>
        <v>509656</v>
      </c>
      <c r="J99" s="42">
        <f t="shared" si="16"/>
        <v>506200</v>
      </c>
    </row>
    <row r="100" ht="15" customHeight="1">
      <c r="B100" s="43" t="s">
        <v>75</v>
      </c>
      <c r="C100" s="10" t="s">
        <v>31</v>
      </c>
      <c r="D100" s="10" t="s">
        <v>31</v>
      </c>
      <c r="E100" s="10" t="s">
        <v>31</v>
      </c>
      <c r="F100" s="10" t="s">
        <v>31</v>
      </c>
      <c r="G100" s="10" t="s">
        <v>31</v>
      </c>
      <c r="H100" s="10">
        <f t="shared" si="2"/>
        <v>0.31831999875069616</v>
      </c>
      <c r="I100" s="10">
        <f t="shared" si="2"/>
        <v>0.16913421085230063</v>
      </c>
      <c r="J100" s="38">
        <f t="shared" si="2"/>
        <v>0.029200671765906572</v>
      </c>
    </row>
    <row r="101" ht="15" customHeight="1">
      <c r="B101" s="43" t="s">
        <v>92</v>
      </c>
      <c r="C101" s="50" t="s">
        <v>31</v>
      </c>
      <c r="D101" s="50">
        <f t="shared" si="3"/>
        <v>51712</v>
      </c>
      <c r="E101" s="50">
        <f t="shared" si="3"/>
        <v>55912</v>
      </c>
      <c r="F101" s="50">
        <f t="shared" si="3"/>
        <v>3843</v>
      </c>
      <c r="G101" s="50" t="s">
        <v>31</v>
      </c>
      <c r="H101" s="50">
        <f t="shared" si="6"/>
        <v>10836</v>
      </c>
      <c r="I101" s="50">
        <f t="shared" si="3"/>
        <v>3139</v>
      </c>
      <c r="J101" s="51">
        <f t="shared" si="3"/>
        <v>-3456</v>
      </c>
    </row>
    <row r="102" ht="15" customHeight="1">
      <c r="B102" s="35" t="s">
        <v>420</v>
      </c>
    </row>
    <row r="103" ht="15" customHeight="1">
      <c r="B103" s="43" t="s">
        <v>421</v>
      </c>
      <c r="C103" s="18">
        <f>'Income Statement'!C10/C75*365/C$7</f>
        <v>0.12762035671550748</v>
      </c>
      <c r="D103" s="18">
        <f>'Income Statement'!D10/D75*365/D$7</f>
        <v>0.13190996440982572</v>
      </c>
      <c r="E103" s="18">
        <f>'Income Statement'!E10/E75*365/E$7</f>
        <v>0.13720020295002214</v>
      </c>
      <c r="F103" s="18">
        <f>'Income Statement'!F10/F75*365/F$7</f>
        <v>0.1352780931536163</v>
      </c>
      <c r="G103" s="18">
        <f>'Income Statement'!G10/G75</f>
        <v>0.133480523338511</v>
      </c>
      <c r="H103" s="18">
        <f>'Income Statement'!H10/H75*365/H$7</f>
        <v>0.13376597374560395</v>
      </c>
      <c r="I103" s="18">
        <f>'Income Statement'!I10/I75*365/I$7</f>
        <v>0.13265224645868837</v>
      </c>
      <c r="J103" s="66">
        <f>'Income Statement'!J10/J75*365/J$7</f>
        <v>0.13230935711012345</v>
      </c>
      <c r="K103" s="40" t="s">
        <v>151</v>
      </c>
    </row>
    <row r="104" ht="15" customHeight="1">
      <c r="B104" s="37" t="s">
        <v>137</v>
      </c>
      <c r="C104" s="58" t="s">
        <v>31</v>
      </c>
      <c r="D104" s="58">
        <f t="shared" si="17" ref="D104:J148">IF(AND(ISNUMBER(D103),ISNUMBER(C103)),(D103-C103)*10000,"n/a")</f>
        <v>42.89607694318243</v>
      </c>
      <c r="E104" s="58">
        <f t="shared" si="17"/>
        <v>52.90238540196418</v>
      </c>
      <c r="F104" s="58">
        <f t="shared" si="17"/>
        <v>-19.22109796405835</v>
      </c>
      <c r="G104" s="58" t="s">
        <v>31</v>
      </c>
      <c r="H104" s="58">
        <f t="shared" si="19" ref="H104:H148">IF(AND(ISNUMBER(H103),ISNUMBER(F103)),(H103-F103)*10000,"n/a")</f>
        <v>-15.121194080123523</v>
      </c>
      <c r="I104" s="58">
        <f t="shared" si="17"/>
        <v>-11.137272869155835</v>
      </c>
      <c r="J104" s="59">
        <f t="shared" si="17"/>
        <v>-3.4288934856491204</v>
      </c>
    </row>
    <row r="105" ht="15" customHeight="1">
      <c r="B105" s="37" t="s">
        <v>138</v>
      </c>
      <c r="C105" s="58" t="s">
        <v>31</v>
      </c>
      <c r="D105" s="58" t="s">
        <v>31</v>
      </c>
      <c r="E105" s="58" t="s">
        <v>31</v>
      </c>
      <c r="F105" s="58" t="s">
        <v>31</v>
      </c>
      <c r="G105" s="58" t="s">
        <v>31</v>
      </c>
      <c r="H105" s="58">
        <f t="shared" si="18" ref="H105:J149">IF(AND(ISNUMBER(H103),ISNUMBER(C103)),(H103-C103)*10000,"n/a")</f>
        <v>61.45617030096473</v>
      </c>
      <c r="I105" s="58">
        <f t="shared" si="18"/>
        <v>7.422820488626469</v>
      </c>
      <c r="J105" s="59">
        <f t="shared" si="18"/>
        <v>-48.90845839898683</v>
      </c>
    </row>
    <row r="106" ht="15" customHeight="1">
      <c r="B106" s="43" t="s">
        <v>422</v>
      </c>
      <c r="C106" s="18">
        <f>'Income Statement'!C13/C78*365/C$7</f>
        <v>0.03370182904820662</v>
      </c>
      <c r="D106" s="18">
        <f>'Income Statement'!D13/D78*365/D$7</f>
        <v>0.03380434494985579</v>
      </c>
      <c r="E106" s="18">
        <f>'Income Statement'!E13/E78*365/E$7</f>
        <v>0.03394634399474207</v>
      </c>
      <c r="F106" s="18">
        <f>'Income Statement'!F13/F78*365/F$7</f>
        <v>0.034290225344862715</v>
      </c>
      <c r="G106" s="18">
        <f>'Income Statement'!G13/G78</f>
        <v>0.03394156734521675</v>
      </c>
      <c r="H106" s="18">
        <f>'Income Statement'!H13/H78*365/H$7</f>
        <v>0.03450019142789303</v>
      </c>
      <c r="I106" s="18">
        <f>'Income Statement'!I13/I78*365/I$7</f>
        <v>0.03432026353537543</v>
      </c>
      <c r="J106" s="56">
        <v>0.0345</v>
      </c>
      <c r="K106" s="40" t="s">
        <v>145</v>
      </c>
    </row>
    <row r="107" ht="15" customHeight="1">
      <c r="B107" s="37" t="s">
        <v>137</v>
      </c>
      <c r="C107" s="58" t="s">
        <v>31</v>
      </c>
      <c r="D107" s="58">
        <f t="shared" si="17"/>
        <v>1.0251590164916946</v>
      </c>
      <c r="E107" s="58">
        <f t="shared" si="17"/>
        <v>1.4199904488627901</v>
      </c>
      <c r="F107" s="58">
        <f t="shared" si="17"/>
        <v>3.4388135012064502</v>
      </c>
      <c r="G107" s="58" t="s">
        <v>31</v>
      </c>
      <c r="H107" s="58">
        <f t="shared" si="19"/>
        <v>2.0996608303031765</v>
      </c>
      <c r="I107" s="58">
        <f t="shared" si="17"/>
        <v>-1.7992789251760484</v>
      </c>
      <c r="J107" s="59">
        <f t="shared" si="17"/>
        <v>1.797364646245747</v>
      </c>
    </row>
    <row r="108" ht="15" customHeight="1">
      <c r="B108" s="37" t="s">
        <v>138</v>
      </c>
      <c r="C108" s="58" t="s">
        <v>31</v>
      </c>
      <c r="D108" s="58" t="s">
        <v>31</v>
      </c>
      <c r="E108" s="58" t="s">
        <v>31</v>
      </c>
      <c r="F108" s="58" t="s">
        <v>31</v>
      </c>
      <c r="G108" s="58" t="s">
        <v>31</v>
      </c>
      <c r="H108" s="58">
        <f t="shared" si="18"/>
        <v>7.983623796864111</v>
      </c>
      <c r="I108" s="58">
        <f t="shared" si="18"/>
        <v>5.159185855196369</v>
      </c>
      <c r="J108" s="59">
        <f t="shared" si="18"/>
        <v>5.5365600525793255</v>
      </c>
    </row>
    <row r="109" ht="15" customHeight="1">
      <c r="B109" s="43" t="s">
        <v>423</v>
      </c>
      <c r="C109" s="18">
        <f>'Income Statement'!C16/C81*365/C$7</f>
        <v>0.04206332441440173</v>
      </c>
      <c r="D109" s="18">
        <f>'Income Statement'!D16/D81*365/D$7</f>
        <v>0.04471852910992471</v>
      </c>
      <c r="E109" s="18">
        <f>'Income Statement'!E16/E81*365/E$7</f>
        <v>0.049761236569077646</v>
      </c>
      <c r="F109" s="18">
        <f>'Income Statement'!F16/F81*365/F$7</f>
        <v>0.04288650191413727</v>
      </c>
      <c r="G109" s="18">
        <f>'Income Statement'!G16/G81</f>
        <v>0.044953893442622954</v>
      </c>
      <c r="H109" s="18">
        <f>'Income Statement'!H16/H81*365/H$7</f>
        <v>0.037076812458885985</v>
      </c>
      <c r="I109" s="18">
        <f>'Income Statement'!I16/I81*365/I$7</f>
        <v>0.0371442988165555</v>
      </c>
      <c r="J109" s="56">
        <v>0.0376</v>
      </c>
      <c r="K109" s="40" t="s">
        <v>145</v>
      </c>
    </row>
    <row r="110" ht="15" customHeight="1">
      <c r="B110" s="37" t="s">
        <v>137</v>
      </c>
      <c r="C110" s="58" t="s">
        <v>31</v>
      </c>
      <c r="D110" s="58">
        <f t="shared" si="17"/>
        <v>26.55204695522981</v>
      </c>
      <c r="E110" s="58">
        <f t="shared" si="17"/>
        <v>50.42707459152938</v>
      </c>
      <c r="F110" s="58">
        <f t="shared" si="17"/>
        <v>-68.74734654940373</v>
      </c>
      <c r="G110" s="58" t="s">
        <v>31</v>
      </c>
      <c r="H110" s="58">
        <f t="shared" si="19"/>
        <v>-58.09689455251288</v>
      </c>
      <c r="I110" s="58">
        <f t="shared" si="17"/>
        <v>0.6748635766951755</v>
      </c>
      <c r="J110" s="59">
        <f t="shared" si="17"/>
        <v>4.557011834444985</v>
      </c>
    </row>
    <row r="111" ht="15" customHeight="1">
      <c r="B111" s="37" t="s">
        <v>138</v>
      </c>
      <c r="C111" s="58" t="s">
        <v>31</v>
      </c>
      <c r="D111" s="58" t="s">
        <v>31</v>
      </c>
      <c r="E111" s="58" t="s">
        <v>31</v>
      </c>
      <c r="F111" s="58" t="s">
        <v>31</v>
      </c>
      <c r="G111" s="58" t="s">
        <v>31</v>
      </c>
      <c r="H111" s="58">
        <f t="shared" si="18"/>
        <v>-49.86511955515742</v>
      </c>
      <c r="I111" s="58">
        <f t="shared" si="18"/>
        <v>-75.74230293369205</v>
      </c>
      <c r="J111" s="59">
        <f t="shared" si="18"/>
        <v>-121.61236569077646</v>
      </c>
    </row>
    <row r="112" ht="15" customHeight="1">
      <c r="B112" s="43" t="s">
        <v>424</v>
      </c>
      <c r="C112" s="18">
        <f>'Income Statement'!C23/C87*365/C$7</f>
        <v>0.03259185807877497</v>
      </c>
      <c r="D112" s="18">
        <f>'Income Statement'!D23/D87*365/D$7</f>
        <v>0.03232504530487942</v>
      </c>
      <c r="E112" s="18">
        <f>'Income Statement'!E23/E87*365/E$7</f>
        <v>0.03246832736496082</v>
      </c>
      <c r="F112" s="18">
        <f>'Income Statement'!F23/F87*365/F$7</f>
        <v>0.031299132551922716</v>
      </c>
      <c r="G112" s="18">
        <f>'Income Statement'!G23/G87</f>
        <v>0.03213503427322611</v>
      </c>
      <c r="H112" s="18">
        <f>'Income Statement'!H23/H87*365/H$7</f>
        <v>0.030392640597814987</v>
      </c>
      <c r="I112" s="18">
        <f>'Income Statement'!I23/I87*365/I$7</f>
        <v>0.029224633441777045</v>
      </c>
      <c r="J112" s="56">
        <v>0.0286</v>
      </c>
      <c r="K112" s="40" t="s">
        <v>145</v>
      </c>
    </row>
    <row r="113" ht="15" customHeight="1">
      <c r="B113" s="37" t="s">
        <v>137</v>
      </c>
      <c r="C113" s="58" t="s">
        <v>31</v>
      </c>
      <c r="D113" s="58">
        <f t="shared" si="17"/>
        <v>-2.6681277389555005</v>
      </c>
      <c r="E113" s="58">
        <f t="shared" si="17"/>
        <v>1.4328206008139972</v>
      </c>
      <c r="F113" s="58">
        <f t="shared" si="17"/>
        <v>-11.691948130381006</v>
      </c>
      <c r="G113" s="58" t="s">
        <v>31</v>
      </c>
      <c r="H113" s="58">
        <f t="shared" si="19"/>
        <v>-9.064919541077291</v>
      </c>
      <c r="I113" s="58">
        <f t="shared" si="17"/>
        <v>-11.680071560379417</v>
      </c>
      <c r="J113" s="59">
        <f t="shared" si="17"/>
        <v>-6.246334417770449</v>
      </c>
    </row>
    <row r="114" ht="15" customHeight="1">
      <c r="B114" s="37" t="s">
        <v>138</v>
      </c>
      <c r="C114" s="58" t="s">
        <v>31</v>
      </c>
      <c r="D114" s="58" t="s">
        <v>31</v>
      </c>
      <c r="E114" s="58" t="s">
        <v>31</v>
      </c>
      <c r="F114" s="58" t="s">
        <v>31</v>
      </c>
      <c r="G114" s="58" t="s">
        <v>31</v>
      </c>
      <c r="H114" s="58">
        <f t="shared" si="18"/>
        <v>-21.9921748095998</v>
      </c>
      <c r="I114" s="58">
        <f t="shared" si="18"/>
        <v>-31.004118631023715</v>
      </c>
      <c r="J114" s="59">
        <f t="shared" si="18"/>
        <v>-38.68327364960816</v>
      </c>
    </row>
    <row r="115" ht="15" customHeight="1">
      <c r="B115" s="43" t="s">
        <v>425</v>
      </c>
      <c r="C115" s="18">
        <f>'Income Statement'!C26/C90*365/C$7</f>
        <v>0.05198294208562944</v>
      </c>
      <c r="D115" s="18">
        <f>'Income Statement'!D26/D90*365/D$7</f>
        <v>0.050433351054373826</v>
      </c>
      <c r="E115" s="18">
        <f>'Income Statement'!E26/E90*365/E$7</f>
        <v>0.05067107092014794</v>
      </c>
      <c r="F115" s="18">
        <f>'Income Statement'!F26/F90*365/F$7</f>
        <v>0.04852407892163758</v>
      </c>
      <c r="G115" s="18">
        <f>'Income Statement'!G26/G90</f>
        <v>0.0504278728606357</v>
      </c>
      <c r="H115" s="18">
        <f>'Income Statement'!H26/H90*365/H$7</f>
        <v>0.045834669231591324</v>
      </c>
      <c r="I115" s="18">
        <f>'Income Statement'!I26/I90*365/I$7</f>
        <v>0.046053553904388055</v>
      </c>
      <c r="J115" s="56">
        <v>0.046</v>
      </c>
      <c r="K115" s="40" t="s">
        <v>145</v>
      </c>
    </row>
    <row r="116" ht="15" customHeight="1">
      <c r="B116" s="37" t="s">
        <v>137</v>
      </c>
      <c r="C116" s="58" t="s">
        <v>31</v>
      </c>
      <c r="D116" s="58">
        <f t="shared" si="17"/>
        <v>-15.495910312556122</v>
      </c>
      <c r="E116" s="58">
        <f t="shared" si="17"/>
        <v>2.377198657741164</v>
      </c>
      <c r="F116" s="58">
        <f t="shared" si="17"/>
        <v>-21.469919985103655</v>
      </c>
      <c r="G116" s="58" t="s">
        <v>31</v>
      </c>
      <c r="H116" s="58">
        <f t="shared" si="19"/>
        <v>-26.89409690046253</v>
      </c>
      <c r="I116" s="58">
        <f t="shared" si="17"/>
        <v>2.188846727967306</v>
      </c>
      <c r="J116" s="59">
        <f t="shared" si="17"/>
        <v>-0.5355390438805535</v>
      </c>
    </row>
    <row r="117" ht="15" customHeight="1">
      <c r="B117" s="37" t="s">
        <v>138</v>
      </c>
      <c r="C117" s="58" t="s">
        <v>31</v>
      </c>
      <c r="D117" s="58" t="s">
        <v>31</v>
      </c>
      <c r="E117" s="58" t="s">
        <v>31</v>
      </c>
      <c r="F117" s="58" t="s">
        <v>31</v>
      </c>
      <c r="G117" s="58" t="s">
        <v>31</v>
      </c>
      <c r="H117" s="58">
        <f t="shared" si="18"/>
        <v>-61.482728540381146</v>
      </c>
      <c r="I117" s="58">
        <f t="shared" si="18"/>
        <v>-43.79797149985772</v>
      </c>
      <c r="J117" s="59">
        <f t="shared" si="18"/>
        <v>-46.71070920147943</v>
      </c>
    </row>
    <row r="118" ht="15" customHeight="1">
      <c r="B118" s="43" t="s">
        <v>426</v>
      </c>
      <c r="C118" s="18">
        <f>'Income Statement'!C29/C93*365/C$7</f>
        <v>0.06752350913440228</v>
      </c>
      <c r="D118" s="18">
        <f>'Income Statement'!D29/D93*365/D$7</f>
        <v>0.0652798467047676</v>
      </c>
      <c r="E118" s="18">
        <f>'Income Statement'!E29/E93*365/E$7</f>
        <v>0.0636585172896569</v>
      </c>
      <c r="F118" s="18">
        <f>'Income Statement'!F29/F93*365/F$7</f>
        <v>0.059782608695652176</v>
      </c>
      <c r="G118" s="18">
        <f>'Income Statement'!G29/G93</f>
        <v>0.06385042772731281</v>
      </c>
      <c r="H118" s="18">
        <f>'Income Statement'!H29/H93*365/H$7</f>
        <v>0.05700881349562848</v>
      </c>
      <c r="I118" s="18">
        <f>'Income Statement'!I29/I93*365/I$7</f>
        <v>0.05722649530319272</v>
      </c>
      <c r="J118" s="56">
        <v>0.0572</v>
      </c>
      <c r="K118" s="40" t="s">
        <v>145</v>
      </c>
    </row>
    <row r="119" ht="15" customHeight="1">
      <c r="B119" s="37" t="s">
        <v>137</v>
      </c>
      <c r="C119" s="58" t="s">
        <v>31</v>
      </c>
      <c r="D119" s="58">
        <f t="shared" si="17"/>
        <v>-22.436624296346825</v>
      </c>
      <c r="E119" s="58">
        <f t="shared" si="17"/>
        <v>-16.213294151107004</v>
      </c>
      <c r="F119" s="58">
        <f t="shared" si="17"/>
        <v>-38.75908594004718</v>
      </c>
      <c r="G119" s="58" t="s">
        <v>31</v>
      </c>
      <c r="H119" s="58">
        <f t="shared" si="19"/>
        <v>-27.737952000236945</v>
      </c>
      <c r="I119" s="58">
        <f t="shared" si="17"/>
        <v>2.17681807564242</v>
      </c>
      <c r="J119" s="59">
        <f t="shared" si="17"/>
        <v>-0.2649530319272231</v>
      </c>
    </row>
    <row r="120" ht="15" customHeight="1">
      <c r="B120" s="37" t="s">
        <v>138</v>
      </c>
      <c r="C120" s="58" t="s">
        <v>31</v>
      </c>
      <c r="D120" s="58" t="s">
        <v>31</v>
      </c>
      <c r="E120" s="58" t="s">
        <v>31</v>
      </c>
      <c r="F120" s="58" t="s">
        <v>31</v>
      </c>
      <c r="G120" s="58" t="s">
        <v>31</v>
      </c>
      <c r="H120" s="58">
        <f t="shared" si="18"/>
        <v>-105.14695638773796</v>
      </c>
      <c r="I120" s="58">
        <f t="shared" si="18"/>
        <v>-80.53351401574871</v>
      </c>
      <c r="J120" s="59">
        <f t="shared" si="18"/>
        <v>-64.58517289656892</v>
      </c>
    </row>
    <row r="121" ht="15" customHeight="1">
      <c r="B121" s="43" t="s">
        <v>427</v>
      </c>
      <c r="C121" s="18">
        <f>'Income Statement'!C32/C96*365/C$7</f>
        <v>0.01578719723183391</v>
      </c>
      <c r="D121" s="18">
        <f>'Income Statement'!D32/D96*365/D$7</f>
        <v>0.019552174844653953</v>
      </c>
      <c r="E121" s="18">
        <f>'Income Statement'!E32/E96*365/E$7</f>
        <v>0.019073996655518396</v>
      </c>
      <c r="F121" s="18">
        <f>'Income Statement'!F32/F96*365/F$7</f>
        <v>0.024365821094793055</v>
      </c>
      <c r="G121" s="18">
        <f>'Income Statement'!G32/G96</f>
        <v>0.020225464190981434</v>
      </c>
      <c r="H121" s="18">
        <f>'Income Statement'!H32/H96*365/H$7</f>
        <v>0.024880708929788685</v>
      </c>
      <c r="I121" s="18">
        <f>'Income Statement'!I32/I96*365/I$7</f>
        <v>0.021946526636469316</v>
      </c>
      <c r="J121" s="56">
        <v>0.0225</v>
      </c>
      <c r="K121" s="40" t="s">
        <v>145</v>
      </c>
    </row>
    <row r="122" ht="15" customHeight="1">
      <c r="B122" s="37" t="s">
        <v>137</v>
      </c>
      <c r="C122" s="58" t="s">
        <v>31</v>
      </c>
      <c r="D122" s="58">
        <f t="shared" si="17"/>
        <v>37.649776128200436</v>
      </c>
      <c r="E122" s="58">
        <f t="shared" si="17"/>
        <v>-4.781781891355571</v>
      </c>
      <c r="F122" s="58">
        <f t="shared" si="17"/>
        <v>52.91824439274659</v>
      </c>
      <c r="G122" s="58" t="s">
        <v>31</v>
      </c>
      <c r="H122" s="58">
        <f t="shared" si="19"/>
        <v>5.148878349956303</v>
      </c>
      <c r="I122" s="58">
        <f t="shared" si="17"/>
        <v>-29.341822933193694</v>
      </c>
      <c r="J122" s="59">
        <f t="shared" si="17"/>
        <v>5.534733635306835</v>
      </c>
    </row>
    <row r="123" ht="15" customHeight="1">
      <c r="B123" s="37" t="s">
        <v>138</v>
      </c>
      <c r="C123" s="58" t="s">
        <v>31</v>
      </c>
      <c r="D123" s="58" t="s">
        <v>31</v>
      </c>
      <c r="E123" s="58" t="s">
        <v>31</v>
      </c>
      <c r="F123" s="58" t="s">
        <v>31</v>
      </c>
      <c r="G123" s="58" t="s">
        <v>31</v>
      </c>
      <c r="H123" s="58">
        <f t="shared" si="18"/>
        <v>90.93511697954776</v>
      </c>
      <c r="I123" s="58">
        <f t="shared" si="18"/>
        <v>23.943517918153628</v>
      </c>
      <c r="J123" s="59">
        <f t="shared" si="18"/>
        <v>34.26003344481603</v>
      </c>
    </row>
    <row r="124" ht="15" customHeight="1">
      <c r="B124" s="68" t="s">
        <v>428</v>
      </c>
      <c r="C124" s="69">
        <f>'Income Statement'!C38*4/C84</f>
        <v>0.06926103839696092</v>
      </c>
      <c r="D124" s="69">
        <f>'Income Statement'!D38*4/D84</f>
        <v>0.07616268104829416</v>
      </c>
      <c r="E124" s="69">
        <f>'Income Statement'!E38*4/E84</f>
        <v>0.08363464122026744</v>
      </c>
      <c r="F124" s="69">
        <f>'Income Statement'!F38*4/F84</f>
        <v>0.08259321219750551</v>
      </c>
      <c r="G124" s="69">
        <f>'Income Statement'!G38/G84</f>
        <v>0.07843273548752938</v>
      </c>
      <c r="H124" s="69">
        <f>'Income Statement'!H38*4/H84</f>
        <v>0.07871374800906715</v>
      </c>
      <c r="I124" s="69">
        <f>'Income Statement'!I38*4/I84</f>
        <v>0.08014469310197982</v>
      </c>
      <c r="J124" s="70">
        <f>'Income Statement'!J38*4/J84</f>
        <v>0.0830013989308368</v>
      </c>
    </row>
    <row r="125" ht="15" customHeight="1">
      <c r="B125" s="37" t="s">
        <v>137</v>
      </c>
      <c r="C125" s="58" t="s">
        <v>31</v>
      </c>
      <c r="D125" s="58">
        <f t="shared" si="17"/>
        <v>69.01642651333236</v>
      </c>
      <c r="E125" s="58">
        <f t="shared" si="17"/>
        <v>74.71960171973282</v>
      </c>
      <c r="F125" s="58">
        <f t="shared" si="17"/>
        <v>-10.414290227619277</v>
      </c>
      <c r="G125" s="58" t="s">
        <v>31</v>
      </c>
      <c r="H125" s="58">
        <f t="shared" si="19"/>
        <v>-38.794641884383616</v>
      </c>
      <c r="I125" s="58">
        <f t="shared" si="17"/>
        <v>14.309450929126665</v>
      </c>
      <c r="J125" s="59">
        <f t="shared" si="17"/>
        <v>28.56705828856984</v>
      </c>
    </row>
    <row r="126" ht="15" customHeight="1">
      <c r="B126" s="37" t="s">
        <v>138</v>
      </c>
      <c r="C126" s="58" t="s">
        <v>31</v>
      </c>
      <c r="D126" s="58" t="s">
        <v>31</v>
      </c>
      <c r="E126" s="58" t="s">
        <v>31</v>
      </c>
      <c r="F126" s="58" t="s">
        <v>31</v>
      </c>
      <c r="G126" s="58" t="s">
        <v>31</v>
      </c>
      <c r="H126" s="58">
        <f t="shared" si="18"/>
        <v>94.5270961210623</v>
      </c>
      <c r="I126" s="58">
        <f t="shared" si="18"/>
        <v>39.8201205368566</v>
      </c>
      <c r="J126" s="59">
        <f t="shared" si="18"/>
        <v>-6.332422894306383</v>
      </c>
    </row>
    <row r="127" ht="15" customHeight="1">
      <c r="B127" s="43" t="s">
        <v>429</v>
      </c>
      <c r="C127" s="20">
        <v>0.0693</v>
      </c>
      <c r="D127" s="20">
        <v>0.0762</v>
      </c>
      <c r="E127" s="20">
        <v>0.0836</v>
      </c>
      <c r="F127" s="20">
        <v>0.0826</v>
      </c>
      <c r="G127" s="20">
        <v>0.0784</v>
      </c>
      <c r="H127" s="20">
        <v>0.0787</v>
      </c>
      <c r="I127" s="20">
        <v>0.0801</v>
      </c>
      <c r="J127" s="38" t="s">
        <v>31</v>
      </c>
      <c r="K127" s="40" t="s">
        <v>430</v>
      </c>
    </row>
    <row r="128" ht="15" customHeight="1">
      <c r="B128" s="37" t="s">
        <v>137</v>
      </c>
      <c r="C128" s="58" t="s">
        <v>31</v>
      </c>
      <c r="D128" s="58">
        <f t="shared" si="17"/>
        <v>69.00000000000003</v>
      </c>
      <c r="E128" s="58">
        <f t="shared" si="17"/>
        <v>73.9999999999999</v>
      </c>
      <c r="F128" s="58">
        <f t="shared" si="17"/>
        <v>-9.99999999999987</v>
      </c>
      <c r="G128" s="58" t="s">
        <v>31</v>
      </c>
      <c r="H128" s="58">
        <f t="shared" si="19"/>
        <v>-39.00000000000001</v>
      </c>
      <c r="I128" s="58">
        <f t="shared" si="17"/>
        <v>13.999999999999984</v>
      </c>
      <c r="J128" s="59" t="str">
        <f t="shared" si="17"/>
        <v>n/a</v>
      </c>
    </row>
    <row r="129" ht="15" customHeight="1">
      <c r="B129" s="37" t="s">
        <v>138</v>
      </c>
      <c r="C129" s="58" t="s">
        <v>31</v>
      </c>
      <c r="D129" s="58" t="s">
        <v>31</v>
      </c>
      <c r="E129" s="58" t="s">
        <v>31</v>
      </c>
      <c r="F129" s="58" t="s">
        <v>31</v>
      </c>
      <c r="G129" s="58" t="s">
        <v>31</v>
      </c>
      <c r="H129" s="58">
        <f t="shared" si="18"/>
        <v>94.00000000000006</v>
      </c>
      <c r="I129" s="58">
        <f t="shared" si="18"/>
        <v>39.00000000000001</v>
      </c>
      <c r="J129" s="59" t="str">
        <f t="shared" si="18"/>
        <v>n/a</v>
      </c>
    </row>
    <row r="130" ht="15" customHeight="1">
      <c r="B130" s="35" t="s">
        <v>431</v>
      </c>
    </row>
    <row r="131" ht="15" customHeight="1">
      <c r="B131" s="24" t="s">
        <v>432</v>
      </c>
      <c r="C131" s="8">
        <f>'Segment - Consumer Banking'!C59</f>
        <v>319950</v>
      </c>
      <c r="D131" s="8">
        <f>'Segment - Consumer Banking'!D59</f>
        <v>365359</v>
      </c>
      <c r="E131" s="8">
        <f>'Segment - Consumer Banking'!E59</f>
        <v>414219</v>
      </c>
      <c r="F131" s="8">
        <f>'Segment - Consumer Banking'!F59</f>
        <v>418673</v>
      </c>
      <c r="G131" s="8">
        <f>'Segment - Consumer Banking'!G59</f>
        <v>379915</v>
      </c>
      <c r="H131" s="8">
        <f>'Segment - Consumer Banking'!H59</f>
        <v>428391</v>
      </c>
      <c r="I131" s="8">
        <f>'Segment - Consumer Banking'!I59</f>
        <v>435890</v>
      </c>
      <c r="J131" s="36">
        <f>'Segment - Consumer Banking'!J59</f>
        <v>437000</v>
      </c>
    </row>
    <row r="132" ht="15" customHeight="1">
      <c r="B132" s="37" t="s">
        <v>75</v>
      </c>
      <c r="C132" s="10" t="s">
        <v>31</v>
      </c>
      <c r="D132" s="10" t="s">
        <v>31</v>
      </c>
      <c r="E132" s="10" t="s">
        <v>31</v>
      </c>
      <c r="F132" s="10" t="s">
        <v>31</v>
      </c>
      <c r="G132" s="10" t="s">
        <v>31</v>
      </c>
      <c r="H132" s="10">
        <f t="shared" si="2"/>
        <v>0.3389310829817158</v>
      </c>
      <c r="I132" s="10">
        <f t="shared" si="2"/>
        <v>0.19304574404900388</v>
      </c>
      <c r="J132" s="38">
        <f t="shared" si="2"/>
        <v>0.054997477179945964</v>
      </c>
    </row>
    <row r="133" ht="15" customHeight="1">
      <c r="B133" s="37" t="s">
        <v>92</v>
      </c>
      <c r="C133" s="50" t="s">
        <v>31</v>
      </c>
      <c r="D133" s="50">
        <f t="shared" si="3"/>
        <v>45409</v>
      </c>
      <c r="E133" s="50">
        <f t="shared" si="3"/>
        <v>48860</v>
      </c>
      <c r="F133" s="50">
        <f t="shared" si="3"/>
        <v>4454</v>
      </c>
      <c r="G133" s="50" t="s">
        <v>31</v>
      </c>
      <c r="H133" s="50">
        <f t="shared" si="6"/>
        <v>9718</v>
      </c>
      <c r="I133" s="50">
        <f t="shared" si="3"/>
        <v>7499</v>
      </c>
      <c r="J133" s="51">
        <f t="shared" si="3"/>
        <v>1110</v>
      </c>
    </row>
    <row r="134" ht="15" customHeight="1">
      <c r="B134" s="24" t="s">
        <v>433</v>
      </c>
      <c r="C134" s="8">
        <f>'Segment - Commercial Banking'!C47</f>
        <v>31654</v>
      </c>
      <c r="D134" s="8">
        <f>'Segment - Commercial Banking'!D47</f>
        <v>30444</v>
      </c>
      <c r="E134" s="8">
        <f>'Segment - Commercial Banking'!E47</f>
        <v>29889</v>
      </c>
      <c r="F134" s="8">
        <f>'Segment - Commercial Banking'!F47</f>
        <v>31462</v>
      </c>
      <c r="G134" s="8">
        <f>'Segment - Commercial Banking'!G47</f>
        <v>30859</v>
      </c>
      <c r="H134" s="8">
        <f>'Segment - Commercial Banking'!H47</f>
        <v>31137</v>
      </c>
      <c r="I134" s="8">
        <f>'Segment - Commercial Banking'!I47</f>
        <v>31248</v>
      </c>
      <c r="J134" s="36">
        <f>'Segment - Commercial Banking'!J47</f>
        <v>31200</v>
      </c>
    </row>
    <row r="135" ht="15" customHeight="1">
      <c r="B135" s="37" t="s">
        <v>75</v>
      </c>
      <c r="C135" s="10" t="s">
        <v>31</v>
      </c>
      <c r="D135" s="10" t="s">
        <v>31</v>
      </c>
      <c r="E135" s="10" t="s">
        <v>31</v>
      </c>
      <c r="F135" s="10" t="s">
        <v>31</v>
      </c>
      <c r="G135" s="10" t="s">
        <v>31</v>
      </c>
      <c r="H135" s="10">
        <f t="shared" si="2"/>
        <v>-0.016332848929045296</v>
      </c>
      <c r="I135" s="10">
        <f t="shared" si="2"/>
        <v>0.026409144659046202</v>
      </c>
      <c r="J135" s="38">
        <f t="shared" si="2"/>
        <v>0.04386229047475654</v>
      </c>
    </row>
    <row r="136" ht="15" customHeight="1">
      <c r="B136" s="37" t="s">
        <v>92</v>
      </c>
      <c r="C136" s="50" t="s">
        <v>31</v>
      </c>
      <c r="D136" s="50">
        <f t="shared" si="3"/>
        <v>-1210</v>
      </c>
      <c r="E136" s="50">
        <f t="shared" si="3"/>
        <v>-555</v>
      </c>
      <c r="F136" s="50">
        <f t="shared" si="3"/>
        <v>1573</v>
      </c>
      <c r="G136" s="50" t="s">
        <v>31</v>
      </c>
      <c r="H136" s="50">
        <f t="shared" si="6"/>
        <v>-325</v>
      </c>
      <c r="I136" s="50">
        <f t="shared" si="3"/>
        <v>111</v>
      </c>
      <c r="J136" s="51">
        <f t="shared" si="3"/>
        <v>-48</v>
      </c>
    </row>
    <row r="137" ht="15" customHeight="1">
      <c r="B137" s="24" t="s">
        <v>434</v>
      </c>
      <c r="C137" s="9">
        <f t="shared" si="20" ref="C137:I137">C140-C131-C134</f>
        <v>12474</v>
      </c>
      <c r="D137" s="9">
        <f t="shared" si="20"/>
        <v>18765</v>
      </c>
      <c r="E137" s="9">
        <f t="shared" si="20"/>
        <v>23172</v>
      </c>
      <c r="F137" s="9">
        <f t="shared" si="20"/>
        <v>20830</v>
      </c>
      <c r="G137" s="9">
        <f t="shared" si="20"/>
        <v>18846</v>
      </c>
      <c r="H137" s="9">
        <f t="shared" si="20"/>
        <v>20430</v>
      </c>
      <c r="I137" s="9">
        <f t="shared" si="20"/>
        <v>19653</v>
      </c>
      <c r="J137" s="39">
        <v>19000</v>
      </c>
      <c r="K137" s="40" t="s">
        <v>145</v>
      </c>
    </row>
    <row r="138" ht="15" customHeight="1">
      <c r="B138" s="37" t="s">
        <v>75</v>
      </c>
      <c r="C138" s="10" t="s">
        <v>31</v>
      </c>
      <c r="D138" s="10" t="s">
        <v>31</v>
      </c>
      <c r="E138" s="10" t="s">
        <v>31</v>
      </c>
      <c r="F138" s="10" t="s">
        <v>31</v>
      </c>
      <c r="G138" s="10" t="s">
        <v>31</v>
      </c>
      <c r="H138" s="10">
        <f t="shared" si="2"/>
        <v>0.6378066378066378</v>
      </c>
      <c r="I138" s="10">
        <f t="shared" si="2"/>
        <v>0.047322142286171154</v>
      </c>
      <c r="J138" s="38">
        <f t="shared" si="2"/>
        <v>-0.1800448817538408</v>
      </c>
    </row>
    <row r="139" ht="15" customHeight="1">
      <c r="B139" s="37" t="s">
        <v>92</v>
      </c>
      <c r="C139" s="50" t="s">
        <v>31</v>
      </c>
      <c r="D139" s="50">
        <f t="shared" si="3"/>
        <v>6291</v>
      </c>
      <c r="E139" s="50">
        <f t="shared" si="3"/>
        <v>4407</v>
      </c>
      <c r="F139" s="50">
        <f t="shared" si="3"/>
        <v>-2342</v>
      </c>
      <c r="G139" s="50" t="s">
        <v>31</v>
      </c>
      <c r="H139" s="50">
        <f t="shared" si="6"/>
        <v>-400</v>
      </c>
      <c r="I139" s="50">
        <f t="shared" si="3"/>
        <v>-777</v>
      </c>
      <c r="J139" s="51">
        <f t="shared" si="3"/>
        <v>-653</v>
      </c>
    </row>
    <row r="140" ht="15" customHeight="1">
      <c r="B140" s="45" t="s">
        <v>435</v>
      </c>
      <c r="C140" s="60">
        <v>364078</v>
      </c>
      <c r="D140" s="60">
        <v>414568</v>
      </c>
      <c r="E140" s="60">
        <v>467280</v>
      </c>
      <c r="F140" s="60">
        <v>470965</v>
      </c>
      <c r="G140" s="60">
        <v>429620</v>
      </c>
      <c r="H140" s="60">
        <v>479958</v>
      </c>
      <c r="I140" s="60">
        <v>486791</v>
      </c>
      <c r="J140" s="42">
        <f t="shared" si="15"/>
        <v>487200</v>
      </c>
      <c r="K140" s="40" t="s">
        <v>436</v>
      </c>
    </row>
    <row r="141" ht="15" customHeight="1">
      <c r="B141" s="37" t="s">
        <v>75</v>
      </c>
      <c r="C141" s="10" t="s">
        <v>31</v>
      </c>
      <c r="D141" s="10" t="s">
        <v>31</v>
      </c>
      <c r="E141" s="10" t="s">
        <v>31</v>
      </c>
      <c r="F141" s="10" t="s">
        <v>31</v>
      </c>
      <c r="G141" s="10" t="s">
        <v>31</v>
      </c>
      <c r="H141" s="10">
        <f t="shared" si="2"/>
        <v>0.3182834447563434</v>
      </c>
      <c r="I141" s="10">
        <f t="shared" si="2"/>
        <v>0.17421267439840982</v>
      </c>
      <c r="J141" s="38">
        <f t="shared" si="2"/>
        <v>0.04262968669748335</v>
      </c>
    </row>
    <row r="142" ht="15" customHeight="1">
      <c r="B142" s="37" t="s">
        <v>92</v>
      </c>
      <c r="C142" s="50" t="s">
        <v>31</v>
      </c>
      <c r="D142" s="50">
        <f t="shared" si="3"/>
        <v>50490</v>
      </c>
      <c r="E142" s="50">
        <f t="shared" si="3"/>
        <v>52712</v>
      </c>
      <c r="F142" s="50">
        <f t="shared" si="3"/>
        <v>3685</v>
      </c>
      <c r="G142" s="50" t="s">
        <v>31</v>
      </c>
      <c r="H142" s="50">
        <f t="shared" si="6"/>
        <v>8993</v>
      </c>
      <c r="I142" s="50">
        <f t="shared" si="3"/>
        <v>6833</v>
      </c>
      <c r="J142" s="51">
        <f t="shared" si="3"/>
        <v>409</v>
      </c>
    </row>
    <row r="143" ht="15" customHeight="1">
      <c r="B143" s="24" t="s">
        <v>437</v>
      </c>
      <c r="C143" s="12">
        <v>491817</v>
      </c>
      <c r="D143" s="12">
        <v>572446</v>
      </c>
      <c r="E143" s="12">
        <v>657858</v>
      </c>
      <c r="F143" s="12">
        <v>665656</v>
      </c>
      <c r="G143" s="12">
        <v>597536</v>
      </c>
      <c r="H143" s="12">
        <v>675999</v>
      </c>
      <c r="I143" s="12">
        <v>682079</v>
      </c>
      <c r="J143" s="54" t="s">
        <v>31</v>
      </c>
      <c r="K143" s="40" t="s">
        <v>294</v>
      </c>
    </row>
    <row r="144" ht="15" customHeight="1">
      <c r="B144" s="37" t="s">
        <v>75</v>
      </c>
      <c r="C144" s="10" t="s">
        <v>31</v>
      </c>
      <c r="D144" s="10" t="s">
        <v>31</v>
      </c>
      <c r="E144" s="10" t="s">
        <v>31</v>
      </c>
      <c r="F144" s="10" t="s">
        <v>31</v>
      </c>
      <c r="G144" s="10" t="s">
        <v>31</v>
      </c>
      <c r="H144" s="10">
        <f t="shared" si="2"/>
        <v>0.3744929516466491</v>
      </c>
      <c r="I144" s="10">
        <f t="shared" si="2"/>
        <v>0.19151675441875748</v>
      </c>
      <c r="J144" s="38" t="str">
        <f t="shared" si="2"/>
        <v>n/a</v>
      </c>
    </row>
    <row r="145" ht="15" customHeight="1">
      <c r="B145" s="37" t="s">
        <v>92</v>
      </c>
      <c r="C145" s="50" t="s">
        <v>31</v>
      </c>
      <c r="D145" s="50">
        <f t="shared" si="3"/>
        <v>80629</v>
      </c>
      <c r="E145" s="50">
        <f t="shared" si="3"/>
        <v>85412</v>
      </c>
      <c r="F145" s="50">
        <f t="shared" si="3"/>
        <v>7798</v>
      </c>
      <c r="G145" s="50" t="s">
        <v>31</v>
      </c>
      <c r="H145" s="50">
        <f t="shared" si="6"/>
        <v>10343</v>
      </c>
      <c r="I145" s="50">
        <f t="shared" si="3"/>
        <v>6080</v>
      </c>
      <c r="J145" s="51" t="str">
        <f t="shared" si="3"/>
        <v>n/a</v>
      </c>
    </row>
    <row r="146" ht="15" customHeight="1">
      <c r="B146" s="35" t="s">
        <v>438</v>
      </c>
    </row>
    <row r="147" ht="15" customHeight="1">
      <c r="B147" s="43" t="s">
        <v>439</v>
      </c>
      <c r="C147" s="20">
        <v>0.136</v>
      </c>
      <c r="D147" s="20">
        <v>0.14</v>
      </c>
      <c r="E147" s="20">
        <v>0.144</v>
      </c>
      <c r="F147" s="20">
        <v>0.143</v>
      </c>
      <c r="G147" s="10">
        <f t="shared" si="0"/>
        <v>0.143</v>
      </c>
      <c r="H147" s="20">
        <v>0.144</v>
      </c>
      <c r="I147" s="20">
        <v>0.137</v>
      </c>
      <c r="J147" s="38" t="s">
        <v>31</v>
      </c>
      <c r="K147" s="40" t="s">
        <v>440</v>
      </c>
    </row>
    <row r="148" ht="15" customHeight="1">
      <c r="B148" s="37" t="s">
        <v>137</v>
      </c>
      <c r="C148" s="58" t="s">
        <v>31</v>
      </c>
      <c r="D148" s="58">
        <f t="shared" si="17"/>
        <v>40.000000000000036</v>
      </c>
      <c r="E148" s="58">
        <f t="shared" si="17"/>
        <v>39.99999999999976</v>
      </c>
      <c r="F148" s="58">
        <f t="shared" si="17"/>
        <v>-10.000000000000009</v>
      </c>
      <c r="G148" s="58" t="s">
        <v>31</v>
      </c>
      <c r="H148" s="58">
        <f t="shared" si="19"/>
        <v>10.000000000000009</v>
      </c>
      <c r="I148" s="58">
        <f t="shared" si="17"/>
        <v>-69.99999999999979</v>
      </c>
      <c r="J148" s="59" t="str">
        <f t="shared" si="17"/>
        <v>n/a</v>
      </c>
    </row>
    <row r="149" ht="15" customHeight="1">
      <c r="B149" s="37" t="s">
        <v>138</v>
      </c>
      <c r="C149" s="58" t="s">
        <v>31</v>
      </c>
      <c r="D149" s="58" t="s">
        <v>31</v>
      </c>
      <c r="E149" s="58" t="s">
        <v>31</v>
      </c>
      <c r="F149" s="58" t="s">
        <v>31</v>
      </c>
      <c r="G149" s="58" t="s">
        <v>31</v>
      </c>
      <c r="H149" s="58">
        <f t="shared" si="18"/>
        <v>79.99999999999979</v>
      </c>
      <c r="I149" s="58">
        <f t="shared" si="18"/>
        <v>-30.00000000000003</v>
      </c>
      <c r="J149" s="59" t="str">
        <f t="shared" si="18"/>
        <v>n/a</v>
      </c>
    </row>
    <row r="150" ht="15" customHeight="1">
      <c r="B150" s="24" t="s">
        <v>441</v>
      </c>
      <c r="C150" s="12">
        <v>375538</v>
      </c>
      <c r="D150" s="12">
        <v>503413</v>
      </c>
      <c r="E150" s="12">
        <v>506535</v>
      </c>
      <c r="F150" s="12">
        <v>511794</v>
      </c>
      <c r="G150" s="9">
        <f t="shared" si="0"/>
        <v>511794</v>
      </c>
      <c r="H150" s="12">
        <v>504654</v>
      </c>
      <c r="I150" s="12">
        <v>516267</v>
      </c>
      <c r="J150" s="54" t="s">
        <v>31</v>
      </c>
      <c r="K150" s="40" t="s">
        <v>442</v>
      </c>
    </row>
    <row r="151" ht="15" customHeight="1">
      <c r="B151" s="24" t="s">
        <v>443</v>
      </c>
      <c r="C151" s="16">
        <v>113.74</v>
      </c>
      <c r="D151" s="16">
        <v>99.35</v>
      </c>
      <c r="E151" s="16">
        <v>105.18</v>
      </c>
      <c r="F151" s="16">
        <v>107.72</v>
      </c>
      <c r="G151" s="15">
        <f t="shared" si="0"/>
        <v>107.72</v>
      </c>
      <c r="H151" s="16">
        <v>107.76</v>
      </c>
      <c r="I151" s="16">
        <v>105.21</v>
      </c>
      <c r="J151" s="61" t="s">
        <v>31</v>
      </c>
      <c r="K151" s="40" t="s">
        <v>294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C05D37B-FAA5-2298-D2A8-A6F03449A8D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10" width="12.00390625" customWidth="1"/>
    <col min="11" max="11" width="16.00390625" customWidth="1"/>
  </cols>
  <sheetData>
    <row r="1" ht="15" customHeight="1">
      <c r="B1" s="1" t="s">
        <v>0</v>
      </c>
    </row>
    <row r="2" ht="15" customHeight="1">
      <c r="B2" s="2" t="s">
        <v>444</v>
      </c>
    </row>
    <row r="3" ht="15" customHeight="1">
      <c r="B3" s="3" t="s">
        <v>2</v>
      </c>
    </row>
    <row r="5" ht="15" customHeight="1">
      <c r="B5" s="26" t="s">
        <v>55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7" t="s">
        <v>61</v>
      </c>
      <c r="I5" s="27" t="s">
        <v>62</v>
      </c>
      <c r="J5" s="28" t="s">
        <v>63</v>
      </c>
      <c r="K5" s="26" t="s">
        <v>64</v>
      </c>
    </row>
    <row r="6" ht="15" customHeight="1">
      <c r="B6" s="29" t="s">
        <v>65</v>
      </c>
      <c r="C6" s="30">
        <v>45747</v>
      </c>
      <c r="D6" s="30">
        <v>45838</v>
      </c>
      <c r="E6" s="30">
        <v>45930</v>
      </c>
      <c r="F6" s="30">
        <v>46022</v>
      </c>
      <c r="G6" s="30">
        <v>46022</v>
      </c>
      <c r="H6" s="30">
        <v>46112</v>
      </c>
      <c r="I6" s="30">
        <v>46203</v>
      </c>
      <c r="J6" s="31">
        <v>46295</v>
      </c>
      <c r="K6" s="29"/>
    </row>
    <row r="7" ht="15" customHeight="1">
      <c r="B7" s="32" t="s">
        <v>66</v>
      </c>
      <c r="C7" s="33">
        <v>90</v>
      </c>
      <c r="D7" s="33">
        <v>91</v>
      </c>
      <c r="E7" s="33">
        <v>92</v>
      </c>
      <c r="F7" s="33">
        <v>92</v>
      </c>
      <c r="G7" s="33">
        <v>365</v>
      </c>
      <c r="H7" s="33">
        <v>90</v>
      </c>
      <c r="I7" s="33">
        <v>91</v>
      </c>
      <c r="J7" s="34">
        <v>92</v>
      </c>
      <c r="K7" s="32"/>
    </row>
    <row r="9" ht="15" customHeight="1">
      <c r="B9" s="35" t="s">
        <v>445</v>
      </c>
    </row>
    <row r="10" ht="15" customHeight="1">
      <c r="B10" s="24" t="s">
        <v>311</v>
      </c>
      <c r="C10" s="9">
        <f t="shared" si="1" ref="C10:H16">C49</f>
        <v>1404</v>
      </c>
      <c r="D10" s="9">
        <f t="shared" si="0" ref="D10:I16">D49-C49</f>
        <v>-4277</v>
      </c>
      <c r="E10" s="9">
        <f t="shared" si="0"/>
        <v>3192</v>
      </c>
      <c r="F10" s="9">
        <f t="shared" si="0"/>
        <v>2134</v>
      </c>
      <c r="G10" s="9">
        <f t="shared" si="2" ref="G10:G37">SUM(C10:F10)</f>
        <v>2453</v>
      </c>
      <c r="H10" s="9">
        <f t="shared" si="1"/>
        <v>2174</v>
      </c>
      <c r="I10" s="9">
        <f t="shared" si="0"/>
        <v>3020</v>
      </c>
      <c r="J10" s="36">
        <f>'Income Statement'!J134</f>
        <v>2871.440686170455</v>
      </c>
      <c r="K10" s="40" t="s">
        <v>446</v>
      </c>
    </row>
    <row r="11" ht="15" customHeight="1">
      <c r="B11" s="24" t="s">
        <v>194</v>
      </c>
      <c r="C11" s="9">
        <f t="shared" si="1"/>
        <v>2369</v>
      </c>
      <c r="D11" s="9">
        <f t="shared" si="0"/>
        <v>11430</v>
      </c>
      <c r="E11" s="9">
        <f t="shared" si="0"/>
        <v>2714</v>
      </c>
      <c r="F11" s="9">
        <f t="shared" si="0"/>
        <v>4142</v>
      </c>
      <c r="G11" s="9">
        <f t="shared" si="2"/>
        <v>20655</v>
      </c>
      <c r="H11" s="9">
        <f t="shared" si="1"/>
        <v>4068</v>
      </c>
      <c r="I11" s="9">
        <f t="shared" si="0"/>
        <v>2989</v>
      </c>
      <c r="J11" s="36">
        <f>'Income Statement'!J85</f>
        <v>3486.8645000000006</v>
      </c>
      <c r="K11" s="40" t="s">
        <v>446</v>
      </c>
    </row>
    <row r="12" ht="15" customHeight="1">
      <c r="B12" s="24" t="s">
        <v>447</v>
      </c>
      <c r="C12" s="9">
        <f t="shared" si="1"/>
        <v>812</v>
      </c>
      <c r="D12" s="9">
        <f t="shared" si="0"/>
        <v>1011</v>
      </c>
      <c r="E12" s="9">
        <f t="shared" si="0"/>
        <v>1832</v>
      </c>
      <c r="F12" s="9">
        <f t="shared" si="0"/>
        <v>1605</v>
      </c>
      <c r="G12" s="9">
        <f t="shared" si="2"/>
        <v>5260</v>
      </c>
      <c r="H12" s="9">
        <f t="shared" si="1"/>
        <v>1510</v>
      </c>
      <c r="I12" s="9">
        <f t="shared" si="0"/>
        <v>1585</v>
      </c>
      <c r="J12" s="36">
        <f>'Income Statement'!J104+J44</f>
        <v>805</v>
      </c>
      <c r="K12" s="40" t="s">
        <v>448</v>
      </c>
    </row>
    <row r="13" ht="15" customHeight="1">
      <c r="B13" s="24" t="s">
        <v>449</v>
      </c>
      <c r="C13" s="9">
        <f t="shared" si="1"/>
        <v>262</v>
      </c>
      <c r="D13" s="9">
        <f t="shared" si="0"/>
        <v>-2524</v>
      </c>
      <c r="E13" s="9">
        <f t="shared" si="0"/>
        <v>858</v>
      </c>
      <c r="F13" s="9">
        <f t="shared" si="0"/>
        <v>-503</v>
      </c>
      <c r="G13" s="9">
        <f t="shared" si="2"/>
        <v>-1907</v>
      </c>
      <c r="H13" s="9">
        <f t="shared" si="1"/>
        <v>244</v>
      </c>
      <c r="I13" s="9">
        <f t="shared" si="0"/>
        <v>67</v>
      </c>
      <c r="J13" s="39">
        <v>0</v>
      </c>
      <c r="K13" s="40" t="s">
        <v>450</v>
      </c>
    </row>
    <row r="14" ht="15" customHeight="1">
      <c r="B14" s="24" t="s">
        <v>451</v>
      </c>
      <c r="C14" s="9">
        <f t="shared" si="1"/>
        <v>177</v>
      </c>
      <c r="D14" s="9">
        <f t="shared" si="0"/>
        <v>225</v>
      </c>
      <c r="E14" s="9">
        <f t="shared" si="0"/>
        <v>174</v>
      </c>
      <c r="F14" s="9">
        <f t="shared" si="0"/>
        <v>200</v>
      </c>
      <c r="G14" s="9">
        <f t="shared" si="2"/>
        <v>776</v>
      </c>
      <c r="H14" s="9">
        <f t="shared" si="1"/>
        <v>131</v>
      </c>
      <c r="I14" s="9">
        <f t="shared" si="0"/>
        <v>215</v>
      </c>
      <c r="J14" s="39">
        <v>170</v>
      </c>
      <c r="K14" s="40" t="s">
        <v>446</v>
      </c>
    </row>
    <row r="15" ht="15" customHeight="1">
      <c r="B15" s="24" t="s">
        <v>452</v>
      </c>
      <c r="C15" s="9">
        <f t="shared" si="1"/>
        <v>-357</v>
      </c>
      <c r="D15" s="9">
        <f t="shared" si="0"/>
        <v>201</v>
      </c>
      <c r="E15" s="9">
        <f t="shared" si="0"/>
        <v>384</v>
      </c>
      <c r="F15" s="9">
        <f t="shared" si="0"/>
        <v>253</v>
      </c>
      <c r="G15" s="9">
        <f t="shared" si="2"/>
        <v>481</v>
      </c>
      <c r="H15" s="9">
        <f t="shared" si="1"/>
        <v>-2104</v>
      </c>
      <c r="I15" s="9">
        <f t="shared" si="0"/>
        <v>568</v>
      </c>
      <c r="J15" s="36">
        <f>('Balance Sheet'!J47-'Balance Sheet'!I47-'Segment - Commercial Banking'!J128)+('Balance Sheet'!J36-'Balance Sheet'!I36)-('Balance Sheet'!J26-'Balance Sheet'!I26)-('Balance Sheet'!J29-'Balance Sheet'!I29)-('Balance Sheet'!J24-'Balance Sheet'!I24)-('Balance Sheet'!J30-'Balance Sheet'!I30)+('Balance Sheet'!J48-'Balance Sheet'!I48)</f>
        <v>0</v>
      </c>
      <c r="K15" s="40" t="s">
        <v>151</v>
      </c>
    </row>
    <row r="16" ht="15" customHeight="1">
      <c r="B16" s="4" t="s">
        <v>453</v>
      </c>
      <c r="C16" s="41">
        <f t="shared" si="1"/>
        <v>4667</v>
      </c>
      <c r="D16" s="41">
        <f t="shared" si="0"/>
        <v>6066</v>
      </c>
      <c r="E16" s="41">
        <f t="shared" si="0"/>
        <v>9154</v>
      </c>
      <c r="F16" s="41">
        <f t="shared" si="0"/>
        <v>7831</v>
      </c>
      <c r="G16" s="41">
        <f t="shared" si="2"/>
        <v>27718</v>
      </c>
      <c r="H16" s="41">
        <f t="shared" si="1"/>
        <v>6023</v>
      </c>
      <c r="I16" s="41">
        <f t="shared" si="0"/>
        <v>8444</v>
      </c>
      <c r="J16" s="42">
        <f>SUM(J10:J15)</f>
        <v>7333.305186170455</v>
      </c>
      <c r="K16" s="40" t="s">
        <v>454</v>
      </c>
    </row>
    <row r="17" ht="15" customHeight="1">
      <c r="B17" s="35" t="s">
        <v>455</v>
      </c>
    </row>
    <row r="18" ht="15" customHeight="1">
      <c r="B18" s="24" t="s">
        <v>456</v>
      </c>
      <c r="C18" s="9">
        <f t="shared" si="4" ref="C18:H27">C56</f>
        <v>-2839</v>
      </c>
      <c r="D18" s="9">
        <f t="shared" si="3" ref="D18:I27">D56-C56</f>
        <v>-3788</v>
      </c>
      <c r="E18" s="9">
        <f t="shared" si="3"/>
        <v>-5958</v>
      </c>
      <c r="F18" s="9">
        <f t="shared" si="3"/>
        <v>-5577</v>
      </c>
      <c r="G18" s="9">
        <f t="shared" si="2"/>
        <v>-18162</v>
      </c>
      <c r="H18" s="9">
        <f t="shared" si="4"/>
        <v>-5683</v>
      </c>
      <c r="I18" s="9">
        <f t="shared" si="3"/>
        <v>-4046</v>
      </c>
      <c r="J18" s="36">
        <f>-('Balance Sheet'!J14-'Balance Sheet'!I14)</f>
        <v>0</v>
      </c>
      <c r="K18" s="40" t="s">
        <v>446</v>
      </c>
    </row>
    <row r="19" ht="15" customHeight="1">
      <c r="B19" s="24" t="s">
        <v>457</v>
      </c>
      <c r="C19" s="9">
        <f t="shared" si="4"/>
        <v>3073</v>
      </c>
      <c r="D19" s="9">
        <f t="shared" si="3"/>
        <v>5837</v>
      </c>
      <c r="E19" s="9">
        <f t="shared" si="3"/>
        <v>4377</v>
      </c>
      <c r="F19" s="9">
        <f t="shared" si="3"/>
        <v>4618</v>
      </c>
      <c r="G19" s="9">
        <f t="shared" si="2"/>
        <v>17905</v>
      </c>
      <c r="H19" s="9">
        <f t="shared" si="4"/>
        <v>5789</v>
      </c>
      <c r="I19" s="9">
        <f t="shared" si="3"/>
        <v>3753</v>
      </c>
      <c r="J19" s="39">
        <v>0</v>
      </c>
      <c r="K19" s="40" t="s">
        <v>446</v>
      </c>
    </row>
    <row r="20" ht="15" customHeight="1">
      <c r="B20" s="24" t="s">
        <v>458</v>
      </c>
      <c r="C20" s="9">
        <f t="shared" si="4"/>
        <v>0</v>
      </c>
      <c r="D20" s="9">
        <f t="shared" si="3"/>
        <v>9697</v>
      </c>
      <c r="E20" s="9">
        <f t="shared" si="3"/>
        <v>0</v>
      </c>
      <c r="F20" s="9">
        <f t="shared" si="3"/>
        <v>0</v>
      </c>
      <c r="G20" s="9">
        <f t="shared" si="2"/>
        <v>9697</v>
      </c>
      <c r="H20" s="9">
        <f t="shared" si="4"/>
        <v>68</v>
      </c>
      <c r="I20" s="9">
        <f t="shared" si="3"/>
        <v>594</v>
      </c>
      <c r="J20" s="39">
        <v>0</v>
      </c>
      <c r="K20" s="40" t="s">
        <v>446</v>
      </c>
    </row>
    <row r="21" ht="15" customHeight="1">
      <c r="B21" s="24" t="s">
        <v>459</v>
      </c>
      <c r="C21" s="9">
        <f t="shared" si="4"/>
        <v>0</v>
      </c>
      <c r="D21" s="9">
        <f t="shared" si="3"/>
        <v>0</v>
      </c>
      <c r="E21" s="9">
        <f t="shared" si="3"/>
        <v>0</v>
      </c>
      <c r="F21" s="9">
        <f t="shared" si="3"/>
        <v>0</v>
      </c>
      <c r="G21" s="9">
        <f t="shared" si="2"/>
        <v>0</v>
      </c>
      <c r="H21" s="9">
        <f t="shared" si="4"/>
        <v>-1056</v>
      </c>
      <c r="I21" s="9">
        <f t="shared" si="3"/>
        <v>-1442</v>
      </c>
      <c r="J21" s="36">
        <f>-('Balance Sheet'!J15-'Balance Sheet'!I15)</f>
        <v>0</v>
      </c>
      <c r="K21" s="40" t="s">
        <v>446</v>
      </c>
    </row>
    <row r="22" ht="15" customHeight="1">
      <c r="B22" s="24" t="s">
        <v>460</v>
      </c>
      <c r="C22" s="9">
        <f t="shared" si="4"/>
        <v>0</v>
      </c>
      <c r="D22" s="9">
        <f t="shared" si="3"/>
        <v>0</v>
      </c>
      <c r="E22" s="9">
        <f t="shared" si="3"/>
        <v>0</v>
      </c>
      <c r="F22" s="9">
        <f t="shared" si="3"/>
        <v>0</v>
      </c>
      <c r="G22" s="9">
        <f t="shared" si="2"/>
        <v>0</v>
      </c>
      <c r="H22" s="9">
        <f t="shared" si="4"/>
        <v>3</v>
      </c>
      <c r="I22" s="9">
        <f t="shared" si="3"/>
        <v>31</v>
      </c>
      <c r="J22" s="39">
        <v>0</v>
      </c>
      <c r="K22" s="40" t="s">
        <v>446</v>
      </c>
    </row>
    <row r="23" ht="15" customHeight="1">
      <c r="B23" s="24" t="s">
        <v>461</v>
      </c>
      <c r="C23" s="9">
        <f t="shared" si="4"/>
        <v>1277</v>
      </c>
      <c r="D23" s="9">
        <f t="shared" si="3"/>
        <v>-10896</v>
      </c>
      <c r="E23" s="9">
        <f t="shared" si="3"/>
        <v>-7583</v>
      </c>
      <c r="F23" s="9">
        <f t="shared" si="3"/>
        <v>-14549</v>
      </c>
      <c r="G23" s="9">
        <f t="shared" si="2"/>
        <v>-31751</v>
      </c>
      <c r="H23" s="9">
        <f t="shared" si="4"/>
        <v>1699</v>
      </c>
      <c r="I23" s="9">
        <f t="shared" si="3"/>
        <v>-12182</v>
      </c>
      <c r="J23" s="36">
        <f>-(('Balance Sheet'!J19-'Balance Sheet'!I19)+'Segment - Credit Card'!J178+'Segment - Consumer Banking'!J127+'Segment - Commercial Banking'!J94)</f>
        <v>-10440.1875</v>
      </c>
      <c r="K23" s="40" t="s">
        <v>446</v>
      </c>
    </row>
    <row r="24" ht="15" customHeight="1">
      <c r="B24" s="24" t="s">
        <v>462</v>
      </c>
      <c r="C24" s="9">
        <f t="shared" si="4"/>
        <v>-348</v>
      </c>
      <c r="D24" s="9">
        <f t="shared" si="3"/>
        <v>-399</v>
      </c>
      <c r="E24" s="9">
        <f t="shared" si="3"/>
        <v>-387</v>
      </c>
      <c r="F24" s="9">
        <f t="shared" si="3"/>
        <v>-444</v>
      </c>
      <c r="G24" s="9">
        <f t="shared" si="2"/>
        <v>-1578</v>
      </c>
      <c r="H24" s="9">
        <f t="shared" si="4"/>
        <v>-553</v>
      </c>
      <c r="I24" s="9">
        <f t="shared" si="3"/>
        <v>-367</v>
      </c>
      <c r="J24" s="39">
        <v>-460</v>
      </c>
      <c r="K24" s="40" t="s">
        <v>446</v>
      </c>
    </row>
    <row r="25" ht="15" customHeight="1">
      <c r="B25" s="24" t="s">
        <v>463</v>
      </c>
      <c r="C25" s="9">
        <f t="shared" si="4"/>
        <v>0</v>
      </c>
      <c r="D25" s="9">
        <f t="shared" si="3"/>
        <v>16464</v>
      </c>
      <c r="E25" s="9">
        <f t="shared" si="3"/>
        <v>1</v>
      </c>
      <c r="F25" s="9">
        <f t="shared" si="3"/>
        <v>8800</v>
      </c>
      <c r="G25" s="9">
        <f t="shared" si="2"/>
        <v>25265</v>
      </c>
      <c r="H25" s="9">
        <f t="shared" si="4"/>
        <v>0</v>
      </c>
      <c r="I25" s="9">
        <f t="shared" si="3"/>
        <v>-2201</v>
      </c>
      <c r="J25" s="39">
        <v>0</v>
      </c>
      <c r="K25" s="40" t="s">
        <v>446</v>
      </c>
    </row>
    <row r="26" ht="15" customHeight="1">
      <c r="B26" s="24" t="s">
        <v>464</v>
      </c>
      <c r="C26" s="9">
        <f t="shared" si="4"/>
        <v>-318</v>
      </c>
      <c r="D26" s="9">
        <f t="shared" si="3"/>
        <v>-444</v>
      </c>
      <c r="E26" s="9">
        <f t="shared" si="3"/>
        <v>-401</v>
      </c>
      <c r="F26" s="9">
        <f t="shared" si="3"/>
        <v>-657</v>
      </c>
      <c r="G26" s="9">
        <f t="shared" si="2"/>
        <v>-1820</v>
      </c>
      <c r="H26" s="9">
        <f t="shared" si="4"/>
        <v>-241</v>
      </c>
      <c r="I26" s="9">
        <f t="shared" si="3"/>
        <v>-632</v>
      </c>
      <c r="J26" s="36">
        <f>-('Balance Sheet'!J27-'Balance Sheet'!I27)</f>
        <v>0</v>
      </c>
      <c r="K26" s="40" t="s">
        <v>151</v>
      </c>
    </row>
    <row r="27" ht="15" customHeight="1">
      <c r="B27" s="4" t="s">
        <v>465</v>
      </c>
      <c r="C27" s="41">
        <f t="shared" si="4"/>
        <v>845</v>
      </c>
      <c r="D27" s="41">
        <f t="shared" si="3"/>
        <v>16471</v>
      </c>
      <c r="E27" s="41">
        <f t="shared" si="3"/>
        <v>-9951</v>
      </c>
      <c r="F27" s="41">
        <f t="shared" si="3"/>
        <v>-7809</v>
      </c>
      <c r="G27" s="41">
        <f t="shared" si="2"/>
        <v>-444</v>
      </c>
      <c r="H27" s="41">
        <f t="shared" si="4"/>
        <v>26</v>
      </c>
      <c r="I27" s="41">
        <f t="shared" si="3"/>
        <v>-16492</v>
      </c>
      <c r="J27" s="42">
        <f>SUM(J18:J26)</f>
        <v>-10900.1875</v>
      </c>
      <c r="K27" s="40" t="s">
        <v>446</v>
      </c>
    </row>
    <row r="28" ht="15" customHeight="1">
      <c r="B28" s="35" t="s">
        <v>466</v>
      </c>
    </row>
    <row r="29" ht="15" customHeight="1">
      <c r="B29" s="24" t="s">
        <v>467</v>
      </c>
      <c r="C29" s="9">
        <f t="shared" si="6" ref="C29:H37">C66</f>
        <v>4678</v>
      </c>
      <c r="D29" s="9">
        <f t="shared" si="5" ref="D29:I37">D66-C66</f>
        <v>-6146</v>
      </c>
      <c r="E29" s="9">
        <f t="shared" si="5"/>
        <v>422</v>
      </c>
      <c r="F29" s="9">
        <f t="shared" si="5"/>
        <v>6977</v>
      </c>
      <c r="G29" s="9">
        <f t="shared" si="2"/>
        <v>5931</v>
      </c>
      <c r="H29" s="9">
        <f t="shared" si="6"/>
        <v>13301</v>
      </c>
      <c r="I29" s="9">
        <f t="shared" si="5"/>
        <v>-4832</v>
      </c>
      <c r="J29" s="36">
        <f>'Balance Sheet'!J39-'Balance Sheet'!I39</f>
        <v>2743</v>
      </c>
      <c r="K29" s="40" t="s">
        <v>446</v>
      </c>
    </row>
    <row r="30" ht="15" customHeight="1">
      <c r="B30" s="24" t="s">
        <v>468</v>
      </c>
      <c r="C30" s="9">
        <f t="shared" si="6"/>
        <v>1742</v>
      </c>
      <c r="D30" s="9">
        <f t="shared" si="5"/>
        <v>0</v>
      </c>
      <c r="E30" s="9">
        <f t="shared" si="5"/>
        <v>4234</v>
      </c>
      <c r="F30" s="9">
        <f t="shared" si="5"/>
        <v>2538</v>
      </c>
      <c r="G30" s="9">
        <f t="shared" si="2"/>
        <v>8514</v>
      </c>
      <c r="H30" s="9">
        <f t="shared" si="6"/>
        <v>2988</v>
      </c>
      <c r="I30" s="9">
        <f t="shared" si="5"/>
        <v>0</v>
      </c>
      <c r="J30" s="39">
        <v>1760</v>
      </c>
      <c r="K30" s="40" t="s">
        <v>446</v>
      </c>
    </row>
    <row r="31" ht="15" customHeight="1">
      <c r="B31" s="24" t="s">
        <v>469</v>
      </c>
      <c r="C31" s="9">
        <f t="shared" si="6"/>
        <v>-6073</v>
      </c>
      <c r="D31" s="9">
        <f t="shared" si="5"/>
        <v>-2935</v>
      </c>
      <c r="E31" s="9">
        <f t="shared" si="5"/>
        <v>-5396</v>
      </c>
      <c r="F31" s="9">
        <f t="shared" si="5"/>
        <v>-3452</v>
      </c>
      <c r="G31" s="9">
        <f t="shared" si="2"/>
        <v>-17856</v>
      </c>
      <c r="H31" s="9">
        <f t="shared" si="6"/>
        <v>-2481</v>
      </c>
      <c r="I31" s="9">
        <f t="shared" si="5"/>
        <v>-6379</v>
      </c>
      <c r="J31" s="39">
        <v>-1500</v>
      </c>
      <c r="K31" s="40" t="s">
        <v>446</v>
      </c>
    </row>
    <row r="32" ht="15" customHeight="1">
      <c r="B32" s="24" t="s">
        <v>470</v>
      </c>
      <c r="C32" s="9">
        <f t="shared" si="6"/>
        <v>7</v>
      </c>
      <c r="D32" s="9">
        <f t="shared" si="5"/>
        <v>166</v>
      </c>
      <c r="E32" s="9">
        <f t="shared" si="5"/>
        <v>-125</v>
      </c>
      <c r="F32" s="9">
        <f t="shared" si="5"/>
        <v>469</v>
      </c>
      <c r="G32" s="9">
        <f t="shared" si="2"/>
        <v>517</v>
      </c>
      <c r="H32" s="9">
        <f t="shared" si="6"/>
        <v>538</v>
      </c>
      <c r="I32" s="9">
        <f t="shared" si="5"/>
        <v>-935</v>
      </c>
      <c r="J32" s="36">
        <f>('Balance Sheet'!J43-'Balance Sheet'!I43)+('Balance Sheet'!J45-'Balance Sheet'!I45)+('Balance Sheet'!J42-'Balance Sheet'!I42)</f>
        <v>0</v>
      </c>
      <c r="K32" s="40" t="s">
        <v>446</v>
      </c>
    </row>
    <row r="33" ht="15" customHeight="1">
      <c r="B33" s="24" t="s">
        <v>471</v>
      </c>
      <c r="C33" s="9">
        <f t="shared" si="6"/>
        <v>-234</v>
      </c>
      <c r="D33" s="9">
        <f t="shared" si="5"/>
        <v>-388</v>
      </c>
      <c r="E33" s="9">
        <f t="shared" si="5"/>
        <v>-386</v>
      </c>
      <c r="F33" s="9">
        <f t="shared" si="5"/>
        <v>-508</v>
      </c>
      <c r="G33" s="9">
        <f t="shared" si="2"/>
        <v>-1516</v>
      </c>
      <c r="H33" s="9">
        <f t="shared" si="6"/>
        <v>-502</v>
      </c>
      <c r="I33" s="9">
        <f t="shared" si="5"/>
        <v>-500</v>
      </c>
      <c r="J33" s="36">
        <f>-'Share Count'!J43</f>
        <v>-486.03999999999996</v>
      </c>
      <c r="K33" s="40" t="s">
        <v>446</v>
      </c>
    </row>
    <row r="34" ht="15" customHeight="1">
      <c r="B34" s="24" t="s">
        <v>472</v>
      </c>
      <c r="C34" s="9">
        <f t="shared" si="6"/>
        <v>-57</v>
      </c>
      <c r="D34" s="9">
        <f t="shared" si="5"/>
        <v>-65</v>
      </c>
      <c r="E34" s="9">
        <f t="shared" si="5"/>
        <v>-57</v>
      </c>
      <c r="F34" s="9">
        <f t="shared" si="5"/>
        <v>-73</v>
      </c>
      <c r="G34" s="9">
        <f t="shared" si="2"/>
        <v>-252</v>
      </c>
      <c r="H34" s="9">
        <f t="shared" si="6"/>
        <v>-57</v>
      </c>
      <c r="I34" s="9">
        <f t="shared" si="5"/>
        <v>-73</v>
      </c>
      <c r="J34" s="36">
        <f>'Income Statement'!J143</f>
        <v>-73</v>
      </c>
      <c r="K34" s="40" t="s">
        <v>473</v>
      </c>
    </row>
    <row r="35" ht="15" customHeight="1">
      <c r="B35" s="24" t="s">
        <v>474</v>
      </c>
      <c r="C35" s="9">
        <f t="shared" si="6"/>
        <v>-375</v>
      </c>
      <c r="D35" s="9">
        <f t="shared" si="5"/>
        <v>-167</v>
      </c>
      <c r="E35" s="9">
        <f t="shared" si="5"/>
        <v>-1037</v>
      </c>
      <c r="F35" s="9">
        <f t="shared" si="5"/>
        <v>-2520</v>
      </c>
      <c r="G35" s="9">
        <f t="shared" si="2"/>
        <v>-4099</v>
      </c>
      <c r="H35" s="9">
        <f t="shared" si="6"/>
        <v>-2793</v>
      </c>
      <c r="I35" s="9">
        <f t="shared" si="5"/>
        <v>-2747</v>
      </c>
      <c r="J35" s="36">
        <f>-'Share Count'!J14</f>
        <v>-2500</v>
      </c>
      <c r="K35" s="40" t="s">
        <v>446</v>
      </c>
    </row>
    <row r="36" ht="15" customHeight="1">
      <c r="B36" s="24" t="s">
        <v>475</v>
      </c>
      <c r="C36" s="9">
        <f t="shared" si="6"/>
        <v>94</v>
      </c>
      <c r="D36" s="9">
        <f t="shared" si="5"/>
        <v>-389</v>
      </c>
      <c r="E36" s="9">
        <f t="shared" si="5"/>
        <v>91</v>
      </c>
      <c r="F36" s="9">
        <f t="shared" si="5"/>
        <v>113</v>
      </c>
      <c r="G36" s="9">
        <f t="shared" si="2"/>
        <v>-91</v>
      </c>
      <c r="H36" s="9">
        <f t="shared" si="6"/>
        <v>120</v>
      </c>
      <c r="I36" s="9">
        <f t="shared" si="5"/>
        <v>139</v>
      </c>
      <c r="J36" s="39">
        <v>0</v>
      </c>
      <c r="K36" s="40" t="s">
        <v>151</v>
      </c>
    </row>
    <row r="37" ht="15" customHeight="1">
      <c r="B37" s="4" t="s">
        <v>476</v>
      </c>
      <c r="C37" s="41">
        <f t="shared" si="6"/>
        <v>-218</v>
      </c>
      <c r="D37" s="41">
        <f t="shared" si="5"/>
        <v>-9924</v>
      </c>
      <c r="E37" s="41">
        <f t="shared" si="5"/>
        <v>-2254</v>
      </c>
      <c r="F37" s="41">
        <f t="shared" si="5"/>
        <v>3544</v>
      </c>
      <c r="G37" s="41">
        <f t="shared" si="2"/>
        <v>-8852</v>
      </c>
      <c r="H37" s="41">
        <f t="shared" si="6"/>
        <v>11114</v>
      </c>
      <c r="I37" s="41">
        <f t="shared" si="5"/>
        <v>-15327</v>
      </c>
      <c r="J37" s="42">
        <f>SUM(J29:J36)</f>
        <v>-56.039999999999964</v>
      </c>
      <c r="K37" s="40" t="s">
        <v>446</v>
      </c>
    </row>
    <row r="38" ht="15" customHeight="1">
      <c r="B38" s="4" t="s">
        <v>477</v>
      </c>
      <c r="C38" s="41">
        <f t="shared" si="7" ref="C38:J38">C16+C27+C37</f>
        <v>5294</v>
      </c>
      <c r="D38" s="41">
        <f t="shared" si="7"/>
        <v>12613</v>
      </c>
      <c r="E38" s="41">
        <f t="shared" si="7"/>
        <v>-3051</v>
      </c>
      <c r="F38" s="41">
        <f t="shared" si="7"/>
        <v>3566</v>
      </c>
      <c r="G38" s="41">
        <f t="shared" si="7"/>
        <v>18422</v>
      </c>
      <c r="H38" s="41">
        <f t="shared" si="7"/>
        <v>17163</v>
      </c>
      <c r="I38" s="41">
        <f t="shared" si="7"/>
        <v>-23375</v>
      </c>
      <c r="J38" s="42">
        <f t="shared" si="7"/>
        <v>-3622.9223138295447</v>
      </c>
    </row>
    <row r="39" ht="15" customHeight="1">
      <c r="B39" s="24" t="s">
        <v>478</v>
      </c>
      <c r="C39" s="12">
        <v>43671</v>
      </c>
      <c r="D39" s="9">
        <f t="shared" si="8" ref="D39:J39">C40</f>
        <v>48965</v>
      </c>
      <c r="E39" s="9">
        <f t="shared" si="8"/>
        <v>61578</v>
      </c>
      <c r="F39" s="9">
        <f t="shared" si="8"/>
        <v>58527</v>
      </c>
      <c r="G39" s="9">
        <f>C39</f>
        <v>43671</v>
      </c>
      <c r="H39" s="9">
        <f>F40</f>
        <v>62093</v>
      </c>
      <c r="I39" s="9">
        <f t="shared" si="8"/>
        <v>79256</v>
      </c>
      <c r="J39" s="54">
        <f t="shared" si="8"/>
        <v>55881</v>
      </c>
      <c r="K39" s="40" t="s">
        <v>479</v>
      </c>
    </row>
    <row r="40" ht="15" customHeight="1">
      <c r="B40" s="4" t="s">
        <v>480</v>
      </c>
      <c r="C40" s="41">
        <f t="shared" si="9" ref="C40:J40">C39+C38</f>
        <v>48965</v>
      </c>
      <c r="D40" s="41">
        <f t="shared" si="9"/>
        <v>61578</v>
      </c>
      <c r="E40" s="41">
        <f t="shared" si="9"/>
        <v>58527</v>
      </c>
      <c r="F40" s="41">
        <f t="shared" si="9"/>
        <v>62093</v>
      </c>
      <c r="G40" s="41">
        <f t="shared" si="9"/>
        <v>62093</v>
      </c>
      <c r="H40" s="41">
        <f t="shared" si="9"/>
        <v>79256</v>
      </c>
      <c r="I40" s="41">
        <f t="shared" si="9"/>
        <v>55881</v>
      </c>
      <c r="J40" s="42">
        <f t="shared" si="9"/>
        <v>52258.07768617046</v>
      </c>
    </row>
    <row r="41" ht="15" customHeight="1">
      <c r="B41" s="24" t="s">
        <v>481</v>
      </c>
      <c r="C41" s="8">
        <f>'Balance Sheet'!C12+'Balance Sheet'!C13</f>
        <v>48965</v>
      </c>
      <c r="D41" s="8">
        <f>'Balance Sheet'!D12+'Balance Sheet'!D13</f>
        <v>61578</v>
      </c>
      <c r="E41" s="8">
        <f>'Balance Sheet'!E12+'Balance Sheet'!E13</f>
        <v>58527</v>
      </c>
      <c r="F41" s="8">
        <f>'Balance Sheet'!F12+'Balance Sheet'!F13</f>
        <v>62093</v>
      </c>
      <c r="G41" s="8">
        <f>'Balance Sheet'!G12+'Balance Sheet'!G13</f>
        <v>62093</v>
      </c>
      <c r="H41" s="8">
        <f>'Balance Sheet'!H12+'Balance Sheet'!H13</f>
        <v>79256</v>
      </c>
      <c r="I41" s="8">
        <f>'Balance Sheet'!I12+'Balance Sheet'!I13</f>
        <v>55881</v>
      </c>
      <c r="J41" s="36">
        <f>'Balance Sheet'!J12+'Balance Sheet'!J13</f>
        <v>52258.077686170465</v>
      </c>
    </row>
    <row r="42" ht="15" customHeight="1">
      <c r="B42" s="43" t="s">
        <v>482</v>
      </c>
      <c r="C42" s="50">
        <f t="shared" si="10" ref="C42:J42">C40-C41</f>
        <v>0</v>
      </c>
      <c r="D42" s="50">
        <f t="shared" si="10"/>
        <v>0</v>
      </c>
      <c r="E42" s="50">
        <f t="shared" si="10"/>
        <v>0</v>
      </c>
      <c r="F42" s="50">
        <f t="shared" si="10"/>
        <v>0</v>
      </c>
      <c r="G42" s="50">
        <f t="shared" si="10"/>
        <v>0</v>
      </c>
      <c r="H42" s="50">
        <f t="shared" si="10"/>
        <v>0</v>
      </c>
      <c r="I42" s="50">
        <f t="shared" si="10"/>
        <v>0</v>
      </c>
      <c r="J42" s="51">
        <f t="shared" si="10"/>
        <v>0</v>
      </c>
      <c r="K42" s="44" t="s">
        <v>483</v>
      </c>
    </row>
    <row r="43" ht="15" customHeight="1">
      <c r="B43" s="35" t="s">
        <v>484</v>
      </c>
    </row>
    <row r="44" ht="15" customHeight="1">
      <c r="B44" s="24" t="s">
        <v>485</v>
      </c>
      <c r="J44" s="39">
        <v>300</v>
      </c>
      <c r="K44" s="40" t="s">
        <v>129</v>
      </c>
    </row>
    <row r="45" ht="15" customHeight="1">
      <c r="B45" s="24" t="s">
        <v>486</v>
      </c>
      <c r="C45" s="9" t="str">
        <f t="shared" si="11" ref="C45:J45">"n/a"</f>
        <v>n/a</v>
      </c>
      <c r="D45" s="9" t="str">
        <f t="shared" si="11"/>
        <v>n/a</v>
      </c>
      <c r="E45" s="9" t="str">
        <f t="shared" si="11"/>
        <v>n/a</v>
      </c>
      <c r="F45" s="9" t="str">
        <f t="shared" si="11"/>
        <v>n/a</v>
      </c>
      <c r="G45" s="9" t="str">
        <f t="shared" si="11"/>
        <v>n/a</v>
      </c>
      <c r="H45" s="9" t="str">
        <f t="shared" si="11"/>
        <v>n/a</v>
      </c>
      <c r="I45" s="9" t="str">
        <f t="shared" si="11"/>
        <v>n/a</v>
      </c>
      <c r="J45" s="54" t="str">
        <f t="shared" si="11"/>
        <v>n/a</v>
      </c>
      <c r="K45" s="44" t="s">
        <v>487</v>
      </c>
    </row>
    <row r="46" ht="15" customHeight="1">
      <c r="B46" s="43" t="s">
        <v>488</v>
      </c>
      <c r="C46" s="50">
        <f t="shared" si="12" ref="C46:J46">C16+C24</f>
        <v>4319</v>
      </c>
      <c r="D46" s="50">
        <f t="shared" si="12"/>
        <v>5667</v>
      </c>
      <c r="E46" s="50">
        <f t="shared" si="12"/>
        <v>8767</v>
      </c>
      <c r="F46" s="50">
        <f t="shared" si="12"/>
        <v>7387</v>
      </c>
      <c r="G46" s="50">
        <f t="shared" si="12"/>
        <v>26140</v>
      </c>
      <c r="H46" s="50">
        <f t="shared" si="12"/>
        <v>5470</v>
      </c>
      <c r="I46" s="50">
        <f t="shared" si="12"/>
        <v>8077</v>
      </c>
      <c r="J46" s="51">
        <f t="shared" si="12"/>
        <v>6873.305186170455</v>
      </c>
    </row>
    <row r="47" ht="15" customHeight="1">
      <c r="B47" s="35" t="s">
        <v>489</v>
      </c>
    </row>
    <row r="48" ht="15" customHeight="1">
      <c r="B48" s="71" t="s">
        <v>490</v>
      </c>
      <c r="J48" s="52"/>
    </row>
    <row r="49" ht="15" customHeight="1">
      <c r="B49" s="24" t="s">
        <v>491</v>
      </c>
      <c r="C49" s="8">
        <f>'Income Statement'!C134</f>
        <v>1404</v>
      </c>
      <c r="D49" s="8">
        <f>'Income Statement'!C134+'Income Statement'!D134</f>
        <v>-2873</v>
      </c>
      <c r="E49" s="8">
        <f>'Income Statement'!C134+'Income Statement'!D134+'Income Statement'!E134</f>
        <v>319</v>
      </c>
      <c r="F49" s="8">
        <f>'Income Statement'!G134</f>
        <v>2453</v>
      </c>
      <c r="G49" s="9" t="s">
        <v>31</v>
      </c>
      <c r="H49" s="8">
        <f>'Income Statement'!H134</f>
        <v>2174</v>
      </c>
      <c r="I49" s="8">
        <f>'Income Statement'!H134+'Income Statement'!I134</f>
        <v>5194</v>
      </c>
      <c r="J49" s="54">
        <f t="shared" si="13" ref="J49:J55">I49+J10</f>
        <v>8065.440686170456</v>
      </c>
      <c r="K49" s="40" t="s">
        <v>492</v>
      </c>
    </row>
    <row r="50" ht="15" customHeight="1">
      <c r="B50" s="24" t="s">
        <v>493</v>
      </c>
      <c r="C50" s="8">
        <f>'Income Statement'!C85</f>
        <v>2369</v>
      </c>
      <c r="D50" s="8">
        <f>'Income Statement'!C85+'Income Statement'!D85</f>
        <v>13799</v>
      </c>
      <c r="E50" s="8">
        <f>'Income Statement'!C85+'Income Statement'!D85+'Income Statement'!E85</f>
        <v>16513</v>
      </c>
      <c r="F50" s="8">
        <f>'Income Statement'!G85</f>
        <v>20655</v>
      </c>
      <c r="G50" s="9" t="s">
        <v>31</v>
      </c>
      <c r="H50" s="8">
        <f>'Income Statement'!H85</f>
        <v>4068</v>
      </c>
      <c r="I50" s="8">
        <f>'Income Statement'!H85+'Income Statement'!I85</f>
        <v>7057</v>
      </c>
      <c r="J50" s="54">
        <f t="shared" si="13"/>
        <v>10543.8645</v>
      </c>
      <c r="K50" s="40" t="s">
        <v>492</v>
      </c>
    </row>
    <row r="51" ht="15" customHeight="1">
      <c r="B51" s="24" t="s">
        <v>494</v>
      </c>
      <c r="C51" s="12">
        <v>812</v>
      </c>
      <c r="D51" s="12">
        <v>1823</v>
      </c>
      <c r="E51" s="12">
        <v>3655</v>
      </c>
      <c r="F51" s="12">
        <v>5260</v>
      </c>
      <c r="G51" s="9" t="s">
        <v>31</v>
      </c>
      <c r="H51" s="12">
        <v>1510</v>
      </c>
      <c r="I51" s="12">
        <v>3095</v>
      </c>
      <c r="J51" s="54">
        <f t="shared" si="13"/>
        <v>3900</v>
      </c>
      <c r="K51" s="40" t="s">
        <v>495</v>
      </c>
    </row>
    <row r="52" ht="15" customHeight="1">
      <c r="B52" s="24" t="s">
        <v>496</v>
      </c>
      <c r="C52" s="12">
        <v>262</v>
      </c>
      <c r="D52" s="12">
        <v>-2262</v>
      </c>
      <c r="E52" s="12">
        <v>-1404</v>
      </c>
      <c r="F52" s="12">
        <v>-1907</v>
      </c>
      <c r="G52" s="9" t="s">
        <v>31</v>
      </c>
      <c r="H52" s="12">
        <v>244</v>
      </c>
      <c r="I52" s="12">
        <v>311</v>
      </c>
      <c r="J52" s="54">
        <f t="shared" si="13"/>
        <v>311</v>
      </c>
      <c r="K52" s="40" t="s">
        <v>495</v>
      </c>
    </row>
    <row r="53" ht="15" customHeight="1">
      <c r="B53" s="24" t="s">
        <v>497</v>
      </c>
      <c r="C53" s="12">
        <v>177</v>
      </c>
      <c r="D53" s="12">
        <v>402</v>
      </c>
      <c r="E53" s="12">
        <v>576</v>
      </c>
      <c r="F53" s="12">
        <v>776</v>
      </c>
      <c r="G53" s="9" t="s">
        <v>31</v>
      </c>
      <c r="H53" s="12">
        <v>131</v>
      </c>
      <c r="I53" s="12">
        <v>346</v>
      </c>
      <c r="J53" s="54">
        <f t="shared" si="13"/>
        <v>516</v>
      </c>
      <c r="K53" s="40" t="s">
        <v>495</v>
      </c>
    </row>
    <row r="54" ht="15" customHeight="1">
      <c r="B54" s="24" t="s">
        <v>498</v>
      </c>
      <c r="C54" s="9">
        <f t="shared" si="14" ref="C54:I54">C55-(C49+C50+C51+C52+C53)</f>
        <v>-357</v>
      </c>
      <c r="D54" s="9">
        <f t="shared" si="14"/>
        <v>-156</v>
      </c>
      <c r="E54" s="9">
        <f t="shared" si="14"/>
        <v>228</v>
      </c>
      <c r="F54" s="9">
        <f t="shared" si="14"/>
        <v>481</v>
      </c>
      <c r="G54" s="9" t="s">
        <v>31</v>
      </c>
      <c r="H54" s="9">
        <f t="shared" si="14"/>
        <v>-2104</v>
      </c>
      <c r="I54" s="9">
        <f t="shared" si="14"/>
        <v>-1536</v>
      </c>
      <c r="J54" s="54">
        <f t="shared" si="13"/>
        <v>-1536</v>
      </c>
      <c r="K54" s="40" t="s">
        <v>151</v>
      </c>
    </row>
    <row r="55" ht="15" customHeight="1">
      <c r="B55" s="4" t="s">
        <v>499</v>
      </c>
      <c r="C55" s="60">
        <v>4667</v>
      </c>
      <c r="D55" s="60">
        <v>10733</v>
      </c>
      <c r="E55" s="60">
        <v>19887</v>
      </c>
      <c r="F55" s="60">
        <v>27718</v>
      </c>
      <c r="G55" s="41" t="s">
        <v>31</v>
      </c>
      <c r="H55" s="60">
        <v>6023</v>
      </c>
      <c r="I55" s="60">
        <v>14467</v>
      </c>
      <c r="J55" s="42">
        <f t="shared" si="13"/>
        <v>21800.305186170455</v>
      </c>
      <c r="K55" s="40" t="s">
        <v>495</v>
      </c>
    </row>
    <row r="56" ht="15" customHeight="1">
      <c r="B56" s="24" t="s">
        <v>500</v>
      </c>
      <c r="C56" s="12">
        <v>-2839</v>
      </c>
      <c r="D56" s="12">
        <v>-6627</v>
      </c>
      <c r="E56" s="12">
        <v>-12585</v>
      </c>
      <c r="F56" s="12">
        <v>-18162</v>
      </c>
      <c r="G56" s="9" t="s">
        <v>31</v>
      </c>
      <c r="H56" s="12">
        <v>-5683</v>
      </c>
      <c r="I56" s="12">
        <v>-9729</v>
      </c>
      <c r="J56" s="54">
        <f t="shared" si="15" ref="J56:J65">I56+J18</f>
        <v>-9729</v>
      </c>
      <c r="K56" s="40" t="s">
        <v>495</v>
      </c>
    </row>
    <row r="57" ht="15" customHeight="1">
      <c r="B57" s="24" t="s">
        <v>501</v>
      </c>
      <c r="C57" s="12">
        <v>3073</v>
      </c>
      <c r="D57" s="12">
        <v>8910</v>
      </c>
      <c r="E57" s="12">
        <v>13287</v>
      </c>
      <c r="F57" s="12">
        <v>17905</v>
      </c>
      <c r="G57" s="9" t="s">
        <v>31</v>
      </c>
      <c r="H57" s="12">
        <v>5789</v>
      </c>
      <c r="I57" s="12">
        <v>9542</v>
      </c>
      <c r="J57" s="54">
        <f t="shared" si="15"/>
        <v>9542</v>
      </c>
      <c r="K57" s="40" t="s">
        <v>495</v>
      </c>
    </row>
    <row r="58" ht="15" customHeight="1">
      <c r="B58" s="24" t="s">
        <v>502</v>
      </c>
      <c r="C58" s="12">
        <v>0</v>
      </c>
      <c r="D58" s="12">
        <v>9697</v>
      </c>
      <c r="E58" s="12">
        <v>9697</v>
      </c>
      <c r="F58" s="12">
        <v>9697</v>
      </c>
      <c r="G58" s="9" t="s">
        <v>31</v>
      </c>
      <c r="H58" s="12">
        <v>68</v>
      </c>
      <c r="I58" s="12">
        <v>662</v>
      </c>
      <c r="J58" s="54">
        <f t="shared" si="15"/>
        <v>662</v>
      </c>
      <c r="K58" s="40" t="s">
        <v>495</v>
      </c>
    </row>
    <row r="59" ht="15" customHeight="1">
      <c r="B59" s="24" t="s">
        <v>503</v>
      </c>
      <c r="C59" s="12">
        <v>0</v>
      </c>
      <c r="D59" s="12">
        <v>0</v>
      </c>
      <c r="E59" s="12">
        <v>0</v>
      </c>
      <c r="F59" s="12">
        <v>0</v>
      </c>
      <c r="G59" s="9" t="s">
        <v>31</v>
      </c>
      <c r="H59" s="12">
        <v>-1056</v>
      </c>
      <c r="I59" s="12">
        <v>-2498</v>
      </c>
      <c r="J59" s="54">
        <f t="shared" si="15"/>
        <v>-2498</v>
      </c>
      <c r="K59" s="40" t="s">
        <v>495</v>
      </c>
    </row>
    <row r="60" ht="15" customHeight="1">
      <c r="B60" s="24" t="s">
        <v>504</v>
      </c>
      <c r="C60" s="12">
        <v>0</v>
      </c>
      <c r="D60" s="12">
        <v>0</v>
      </c>
      <c r="E60" s="12">
        <v>0</v>
      </c>
      <c r="F60" s="12">
        <v>0</v>
      </c>
      <c r="G60" s="9" t="s">
        <v>31</v>
      </c>
      <c r="H60" s="12">
        <v>3</v>
      </c>
      <c r="I60" s="12">
        <v>34</v>
      </c>
      <c r="J60" s="54">
        <f t="shared" si="15"/>
        <v>34</v>
      </c>
      <c r="K60" s="40" t="s">
        <v>495</v>
      </c>
    </row>
    <row r="61" ht="15" customHeight="1">
      <c r="B61" s="24" t="s">
        <v>505</v>
      </c>
      <c r="C61" s="12">
        <v>1277</v>
      </c>
      <c r="D61" s="12">
        <v>-9619</v>
      </c>
      <c r="E61" s="12">
        <v>-17202</v>
      </c>
      <c r="F61" s="12">
        <v>-31751</v>
      </c>
      <c r="G61" s="9" t="s">
        <v>31</v>
      </c>
      <c r="H61" s="12">
        <v>1699</v>
      </c>
      <c r="I61" s="12">
        <v>-10483</v>
      </c>
      <c r="J61" s="54">
        <f t="shared" si="15"/>
        <v>-20923.1875</v>
      </c>
      <c r="K61" s="40" t="s">
        <v>495</v>
      </c>
    </row>
    <row r="62" ht="15" customHeight="1">
      <c r="B62" s="24" t="s">
        <v>506</v>
      </c>
      <c r="C62" s="12">
        <v>-348</v>
      </c>
      <c r="D62" s="12">
        <v>-747</v>
      </c>
      <c r="E62" s="12">
        <v>-1134</v>
      </c>
      <c r="F62" s="12">
        <v>-1578</v>
      </c>
      <c r="G62" s="9" t="s">
        <v>31</v>
      </c>
      <c r="H62" s="12">
        <v>-553</v>
      </c>
      <c r="I62" s="12">
        <v>-920</v>
      </c>
      <c r="J62" s="54">
        <f t="shared" si="15"/>
        <v>-1380</v>
      </c>
      <c r="K62" s="40" t="s">
        <v>495</v>
      </c>
    </row>
    <row r="63" ht="15" customHeight="1">
      <c r="B63" s="24" t="s">
        <v>507</v>
      </c>
      <c r="C63" s="12">
        <v>0</v>
      </c>
      <c r="D63" s="12">
        <v>16464</v>
      </c>
      <c r="E63" s="12">
        <v>16465</v>
      </c>
      <c r="F63" s="12">
        <v>25265</v>
      </c>
      <c r="G63" s="9" t="s">
        <v>31</v>
      </c>
      <c r="H63" s="12">
        <v>0</v>
      </c>
      <c r="I63" s="12">
        <v>-2201</v>
      </c>
      <c r="J63" s="54">
        <f t="shared" si="15"/>
        <v>-2201</v>
      </c>
      <c r="K63" s="40" t="s">
        <v>495</v>
      </c>
    </row>
    <row r="64" ht="15" customHeight="1">
      <c r="B64" s="24" t="s">
        <v>508</v>
      </c>
      <c r="C64" s="9">
        <f t="shared" si="16" ref="C64:I64">C65-(C56+C57+C58+C59+C60+C61+C62+C63)</f>
        <v>-318</v>
      </c>
      <c r="D64" s="9">
        <f t="shared" si="16"/>
        <v>-762</v>
      </c>
      <c r="E64" s="9">
        <f t="shared" si="16"/>
        <v>-1163</v>
      </c>
      <c r="F64" s="9">
        <f t="shared" si="16"/>
        <v>-1820</v>
      </c>
      <c r="G64" s="9" t="s">
        <v>31</v>
      </c>
      <c r="H64" s="9">
        <f t="shared" si="16"/>
        <v>-241</v>
      </c>
      <c r="I64" s="9">
        <f t="shared" si="16"/>
        <v>-873</v>
      </c>
      <c r="J64" s="54">
        <f t="shared" si="15"/>
        <v>-873</v>
      </c>
      <c r="K64" s="40" t="s">
        <v>151</v>
      </c>
    </row>
    <row r="65" ht="15" customHeight="1">
      <c r="B65" s="4" t="s">
        <v>509</v>
      </c>
      <c r="C65" s="60">
        <v>845</v>
      </c>
      <c r="D65" s="60">
        <v>17316</v>
      </c>
      <c r="E65" s="60">
        <v>7365</v>
      </c>
      <c r="F65" s="60">
        <v>-444</v>
      </c>
      <c r="G65" s="41" t="s">
        <v>31</v>
      </c>
      <c r="H65" s="60">
        <v>26</v>
      </c>
      <c r="I65" s="60">
        <v>-16466</v>
      </c>
      <c r="J65" s="42">
        <f t="shared" si="15"/>
        <v>-27366.1875</v>
      </c>
      <c r="K65" s="40" t="s">
        <v>495</v>
      </c>
    </row>
    <row r="66" ht="15" customHeight="1">
      <c r="B66" s="24" t="s">
        <v>510</v>
      </c>
      <c r="C66" s="12">
        <v>4678</v>
      </c>
      <c r="D66" s="12">
        <v>-1468</v>
      </c>
      <c r="E66" s="12">
        <v>-1046</v>
      </c>
      <c r="F66" s="12">
        <v>5931</v>
      </c>
      <c r="G66" s="9" t="s">
        <v>31</v>
      </c>
      <c r="H66" s="12">
        <v>13301</v>
      </c>
      <c r="I66" s="12">
        <v>8469</v>
      </c>
      <c r="J66" s="54">
        <f t="shared" si="17" ref="J66:J74">I66+J29</f>
        <v>11212</v>
      </c>
      <c r="K66" s="40" t="s">
        <v>495</v>
      </c>
    </row>
    <row r="67" ht="15" customHeight="1">
      <c r="B67" s="24" t="s">
        <v>511</v>
      </c>
      <c r="C67" s="12">
        <v>1742</v>
      </c>
      <c r="D67" s="12">
        <v>1742</v>
      </c>
      <c r="E67" s="12">
        <v>5976</v>
      </c>
      <c r="F67" s="12">
        <v>8514</v>
      </c>
      <c r="G67" s="9" t="s">
        <v>31</v>
      </c>
      <c r="H67" s="12">
        <v>2988</v>
      </c>
      <c r="I67" s="12">
        <v>2988</v>
      </c>
      <c r="J67" s="54">
        <f t="shared" si="17"/>
        <v>4748</v>
      </c>
      <c r="K67" s="40" t="s">
        <v>495</v>
      </c>
    </row>
    <row r="68" ht="15" customHeight="1">
      <c r="B68" s="24" t="s">
        <v>512</v>
      </c>
      <c r="C68" s="12">
        <v>-6073</v>
      </c>
      <c r="D68" s="12">
        <v>-9008</v>
      </c>
      <c r="E68" s="12">
        <v>-14404</v>
      </c>
      <c r="F68" s="12">
        <v>-17856</v>
      </c>
      <c r="G68" s="9" t="s">
        <v>31</v>
      </c>
      <c r="H68" s="12">
        <v>-2481</v>
      </c>
      <c r="I68" s="12">
        <v>-8860</v>
      </c>
      <c r="J68" s="54">
        <f t="shared" si="17"/>
        <v>-10360</v>
      </c>
      <c r="K68" s="40" t="s">
        <v>495</v>
      </c>
    </row>
    <row r="69" ht="15" customHeight="1">
      <c r="B69" s="24" t="s">
        <v>513</v>
      </c>
      <c r="C69" s="12">
        <v>7</v>
      </c>
      <c r="D69" s="12">
        <v>173</v>
      </c>
      <c r="E69" s="12">
        <v>48</v>
      </c>
      <c r="F69" s="12">
        <v>517</v>
      </c>
      <c r="G69" s="9" t="s">
        <v>31</v>
      </c>
      <c r="H69" s="12">
        <v>538</v>
      </c>
      <c r="I69" s="12">
        <v>-397</v>
      </c>
      <c r="J69" s="54">
        <f t="shared" si="17"/>
        <v>-397</v>
      </c>
      <c r="K69" s="40" t="s">
        <v>495</v>
      </c>
    </row>
    <row r="70" ht="15" customHeight="1">
      <c r="B70" s="24" t="s">
        <v>514</v>
      </c>
      <c r="C70" s="12">
        <v>-234</v>
      </c>
      <c r="D70" s="12">
        <v>-622</v>
      </c>
      <c r="E70" s="12">
        <v>-1008</v>
      </c>
      <c r="F70" s="12">
        <v>-1516</v>
      </c>
      <c r="G70" s="9" t="s">
        <v>31</v>
      </c>
      <c r="H70" s="12">
        <v>-502</v>
      </c>
      <c r="I70" s="12">
        <v>-1002</v>
      </c>
      <c r="J70" s="54">
        <f t="shared" si="17"/>
        <v>-1488.04</v>
      </c>
      <c r="K70" s="40" t="s">
        <v>495</v>
      </c>
    </row>
    <row r="71" ht="15" customHeight="1">
      <c r="B71" s="24" t="s">
        <v>515</v>
      </c>
      <c r="C71" s="12">
        <v>-57</v>
      </c>
      <c r="D71" s="12">
        <v>-122</v>
      </c>
      <c r="E71" s="12">
        <v>-179</v>
      </c>
      <c r="F71" s="12">
        <v>-252</v>
      </c>
      <c r="G71" s="9" t="s">
        <v>31</v>
      </c>
      <c r="H71" s="12">
        <v>-57</v>
      </c>
      <c r="I71" s="12">
        <v>-130</v>
      </c>
      <c r="J71" s="54">
        <f t="shared" si="17"/>
        <v>-203</v>
      </c>
      <c r="K71" s="40" t="s">
        <v>495</v>
      </c>
    </row>
    <row r="72" ht="15" customHeight="1">
      <c r="B72" s="24" t="s">
        <v>516</v>
      </c>
      <c r="C72" s="12">
        <v>-375</v>
      </c>
      <c r="D72" s="12">
        <v>-542</v>
      </c>
      <c r="E72" s="12">
        <v>-1579</v>
      </c>
      <c r="F72" s="12">
        <v>-4099</v>
      </c>
      <c r="G72" s="9" t="s">
        <v>31</v>
      </c>
      <c r="H72" s="12">
        <v>-2793</v>
      </c>
      <c r="I72" s="12">
        <v>-5540</v>
      </c>
      <c r="J72" s="54">
        <f t="shared" si="17"/>
        <v>-8040</v>
      </c>
      <c r="K72" s="40" t="s">
        <v>495</v>
      </c>
    </row>
    <row r="73" ht="15" customHeight="1">
      <c r="B73" s="24" t="s">
        <v>517</v>
      </c>
      <c r="C73" s="9">
        <f t="shared" si="18" ref="C73:I73">C74-(C66+C67+C68+C69+C70+C71+C72)</f>
        <v>94</v>
      </c>
      <c r="D73" s="9">
        <f t="shared" si="18"/>
        <v>-295</v>
      </c>
      <c r="E73" s="9">
        <f t="shared" si="18"/>
        <v>-204</v>
      </c>
      <c r="F73" s="9">
        <f t="shared" si="18"/>
        <v>-91</v>
      </c>
      <c r="G73" s="9" t="s">
        <v>31</v>
      </c>
      <c r="H73" s="9">
        <f t="shared" si="18"/>
        <v>120</v>
      </c>
      <c r="I73" s="9">
        <f t="shared" si="18"/>
        <v>259</v>
      </c>
      <c r="J73" s="54">
        <f t="shared" si="17"/>
        <v>259</v>
      </c>
      <c r="K73" s="40" t="s">
        <v>151</v>
      </c>
    </row>
    <row r="74" ht="15" customHeight="1">
      <c r="B74" s="4" t="s">
        <v>518</v>
      </c>
      <c r="C74" s="60">
        <v>-218</v>
      </c>
      <c r="D74" s="60">
        <v>-10142</v>
      </c>
      <c r="E74" s="60">
        <v>-12396</v>
      </c>
      <c r="F74" s="60">
        <v>-8852</v>
      </c>
      <c r="G74" s="41" t="s">
        <v>31</v>
      </c>
      <c r="H74" s="60">
        <v>11114</v>
      </c>
      <c r="I74" s="60">
        <v>-4213</v>
      </c>
      <c r="J74" s="42">
        <f t="shared" si="17"/>
        <v>-4269.04</v>
      </c>
      <c r="K74" s="40" t="s">
        <v>495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E56E148-5DF2-B128-F28F-398CAB87238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10" width="12.00390625" customWidth="1"/>
    <col min="11" max="11" width="16.00390625" customWidth="1"/>
  </cols>
  <sheetData>
    <row r="1" ht="15" customHeight="1">
      <c r="B1" s="1" t="s">
        <v>0</v>
      </c>
    </row>
    <row r="2" ht="15" customHeight="1">
      <c r="B2" s="2" t="s">
        <v>519</v>
      </c>
    </row>
    <row r="3" ht="15" customHeight="1">
      <c r="B3" s="3" t="s">
        <v>2</v>
      </c>
    </row>
    <row r="4" ht="15" customHeight="1">
      <c r="B4" s="53" t="s">
        <v>100</v>
      </c>
    </row>
    <row r="5" ht="15" customHeight="1">
      <c r="B5" s="26" t="s">
        <v>55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7" t="s">
        <v>61</v>
      </c>
      <c r="I5" s="27" t="s">
        <v>62</v>
      </c>
      <c r="J5" s="28" t="s">
        <v>63</v>
      </c>
      <c r="K5" s="26" t="s">
        <v>64</v>
      </c>
    </row>
    <row r="6" ht="15" customHeight="1">
      <c r="B6" s="29" t="s">
        <v>65</v>
      </c>
      <c r="C6" s="30">
        <v>45747</v>
      </c>
      <c r="D6" s="30">
        <v>45838</v>
      </c>
      <c r="E6" s="30">
        <v>45930</v>
      </c>
      <c r="F6" s="30">
        <v>46022</v>
      </c>
      <c r="G6" s="30">
        <v>46022</v>
      </c>
      <c r="H6" s="30">
        <v>46112</v>
      </c>
      <c r="I6" s="30">
        <v>46203</v>
      </c>
      <c r="J6" s="31">
        <v>46295</v>
      </c>
      <c r="K6" s="29"/>
    </row>
    <row r="7" ht="15" customHeight="1">
      <c r="B7" s="32" t="s">
        <v>66</v>
      </c>
      <c r="C7" s="33">
        <v>90</v>
      </c>
      <c r="D7" s="33">
        <v>91</v>
      </c>
      <c r="E7" s="33">
        <v>92</v>
      </c>
      <c r="F7" s="33">
        <v>92</v>
      </c>
      <c r="G7" s="33">
        <v>365</v>
      </c>
      <c r="H7" s="33">
        <v>90</v>
      </c>
      <c r="I7" s="33">
        <v>91</v>
      </c>
      <c r="J7" s="34">
        <v>92</v>
      </c>
      <c r="K7" s="32"/>
    </row>
    <row r="9" ht="15" customHeight="1">
      <c r="B9" s="35" t="s">
        <v>520</v>
      </c>
    </row>
    <row r="10" ht="15" customHeight="1">
      <c r="B10" s="24" t="s">
        <v>521</v>
      </c>
      <c r="C10" s="12">
        <v>383</v>
      </c>
      <c r="D10" s="12">
        <v>639.5</v>
      </c>
      <c r="E10" s="12">
        <v>635.7</v>
      </c>
      <c r="F10" s="12">
        <v>625.1</v>
      </c>
      <c r="G10" s="9">
        <f>F10</f>
        <v>625.1</v>
      </c>
      <c r="H10" s="12">
        <v>615.9</v>
      </c>
      <c r="I10" s="12">
        <v>613.5</v>
      </c>
      <c r="J10" s="54">
        <f>I10-J23+J26</f>
        <v>601.6</v>
      </c>
      <c r="K10" s="40" t="s">
        <v>294</v>
      </c>
    </row>
    <row r="11" ht="15" customHeight="1">
      <c r="B11" s="37" t="s">
        <v>75</v>
      </c>
      <c r="C11" s="10" t="s">
        <v>31</v>
      </c>
      <c r="D11" s="10" t="s">
        <v>31</v>
      </c>
      <c r="E11" s="10" t="s">
        <v>31</v>
      </c>
      <c r="F11" s="10" t="s">
        <v>31</v>
      </c>
      <c r="G11" s="10" t="s">
        <v>31</v>
      </c>
      <c r="H11" s="10">
        <f t="shared" si="0" ref="H11:J57">IF(AND(ISNUMBER(H10),ISNUMBER(C10)),IF(C10&gt;0,H10/C10-1,"n/m"),"n/a")</f>
        <v>0.6080939947780679</v>
      </c>
      <c r="I11" s="10">
        <f t="shared" si="0"/>
        <v>-0.040656763096168835</v>
      </c>
      <c r="J11" s="38">
        <f t="shared" si="0"/>
        <v>-0.0536416548686488</v>
      </c>
      <c r="K11" s="53" t="s">
        <v>104</v>
      </c>
    </row>
    <row r="12" ht="15" customHeight="1">
      <c r="B12" s="37" t="s">
        <v>92</v>
      </c>
      <c r="C12" s="50" t="s">
        <v>31</v>
      </c>
      <c r="D12" s="50">
        <f t="shared" si="1" ref="D12:J58">IF(AND(ISNUMBER(D10),ISNUMBER(C10)),D10-C10,"n/a")</f>
        <v>256.5</v>
      </c>
      <c r="E12" s="50">
        <f t="shared" si="1"/>
        <v>-3.7999999999999545</v>
      </c>
      <c r="F12" s="50">
        <f t="shared" si="1"/>
        <v>-10.600000000000023</v>
      </c>
      <c r="G12" s="50" t="s">
        <v>31</v>
      </c>
      <c r="H12" s="50">
        <f t="shared" si="3" ref="H12:H58">IF(AND(ISNUMBER(H10),ISNUMBER(F10)),H10-F10,"n/a")</f>
        <v>-9.200000000000045</v>
      </c>
      <c r="I12" s="50">
        <f t="shared" si="1"/>
        <v>-2.3999999999999773</v>
      </c>
      <c r="J12" s="51">
        <f t="shared" si="1"/>
        <v>-11.899999999999977</v>
      </c>
    </row>
    <row r="13" ht="15" customHeight="1">
      <c r="B13" s="35" t="s">
        <v>522</v>
      </c>
    </row>
    <row r="14" ht="15" customHeight="1">
      <c r="B14" s="24" t="s">
        <v>523</v>
      </c>
      <c r="C14" s="8">
        <f>-'Cash Flow Statement'!C35</f>
        <v>375</v>
      </c>
      <c r="D14" s="8">
        <f>-'Cash Flow Statement'!D35</f>
        <v>167</v>
      </c>
      <c r="E14" s="8">
        <f>-'Cash Flow Statement'!E35</f>
        <v>1037</v>
      </c>
      <c r="F14" s="8">
        <f>-'Cash Flow Statement'!F35</f>
        <v>2520</v>
      </c>
      <c r="G14" s="8">
        <f>-'Cash Flow Statement'!G35</f>
        <v>4099</v>
      </c>
      <c r="H14" s="8">
        <f>-'Cash Flow Statement'!H35</f>
        <v>2793</v>
      </c>
      <c r="I14" s="8">
        <f>-'Cash Flow Statement'!I35</f>
        <v>2747</v>
      </c>
      <c r="J14" s="39">
        <v>2500</v>
      </c>
      <c r="K14" s="40" t="s">
        <v>524</v>
      </c>
    </row>
    <row r="15" ht="15" customHeight="1">
      <c r="B15" s="37" t="s">
        <v>75</v>
      </c>
      <c r="C15" s="10" t="s">
        <v>31</v>
      </c>
      <c r="D15" s="10" t="s">
        <v>31</v>
      </c>
      <c r="E15" s="10" t="s">
        <v>31</v>
      </c>
      <c r="F15" s="10" t="s">
        <v>31</v>
      </c>
      <c r="G15" s="10" t="s">
        <v>31</v>
      </c>
      <c r="H15" s="10" t="str">
        <f t="shared" si="2" ref="H15:I15">"n/m"</f>
        <v>n/m</v>
      </c>
      <c r="I15" s="10" t="str">
        <f t="shared" si="2"/>
        <v>n/m</v>
      </c>
      <c r="J15" s="38">
        <f t="shared" si="0"/>
        <v>1.4108003857280615</v>
      </c>
      <c r="K15" s="44" t="s">
        <v>525</v>
      </c>
    </row>
    <row r="16" ht="15" customHeight="1">
      <c r="B16" s="37" t="s">
        <v>92</v>
      </c>
      <c r="C16" s="50" t="s">
        <v>31</v>
      </c>
      <c r="D16" s="50">
        <f t="shared" si="1"/>
        <v>-208</v>
      </c>
      <c r="E16" s="50">
        <f t="shared" si="1"/>
        <v>870</v>
      </c>
      <c r="F16" s="50">
        <f t="shared" si="1"/>
        <v>1483</v>
      </c>
      <c r="G16" s="50" t="s">
        <v>31</v>
      </c>
      <c r="H16" s="50">
        <f t="shared" si="3"/>
        <v>273</v>
      </c>
      <c r="I16" s="50">
        <f t="shared" si="1"/>
        <v>-46</v>
      </c>
      <c r="J16" s="51">
        <f t="shared" si="1"/>
        <v>-247</v>
      </c>
    </row>
    <row r="17" ht="15" customHeight="1">
      <c r="B17" s="24" t="s">
        <v>526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12">
        <v>2499.9</v>
      </c>
      <c r="I17" s="12">
        <v>2700</v>
      </c>
      <c r="J17" s="54" t="s">
        <v>31</v>
      </c>
      <c r="K17" s="40" t="s">
        <v>527</v>
      </c>
    </row>
    <row r="18" ht="15" customHeight="1">
      <c r="B18" s="37" t="s">
        <v>75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tr">
        <f t="shared" si="0"/>
        <v>n/a</v>
      </c>
      <c r="I18" s="10" t="str">
        <f t="shared" si="0"/>
        <v>n/a</v>
      </c>
      <c r="J18" s="38" t="str">
        <f t="shared" si="0"/>
        <v>n/a</v>
      </c>
    </row>
    <row r="19" ht="15" customHeight="1">
      <c r="B19" s="37" t="s">
        <v>92</v>
      </c>
      <c r="C19" s="50" t="s">
        <v>31</v>
      </c>
      <c r="D19" s="50" t="str">
        <f t="shared" si="1"/>
        <v>n/a</v>
      </c>
      <c r="E19" s="50" t="str">
        <f t="shared" si="1"/>
        <v>n/a</v>
      </c>
      <c r="F19" s="50" t="str">
        <f t="shared" si="1"/>
        <v>n/a</v>
      </c>
      <c r="G19" s="50" t="s">
        <v>31</v>
      </c>
      <c r="H19" s="50" t="str">
        <f t="shared" si="3"/>
        <v>n/a</v>
      </c>
      <c r="I19" s="50">
        <f t="shared" si="1"/>
        <v>200.0999999999999</v>
      </c>
      <c r="J19" s="51" t="str">
        <f t="shared" si="1"/>
        <v>n/a</v>
      </c>
    </row>
    <row r="20" ht="15" customHeight="1">
      <c r="B20" s="24" t="s">
        <v>528</v>
      </c>
      <c r="C20" s="15" t="s">
        <v>31</v>
      </c>
      <c r="D20" s="15" t="s">
        <v>31</v>
      </c>
      <c r="E20" s="15" t="s">
        <v>31</v>
      </c>
      <c r="F20" s="15" t="s">
        <v>31</v>
      </c>
      <c r="G20" s="15" t="s">
        <v>31</v>
      </c>
      <c r="H20" s="15">
        <f t="shared" si="4" ref="H20:I20">H17/H23</f>
        <v>207.11681855840928</v>
      </c>
      <c r="I20" s="15">
        <f t="shared" si="4"/>
        <v>192.85714285714286</v>
      </c>
      <c r="J20" s="72">
        <v>200</v>
      </c>
      <c r="K20" s="40" t="s">
        <v>145</v>
      </c>
    </row>
    <row r="21" ht="15" customHeight="1">
      <c r="B21" s="37" t="s">
        <v>75</v>
      </c>
      <c r="C21" s="10" t="s">
        <v>31</v>
      </c>
      <c r="D21" s="10" t="s">
        <v>31</v>
      </c>
      <c r="E21" s="10" t="s">
        <v>31</v>
      </c>
      <c r="F21" s="10" t="s">
        <v>31</v>
      </c>
      <c r="G21" s="10" t="s">
        <v>31</v>
      </c>
      <c r="H21" s="10" t="str">
        <f t="shared" si="0"/>
        <v>n/a</v>
      </c>
      <c r="I21" s="10" t="str">
        <f t="shared" si="0"/>
        <v>n/a</v>
      </c>
      <c r="J21" s="38" t="str">
        <f t="shared" si="0"/>
        <v>n/a</v>
      </c>
    </row>
    <row r="22" ht="15" customHeight="1">
      <c r="B22" s="37" t="s">
        <v>92</v>
      </c>
      <c r="C22" s="62" t="s">
        <v>31</v>
      </c>
      <c r="D22" s="62" t="str">
        <f t="shared" si="1"/>
        <v>n/a</v>
      </c>
      <c r="E22" s="62" t="str">
        <f t="shared" si="1"/>
        <v>n/a</v>
      </c>
      <c r="F22" s="62" t="str">
        <f t="shared" si="1"/>
        <v>n/a</v>
      </c>
      <c r="G22" s="62" t="s">
        <v>31</v>
      </c>
      <c r="H22" s="62" t="str">
        <f t="shared" si="3"/>
        <v>n/a</v>
      </c>
      <c r="I22" s="62">
        <f t="shared" si="1"/>
        <v>-14.259675701266417</v>
      </c>
      <c r="J22" s="63">
        <f t="shared" si="1"/>
        <v>7.142857142857139</v>
      </c>
    </row>
    <row r="23" ht="15" customHeight="1">
      <c r="B23" s="24" t="s">
        <v>529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12">
        <v>12.07</v>
      </c>
      <c r="I23" s="12">
        <v>14</v>
      </c>
      <c r="J23" s="54">
        <f>J14/J20</f>
        <v>12.5</v>
      </c>
      <c r="K23" s="40" t="s">
        <v>527</v>
      </c>
    </row>
    <row r="24" ht="15" customHeight="1">
      <c r="B24" s="37" t="s">
        <v>75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tr">
        <f t="shared" si="0"/>
        <v>n/a</v>
      </c>
      <c r="I24" s="10" t="str">
        <f t="shared" si="0"/>
        <v>n/a</v>
      </c>
      <c r="J24" s="38" t="str">
        <f t="shared" si="0"/>
        <v>n/a</v>
      </c>
    </row>
    <row r="25" ht="15" customHeight="1">
      <c r="B25" s="37" t="s">
        <v>92</v>
      </c>
      <c r="C25" s="50" t="s">
        <v>31</v>
      </c>
      <c r="D25" s="50" t="str">
        <f t="shared" si="1"/>
        <v>n/a</v>
      </c>
      <c r="E25" s="50" t="str">
        <f t="shared" si="1"/>
        <v>n/a</v>
      </c>
      <c r="F25" s="50" t="str">
        <f t="shared" si="1"/>
        <v>n/a</v>
      </c>
      <c r="G25" s="50" t="s">
        <v>31</v>
      </c>
      <c r="H25" s="50" t="str">
        <f t="shared" si="3"/>
        <v>n/a</v>
      </c>
      <c r="I25" s="50">
        <f t="shared" si="1"/>
        <v>1.9299999999999997</v>
      </c>
      <c r="J25" s="51">
        <f t="shared" si="1"/>
        <v>-1.5</v>
      </c>
    </row>
    <row r="26" ht="15" customHeight="1">
      <c r="B26" s="24" t="s">
        <v>530</v>
      </c>
      <c r="C26" s="9" t="s">
        <v>31</v>
      </c>
      <c r="D26" s="9" t="s">
        <v>31</v>
      </c>
      <c r="E26" s="9" t="s">
        <v>31</v>
      </c>
      <c r="F26" s="9" t="s">
        <v>31</v>
      </c>
      <c r="G26" s="9" t="s">
        <v>31</v>
      </c>
      <c r="H26" s="9">
        <f>H10-F10+H23</f>
        <v>2.869999999999955</v>
      </c>
      <c r="I26" s="9">
        <f>I10-H10+I23</f>
        <v>11.600000000000023</v>
      </c>
      <c r="J26" s="39">
        <v>0.6</v>
      </c>
      <c r="K26" s="40" t="s">
        <v>145</v>
      </c>
    </row>
    <row r="27" ht="15" customHeight="1">
      <c r="B27" s="37" t="s">
        <v>75</v>
      </c>
      <c r="C27" s="10" t="s">
        <v>31</v>
      </c>
      <c r="D27" s="10" t="s">
        <v>31</v>
      </c>
      <c r="E27" s="10" t="s">
        <v>31</v>
      </c>
      <c r="F27" s="10" t="s">
        <v>31</v>
      </c>
      <c r="G27" s="10" t="s">
        <v>31</v>
      </c>
      <c r="H27" s="10" t="str">
        <f t="shared" si="0"/>
        <v>n/a</v>
      </c>
      <c r="I27" s="10" t="str">
        <f t="shared" si="0"/>
        <v>n/a</v>
      </c>
      <c r="J27" s="38" t="str">
        <f t="shared" si="0"/>
        <v>n/a</v>
      </c>
    </row>
    <row r="28" ht="15" customHeight="1">
      <c r="B28" s="37" t="s">
        <v>92</v>
      </c>
      <c r="C28" s="50" t="s">
        <v>31</v>
      </c>
      <c r="D28" s="50" t="str">
        <f t="shared" si="1"/>
        <v>n/a</v>
      </c>
      <c r="E28" s="50" t="str">
        <f t="shared" si="1"/>
        <v>n/a</v>
      </c>
      <c r="F28" s="50" t="str">
        <f t="shared" si="1"/>
        <v>n/a</v>
      </c>
      <c r="G28" s="50" t="s">
        <v>31</v>
      </c>
      <c r="H28" s="50" t="str">
        <f t="shared" si="3"/>
        <v>n/a</v>
      </c>
      <c r="I28" s="50">
        <f t="shared" si="1"/>
        <v>8.730000000000068</v>
      </c>
      <c r="J28" s="51">
        <f t="shared" si="1"/>
        <v>-11.000000000000023</v>
      </c>
    </row>
    <row r="29" ht="15" customHeight="1">
      <c r="B29" s="35" t="s">
        <v>531</v>
      </c>
    </row>
    <row r="30" ht="15" customHeight="1">
      <c r="B30" s="24" t="s">
        <v>318</v>
      </c>
      <c r="C30" s="12">
        <v>383.1</v>
      </c>
      <c r="D30" s="12">
        <v>505.6</v>
      </c>
      <c r="E30" s="12">
        <v>639</v>
      </c>
      <c r="F30" s="12">
        <v>631.1</v>
      </c>
      <c r="G30" s="12">
        <v>540.7</v>
      </c>
      <c r="H30" s="12">
        <v>622.5</v>
      </c>
      <c r="I30" s="12">
        <v>620.5</v>
      </c>
      <c r="J30" s="54">
        <f>I10-J23/2+J26/2</f>
        <v>607.55</v>
      </c>
      <c r="K30" s="40" t="s">
        <v>294</v>
      </c>
    </row>
    <row r="31" ht="15" customHeight="1">
      <c r="B31" s="37" t="s">
        <v>75</v>
      </c>
      <c r="C31" s="10" t="s">
        <v>31</v>
      </c>
      <c r="D31" s="10" t="s">
        <v>31</v>
      </c>
      <c r="E31" s="10" t="s">
        <v>31</v>
      </c>
      <c r="F31" s="10" t="s">
        <v>31</v>
      </c>
      <c r="G31" s="10" t="s">
        <v>31</v>
      </c>
      <c r="H31" s="10">
        <f t="shared" si="0"/>
        <v>0.6249021143304618</v>
      </c>
      <c r="I31" s="10">
        <f t="shared" si="0"/>
        <v>0.2272547468354429</v>
      </c>
      <c r="J31" s="38">
        <f t="shared" si="0"/>
        <v>-0.049217527386541504</v>
      </c>
    </row>
    <row r="32" ht="15" customHeight="1">
      <c r="B32" s="37" t="s">
        <v>92</v>
      </c>
      <c r="C32" s="50" t="s">
        <v>31</v>
      </c>
      <c r="D32" s="50">
        <f t="shared" si="1"/>
        <v>122.5</v>
      </c>
      <c r="E32" s="50">
        <f t="shared" si="1"/>
        <v>133.39999999999998</v>
      </c>
      <c r="F32" s="50">
        <f t="shared" si="1"/>
        <v>-7.899999999999977</v>
      </c>
      <c r="G32" s="50" t="s">
        <v>31</v>
      </c>
      <c r="H32" s="50">
        <f t="shared" si="3"/>
        <v>-8.600000000000023</v>
      </c>
      <c r="I32" s="50">
        <f t="shared" si="1"/>
        <v>-2</v>
      </c>
      <c r="J32" s="51">
        <f t="shared" si="1"/>
        <v>-12.950000000000045</v>
      </c>
    </row>
    <row r="33" ht="15" customHeight="1">
      <c r="B33" s="24" t="s">
        <v>532</v>
      </c>
      <c r="C33" s="9">
        <f t="shared" si="5" ref="C33:I33">C36-C30</f>
        <v>0.8999999999999773</v>
      </c>
      <c r="D33" s="9">
        <f t="shared" si="5"/>
        <v>0</v>
      </c>
      <c r="E33" s="9">
        <f t="shared" si="5"/>
        <v>0.5</v>
      </c>
      <c r="F33" s="9">
        <f t="shared" si="5"/>
        <v>0.5</v>
      </c>
      <c r="G33" s="9">
        <f t="shared" si="5"/>
        <v>0.599999999999909</v>
      </c>
      <c r="H33" s="9">
        <f t="shared" si="5"/>
        <v>0.8999999999999773</v>
      </c>
      <c r="I33" s="9">
        <f t="shared" si="5"/>
        <v>0.6000000000000227</v>
      </c>
      <c r="J33" s="39">
        <v>0.6</v>
      </c>
      <c r="K33" s="40" t="s">
        <v>145</v>
      </c>
    </row>
    <row r="34" ht="15" customHeight="1">
      <c r="B34" s="37" t="s">
        <v>75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>
        <f t="shared" si="0"/>
        <v>0</v>
      </c>
      <c r="I34" s="10" t="str">
        <f t="shared" si="0"/>
        <v>n/m</v>
      </c>
      <c r="J34" s="38">
        <f t="shared" si="0"/>
        <v>0.19999999999999996</v>
      </c>
    </row>
    <row r="35" ht="15" customHeight="1">
      <c r="B35" s="37" t="s">
        <v>92</v>
      </c>
      <c r="C35" s="50" t="s">
        <v>31</v>
      </c>
      <c r="D35" s="50">
        <f t="shared" si="1"/>
        <v>-0.8999999999999773</v>
      </c>
      <c r="E35" s="50">
        <f t="shared" si="1"/>
        <v>0.5</v>
      </c>
      <c r="F35" s="50">
        <f t="shared" si="1"/>
        <v>0</v>
      </c>
      <c r="G35" s="50" t="s">
        <v>31</v>
      </c>
      <c r="H35" s="50">
        <f t="shared" si="3"/>
        <v>0.39999999999997726</v>
      </c>
      <c r="I35" s="50">
        <f t="shared" si="1"/>
        <v>-0.2999999999999545</v>
      </c>
      <c r="J35" s="51">
        <f t="shared" si="1"/>
        <v>0</v>
      </c>
    </row>
    <row r="36" ht="15" customHeight="1">
      <c r="B36" s="45" t="s">
        <v>319</v>
      </c>
      <c r="C36" s="60">
        <v>384</v>
      </c>
      <c r="D36" s="60">
        <v>505.6</v>
      </c>
      <c r="E36" s="60">
        <v>639.5</v>
      </c>
      <c r="F36" s="60">
        <v>631.6</v>
      </c>
      <c r="G36" s="60">
        <v>541.3</v>
      </c>
      <c r="H36" s="60">
        <v>623.4</v>
      </c>
      <c r="I36" s="60">
        <v>621.1</v>
      </c>
      <c r="J36" s="42">
        <f>J30+J33</f>
        <v>608.15</v>
      </c>
      <c r="K36" s="40" t="s">
        <v>294</v>
      </c>
    </row>
    <row r="37" ht="15" customHeight="1">
      <c r="B37" s="37" t="s">
        <v>75</v>
      </c>
      <c r="C37" s="10" t="s">
        <v>31</v>
      </c>
      <c r="D37" s="10" t="s">
        <v>31</v>
      </c>
      <c r="E37" s="10" t="s">
        <v>31</v>
      </c>
      <c r="F37" s="10" t="s">
        <v>31</v>
      </c>
      <c r="G37" s="10" t="s">
        <v>31</v>
      </c>
      <c r="H37" s="10">
        <f t="shared" si="0"/>
        <v>0.6234374999999999</v>
      </c>
      <c r="I37" s="10">
        <f t="shared" si="0"/>
        <v>0.22844145569620244</v>
      </c>
      <c r="J37" s="38">
        <f t="shared" si="0"/>
        <v>-0.04902267396403448</v>
      </c>
    </row>
    <row r="38" ht="15" customHeight="1">
      <c r="B38" s="37" t="s">
        <v>92</v>
      </c>
      <c r="C38" s="50" t="s">
        <v>31</v>
      </c>
      <c r="D38" s="50">
        <f t="shared" si="1"/>
        <v>121.60000000000002</v>
      </c>
      <c r="E38" s="50">
        <f t="shared" si="1"/>
        <v>133.89999999999998</v>
      </c>
      <c r="F38" s="50">
        <f t="shared" si="1"/>
        <v>-7.899999999999977</v>
      </c>
      <c r="G38" s="50" t="s">
        <v>31</v>
      </c>
      <c r="H38" s="50">
        <f t="shared" si="3"/>
        <v>-8.200000000000045</v>
      </c>
      <c r="I38" s="50">
        <f t="shared" si="1"/>
        <v>-2.2999999999999545</v>
      </c>
      <c r="J38" s="51">
        <f t="shared" si="1"/>
        <v>-12.950000000000045</v>
      </c>
    </row>
    <row r="39" ht="15" customHeight="1">
      <c r="B39" s="35" t="s">
        <v>533</v>
      </c>
    </row>
    <row r="40" ht="15" customHeight="1">
      <c r="B40" s="24" t="s">
        <v>534</v>
      </c>
      <c r="C40" s="16">
        <v>0.6</v>
      </c>
      <c r="D40" s="16">
        <v>0.6</v>
      </c>
      <c r="E40" s="16">
        <v>0.6</v>
      </c>
      <c r="F40" s="16">
        <v>0.8</v>
      </c>
      <c r="G40" s="15">
        <f>SUM(C40:F40)</f>
        <v>2.6</v>
      </c>
      <c r="H40" s="16">
        <v>0.8</v>
      </c>
      <c r="I40" s="16">
        <v>0.8</v>
      </c>
      <c r="J40" s="72">
        <v>0.8</v>
      </c>
      <c r="K40" s="40" t="s">
        <v>294</v>
      </c>
    </row>
    <row r="41" ht="15" customHeight="1">
      <c r="B41" s="37" t="s">
        <v>75</v>
      </c>
      <c r="C41" s="10" t="s">
        <v>31</v>
      </c>
      <c r="D41" s="10" t="s">
        <v>31</v>
      </c>
      <c r="E41" s="10" t="s">
        <v>31</v>
      </c>
      <c r="F41" s="10" t="s">
        <v>31</v>
      </c>
      <c r="G41" s="10" t="s">
        <v>31</v>
      </c>
      <c r="H41" s="10">
        <f t="shared" si="0"/>
        <v>0.3333333333333335</v>
      </c>
      <c r="I41" s="10">
        <f t="shared" si="0"/>
        <v>0.3333333333333335</v>
      </c>
      <c r="J41" s="38">
        <f t="shared" si="0"/>
        <v>0.3333333333333335</v>
      </c>
    </row>
    <row r="42" ht="15" customHeight="1">
      <c r="B42" s="37" t="s">
        <v>92</v>
      </c>
      <c r="C42" s="62" t="s">
        <v>31</v>
      </c>
      <c r="D42" s="62">
        <f t="shared" si="1"/>
        <v>0</v>
      </c>
      <c r="E42" s="62">
        <f t="shared" si="1"/>
        <v>0</v>
      </c>
      <c r="F42" s="62">
        <f t="shared" si="1"/>
        <v>0.20000000000000007</v>
      </c>
      <c r="G42" s="62" t="s">
        <v>31</v>
      </c>
      <c r="H42" s="62">
        <f t="shared" si="3"/>
        <v>0</v>
      </c>
      <c r="I42" s="62">
        <f t="shared" si="1"/>
        <v>0</v>
      </c>
      <c r="J42" s="63">
        <f t="shared" si="1"/>
        <v>0</v>
      </c>
    </row>
    <row r="43" ht="15" customHeight="1">
      <c r="B43" s="24" t="s">
        <v>535</v>
      </c>
      <c r="C43" s="8">
        <f>-'Cash Flow Statement'!C33</f>
        <v>234</v>
      </c>
      <c r="D43" s="8">
        <f>-'Cash Flow Statement'!D33</f>
        <v>388</v>
      </c>
      <c r="E43" s="8">
        <f>-'Cash Flow Statement'!E33</f>
        <v>386</v>
      </c>
      <c r="F43" s="8">
        <f>-'Cash Flow Statement'!F33</f>
        <v>508</v>
      </c>
      <c r="G43" s="8">
        <f>-'Cash Flow Statement'!G33</f>
        <v>1516</v>
      </c>
      <c r="H43" s="8">
        <f>-'Cash Flow Statement'!H33</f>
        <v>502</v>
      </c>
      <c r="I43" s="8">
        <f>-'Cash Flow Statement'!I33</f>
        <v>500</v>
      </c>
      <c r="J43" s="54">
        <f>J40*(I10+J10)/2</f>
        <v>486.03999999999996</v>
      </c>
      <c r="K43" s="40" t="s">
        <v>536</v>
      </c>
    </row>
    <row r="44" ht="15" customHeight="1">
      <c r="B44" s="37" t="s">
        <v>75</v>
      </c>
      <c r="C44" s="10" t="s">
        <v>31</v>
      </c>
      <c r="D44" s="10" t="s">
        <v>31</v>
      </c>
      <c r="E44" s="10" t="s">
        <v>31</v>
      </c>
      <c r="F44" s="10" t="s">
        <v>31</v>
      </c>
      <c r="G44" s="10" t="s">
        <v>31</v>
      </c>
      <c r="H44" s="10">
        <f t="shared" si="0"/>
        <v>1.1452991452991452</v>
      </c>
      <c r="I44" s="10">
        <f t="shared" si="0"/>
        <v>0.2886597938144331</v>
      </c>
      <c r="J44" s="38">
        <f t="shared" si="0"/>
        <v>0.25917098445595843</v>
      </c>
    </row>
    <row r="45" ht="15" customHeight="1">
      <c r="B45" s="37" t="s">
        <v>92</v>
      </c>
      <c r="C45" s="50" t="s">
        <v>31</v>
      </c>
      <c r="D45" s="50">
        <f t="shared" si="1"/>
        <v>154</v>
      </c>
      <c r="E45" s="50">
        <f t="shared" si="1"/>
        <v>-2</v>
      </c>
      <c r="F45" s="50">
        <f t="shared" si="1"/>
        <v>122</v>
      </c>
      <c r="G45" s="50" t="s">
        <v>31</v>
      </c>
      <c r="H45" s="50">
        <f t="shared" si="3"/>
        <v>-6</v>
      </c>
      <c r="I45" s="50">
        <f t="shared" si="1"/>
        <v>-2</v>
      </c>
      <c r="J45" s="51">
        <f t="shared" si="1"/>
        <v>-13.960000000000036</v>
      </c>
    </row>
    <row r="46" ht="15" customHeight="1">
      <c r="B46" s="35" t="s">
        <v>537</v>
      </c>
    </row>
    <row r="47" ht="15" customHeight="1">
      <c r="B47" s="24" t="s">
        <v>538</v>
      </c>
      <c r="C47" s="8">
        <f>'Income Statement'!C149</f>
        <v>1325</v>
      </c>
      <c r="D47" s="8">
        <f>'Income Statement'!D149</f>
        <v>-4340</v>
      </c>
      <c r="E47" s="8">
        <f>'Income Statement'!E149</f>
        <v>3086</v>
      </c>
      <c r="F47" s="8">
        <f>'Income Statement'!F149</f>
        <v>2057</v>
      </c>
      <c r="G47" s="8">
        <f>'Income Statement'!G149</f>
        <v>2181</v>
      </c>
      <c r="H47" s="8">
        <f>'Income Statement'!H149</f>
        <v>2081</v>
      </c>
      <c r="I47" s="8">
        <f>'Income Statement'!I149</f>
        <v>2935</v>
      </c>
      <c r="J47" s="36">
        <f>'Income Statement'!J149</f>
        <v>2771.73628778907</v>
      </c>
    </row>
    <row r="48" ht="15" customHeight="1">
      <c r="B48" s="37" t="s">
        <v>75</v>
      </c>
      <c r="C48" s="10" t="s">
        <v>31</v>
      </c>
      <c r="D48" s="10" t="s">
        <v>31</v>
      </c>
      <c r="E48" s="10" t="s">
        <v>31</v>
      </c>
      <c r="F48" s="10" t="s">
        <v>31</v>
      </c>
      <c r="G48" s="10" t="s">
        <v>31</v>
      </c>
      <c r="H48" s="10">
        <f t="shared" si="0"/>
        <v>0.570566037735849</v>
      </c>
      <c r="I48" s="10" t="str">
        <f t="shared" si="0"/>
        <v>n/m</v>
      </c>
      <c r="J48" s="38">
        <f t="shared" si="0"/>
        <v>-0.10183529235610178</v>
      </c>
    </row>
    <row r="49" ht="15" customHeight="1">
      <c r="B49" s="37" t="s">
        <v>92</v>
      </c>
      <c r="C49" s="50" t="s">
        <v>31</v>
      </c>
      <c r="D49" s="50">
        <f t="shared" si="1"/>
        <v>-5665</v>
      </c>
      <c r="E49" s="50">
        <f t="shared" si="1"/>
        <v>7426</v>
      </c>
      <c r="F49" s="50">
        <f t="shared" si="1"/>
        <v>-1029</v>
      </c>
      <c r="G49" s="50" t="s">
        <v>31</v>
      </c>
      <c r="H49" s="50">
        <f t="shared" si="3"/>
        <v>24</v>
      </c>
      <c r="I49" s="50">
        <f t="shared" si="1"/>
        <v>854</v>
      </c>
      <c r="J49" s="51">
        <f t="shared" si="1"/>
        <v>-163.26371221092995</v>
      </c>
    </row>
    <row r="50" ht="15" customHeight="1">
      <c r="B50" s="24" t="s">
        <v>539</v>
      </c>
      <c r="C50" s="8">
        <f>'Income Statement'!C224</f>
        <v>1557</v>
      </c>
      <c r="D50" s="8">
        <f>'Income Statement'!D224</f>
        <v>2768</v>
      </c>
      <c r="E50" s="8">
        <f>'Income Statement'!E224</f>
        <v>3801</v>
      </c>
      <c r="F50" s="8">
        <f>'Income Statement'!F224</f>
        <v>2436</v>
      </c>
      <c r="G50" s="8">
        <f>'Income Statement'!G224</f>
        <v>10615</v>
      </c>
      <c r="H50" s="8">
        <f>'Income Statement'!H224</f>
        <v>2752</v>
      </c>
      <c r="I50" s="8">
        <f>'Income Statement'!I224</f>
        <v>3604</v>
      </c>
      <c r="J50" s="36">
        <f>'Income Statement'!J224</f>
        <v>3426.84628778907</v>
      </c>
    </row>
    <row r="51" ht="15" customHeight="1">
      <c r="B51" s="37" t="s">
        <v>75</v>
      </c>
      <c r="C51" s="10" t="s">
        <v>31</v>
      </c>
      <c r="D51" s="10" t="s">
        <v>31</v>
      </c>
      <c r="E51" s="10" t="s">
        <v>31</v>
      </c>
      <c r="F51" s="10" t="s">
        <v>31</v>
      </c>
      <c r="G51" s="10" t="s">
        <v>31</v>
      </c>
      <c r="H51" s="10">
        <f t="shared" si="0"/>
        <v>0.7675016056518946</v>
      </c>
      <c r="I51" s="10">
        <f t="shared" si="0"/>
        <v>0.30202312138728327</v>
      </c>
      <c r="J51" s="38">
        <f t="shared" si="0"/>
        <v>-0.09843559910837407</v>
      </c>
    </row>
    <row r="52" ht="15" customHeight="1">
      <c r="B52" s="37" t="s">
        <v>92</v>
      </c>
      <c r="C52" s="50" t="s">
        <v>31</v>
      </c>
      <c r="D52" s="50">
        <f t="shared" si="1"/>
        <v>1211</v>
      </c>
      <c r="E52" s="50">
        <f t="shared" si="1"/>
        <v>1033</v>
      </c>
      <c r="F52" s="50">
        <f t="shared" si="1"/>
        <v>-1365</v>
      </c>
      <c r="G52" s="50" t="s">
        <v>31</v>
      </c>
      <c r="H52" s="50">
        <f t="shared" si="3"/>
        <v>316</v>
      </c>
      <c r="I52" s="50">
        <f t="shared" si="1"/>
        <v>852</v>
      </c>
      <c r="J52" s="51">
        <f t="shared" si="1"/>
        <v>-177.15371221092983</v>
      </c>
    </row>
    <row r="53" ht="15" customHeight="1">
      <c r="B53" s="24" t="s">
        <v>540</v>
      </c>
      <c r="C53" s="15">
        <f t="shared" si="6" ref="C53:J53">C47/C36</f>
        <v>3.4505208333333335</v>
      </c>
      <c r="D53" s="15">
        <f t="shared" si="6"/>
        <v>-8.583860759493671</v>
      </c>
      <c r="E53" s="15">
        <f t="shared" si="6"/>
        <v>4.825645035183737</v>
      </c>
      <c r="F53" s="15">
        <f t="shared" si="6"/>
        <v>3.2568081063964534</v>
      </c>
      <c r="G53" s="15">
        <f t="shared" si="6"/>
        <v>4.029188989469795</v>
      </c>
      <c r="H53" s="15">
        <f t="shared" si="6"/>
        <v>3.3381456528713507</v>
      </c>
      <c r="I53" s="15">
        <f t="shared" si="6"/>
        <v>4.725487039124134</v>
      </c>
      <c r="J53" s="61">
        <f t="shared" si="6"/>
        <v>4.557652368312209</v>
      </c>
    </row>
    <row r="54" ht="15" customHeight="1">
      <c r="B54" s="37" t="s">
        <v>75</v>
      </c>
      <c r="C54" s="10" t="s">
        <v>31</v>
      </c>
      <c r="D54" s="10" t="s">
        <v>31</v>
      </c>
      <c r="E54" s="10" t="s">
        <v>31</v>
      </c>
      <c r="F54" s="10" t="s">
        <v>31</v>
      </c>
      <c r="G54" s="10" t="s">
        <v>31</v>
      </c>
      <c r="H54" s="10">
        <f t="shared" si="0"/>
        <v>-0.03256759946973686</v>
      </c>
      <c r="I54" s="10" t="str">
        <f t="shared" si="0"/>
        <v>n/m</v>
      </c>
      <c r="J54" s="38">
        <f t="shared" si="0"/>
        <v>-0.055535097363688335</v>
      </c>
    </row>
    <row r="55" ht="15" customHeight="1">
      <c r="B55" s="37" t="s">
        <v>92</v>
      </c>
      <c r="C55" s="62" t="s">
        <v>31</v>
      </c>
      <c r="D55" s="62">
        <f t="shared" si="1"/>
        <v>-12.034381592827005</v>
      </c>
      <c r="E55" s="62">
        <f t="shared" si="1"/>
        <v>13.409505794677408</v>
      </c>
      <c r="F55" s="62">
        <f t="shared" si="1"/>
        <v>-1.568836928787284</v>
      </c>
      <c r="G55" s="62" t="s">
        <v>31</v>
      </c>
      <c r="H55" s="62">
        <f t="shared" si="3"/>
        <v>0.08133754647489733</v>
      </c>
      <c r="I55" s="62">
        <f t="shared" si="1"/>
        <v>1.3873413862527837</v>
      </c>
      <c r="J55" s="63">
        <f t="shared" si="1"/>
        <v>-0.16783467081192516</v>
      </c>
    </row>
    <row r="56" ht="15" customHeight="1">
      <c r="B56" s="45" t="s">
        <v>34</v>
      </c>
      <c r="C56" s="64">
        <f t="shared" si="7" ref="C56:J56">C50/C36</f>
        <v>4.0546875</v>
      </c>
      <c r="D56" s="64">
        <f t="shared" si="7"/>
        <v>5.474683544303797</v>
      </c>
      <c r="E56" s="64">
        <f t="shared" si="7"/>
        <v>5.943706020328381</v>
      </c>
      <c r="F56" s="64">
        <f t="shared" si="7"/>
        <v>3.856871437618746</v>
      </c>
      <c r="G56" s="64">
        <f t="shared" si="7"/>
        <v>19.610197672270463</v>
      </c>
      <c r="H56" s="64">
        <f t="shared" si="7"/>
        <v>4.414501122874559</v>
      </c>
      <c r="I56" s="64">
        <f t="shared" si="7"/>
        <v>5.802608275639994</v>
      </c>
      <c r="J56" s="65">
        <f t="shared" si="7"/>
        <v>5.634870159975451</v>
      </c>
    </row>
    <row r="57" ht="15" customHeight="1">
      <c r="B57" s="37" t="s">
        <v>75</v>
      </c>
      <c r="C57" s="10" t="s">
        <v>31</v>
      </c>
      <c r="D57" s="10" t="s">
        <v>31</v>
      </c>
      <c r="E57" s="10" t="s">
        <v>31</v>
      </c>
      <c r="F57" s="10" t="s">
        <v>31</v>
      </c>
      <c r="G57" s="10" t="s">
        <v>31</v>
      </c>
      <c r="H57" s="10">
        <f t="shared" si="0"/>
        <v>0.08874016132551743</v>
      </c>
      <c r="I57" s="10">
        <f t="shared" si="0"/>
        <v>0.05989839023250765</v>
      </c>
      <c r="J57" s="38">
        <f t="shared" si="0"/>
        <v>-0.051960150669744576</v>
      </c>
    </row>
    <row r="58" ht="15" customHeight="1">
      <c r="B58" s="37" t="s">
        <v>92</v>
      </c>
      <c r="C58" s="62" t="s">
        <v>31</v>
      </c>
      <c r="D58" s="62">
        <f t="shared" si="1"/>
        <v>1.4199960443037973</v>
      </c>
      <c r="E58" s="62">
        <f t="shared" si="1"/>
        <v>0.469022476024584</v>
      </c>
      <c r="F58" s="62">
        <f t="shared" si="1"/>
        <v>-2.0868345827096353</v>
      </c>
      <c r="G58" s="62" t="s">
        <v>31</v>
      </c>
      <c r="H58" s="62">
        <f t="shared" si="3"/>
        <v>0.5576296852558129</v>
      </c>
      <c r="I58" s="62">
        <f t="shared" si="1"/>
        <v>1.3881071527654347</v>
      </c>
      <c r="J58" s="63">
        <f t="shared" si="1"/>
        <v>-0.16773811566454278</v>
      </c>
    </row>
    <row r="59" ht="15" customHeight="1">
      <c r="B59" s="43" t="s">
        <v>541</v>
      </c>
      <c r="C59" s="73">
        <f>C53-'Income Statement'!C161+C56-'Income Statement'!C227</f>
        <v>0</v>
      </c>
      <c r="D59" s="73">
        <f>D53-'Income Statement'!D161+D56-'Income Statement'!D227</f>
        <v>0</v>
      </c>
      <c r="E59" s="73">
        <f>E53-'Income Statement'!E161+E56-'Income Statement'!E227</f>
        <v>0</v>
      </c>
      <c r="F59" s="73">
        <f>F53-'Income Statement'!F161+F56-'Income Statement'!F227</f>
        <v>0</v>
      </c>
      <c r="G59" s="73">
        <f>G53-'Income Statement'!G161+G56-'Income Statement'!G227</f>
        <v>0</v>
      </c>
      <c r="H59" s="73">
        <f>H53-'Income Statement'!H161+H56-'Income Statement'!H227</f>
        <v>0</v>
      </c>
      <c r="I59" s="73">
        <f>I53-'Income Statement'!I161+I56-'Income Statement'!I227</f>
        <v>0</v>
      </c>
      <c r="J59" s="74">
        <f>J53-'Income Statement'!J161+J56-'Income Statement'!J227</f>
        <v>0</v>
      </c>
    </row>
    <row r="60" ht="15" customHeight="1">
      <c r="B60" s="43" t="s">
        <v>542</v>
      </c>
      <c r="C60" s="10" t="s">
        <v>31</v>
      </c>
      <c r="D60" s="10">
        <f t="shared" si="8" ref="D60:J60">IF(ISNUMBER(C36),C36/D36-1,"n/a")</f>
        <v>-0.2405063291139241</v>
      </c>
      <c r="E60" s="10">
        <f t="shared" si="8"/>
        <v>-0.20938232994526973</v>
      </c>
      <c r="F60" s="10">
        <f t="shared" si="8"/>
        <v>0.01250791640278659</v>
      </c>
      <c r="G60" s="10" t="s">
        <v>31</v>
      </c>
      <c r="H60" s="10">
        <f>IF(ISNUMBER(F36),F36/H36-1,"n/a")</f>
        <v>0.013153673403914157</v>
      </c>
      <c r="I60" s="10">
        <f t="shared" si="8"/>
        <v>0.0037031073901141465</v>
      </c>
      <c r="J60" s="38">
        <f t="shared" si="8"/>
        <v>0.021294088629450147</v>
      </c>
    </row>
    <row r="61" ht="15" customHeight="1">
      <c r="B61" s="37" t="s">
        <v>137</v>
      </c>
      <c r="C61" s="58" t="s">
        <v>31</v>
      </c>
      <c r="D61" s="58" t="str">
        <f t="shared" si="9" ref="D61:J61">IF(AND(ISNUMBER(D60),ISNUMBER(C60)),(D60-C60)*10000,"n/a")</f>
        <v>n/a</v>
      </c>
      <c r="E61" s="58">
        <f t="shared" si="9"/>
        <v>311.2399916865438</v>
      </c>
      <c r="F61" s="58">
        <f t="shared" si="9"/>
        <v>2218.9024634805633</v>
      </c>
      <c r="G61" s="58" t="s">
        <v>31</v>
      </c>
      <c r="H61" s="58">
        <f>IF(AND(ISNUMBER(H60),ISNUMBER(F60)),(H60-F60)*10000,"n/a")</f>
        <v>6.457570011275671</v>
      </c>
      <c r="I61" s="58">
        <f t="shared" si="9"/>
        <v>-94.50566013800011</v>
      </c>
      <c r="J61" s="59">
        <f t="shared" si="9"/>
        <v>175.90981239336</v>
      </c>
    </row>
    <row r="62" ht="15" customHeight="1">
      <c r="B62" s="37" t="s">
        <v>138</v>
      </c>
      <c r="C62" s="58" t="s">
        <v>31</v>
      </c>
      <c r="D62" s="58" t="s">
        <v>31</v>
      </c>
      <c r="E62" s="58" t="s">
        <v>31</v>
      </c>
      <c r="F62" s="58" t="s">
        <v>31</v>
      </c>
      <c r="G62" s="58" t="s">
        <v>31</v>
      </c>
      <c r="H62" s="58" t="str">
        <f t="shared" si="10" ref="H62:J62">IF(AND(ISNUMBER(H60),ISNUMBER(C60)),(H60-C60)*10000,"n/a")</f>
        <v>n/a</v>
      </c>
      <c r="I62" s="58">
        <f t="shared" si="10"/>
        <v>2442.0943650403824</v>
      </c>
      <c r="J62" s="59">
        <f t="shared" si="10"/>
        <v>2306.7641857471986</v>
      </c>
    </row>
    <row r="63" ht="15" customHeight="1">
      <c r="B63" s="35" t="s">
        <v>543</v>
      </c>
    </row>
    <row r="64" ht="15" customHeight="1">
      <c r="B64" s="24" t="s">
        <v>544</v>
      </c>
      <c r="J64" s="75">
        <f>Inputs!C70</f>
        <v>201.74</v>
      </c>
      <c r="K64" s="40" t="s">
        <v>545</v>
      </c>
    </row>
    <row r="65" ht="15" customHeight="1">
      <c r="B65" s="24" t="s">
        <v>546</v>
      </c>
      <c r="J65" s="54">
        <f>J64*I10/1000</f>
        <v>123.76749000000001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7FBD9A1-B268-3328-ED78-C3A1CD3CDC69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12.00390625" customWidth="1"/>
    <col min="3" max="3" width="13.00390625" customWidth="1"/>
    <col min="4" max="4" width="34.00390625" customWidth="1"/>
    <col min="5" max="8" width="12.00390625" customWidth="1"/>
    <col min="9" max="9" width="15.00390625" customWidth="1"/>
    <col min="10" max="10" width="10.00390625" customWidth="1"/>
  </cols>
  <sheetData>
    <row r="1" ht="15" customHeight="1">
      <c r="B1" s="1" t="s">
        <v>0</v>
      </c>
    </row>
    <row r="2" ht="15" customHeight="1">
      <c r="B2" s="2" t="s">
        <v>547</v>
      </c>
    </row>
    <row r="3" ht="15" customHeight="1">
      <c r="B3" s="3" t="s">
        <v>2</v>
      </c>
    </row>
    <row r="5" ht="15" customHeight="1">
      <c r="B5" s="5" t="s">
        <v>548</v>
      </c>
      <c r="C5" s="5" t="s">
        <v>55</v>
      </c>
      <c r="D5" s="5" t="s">
        <v>549</v>
      </c>
      <c r="E5" s="6" t="s">
        <v>550</v>
      </c>
      <c r="F5" s="6" t="s">
        <v>551</v>
      </c>
      <c r="G5" s="6" t="s">
        <v>552</v>
      </c>
      <c r="H5" s="6" t="s">
        <v>553</v>
      </c>
      <c r="I5" s="76" t="s">
        <v>554</v>
      </c>
      <c r="J5" s="76" t="s">
        <v>64</v>
      </c>
    </row>
    <row r="6" ht="15" customHeight="1">
      <c r="B6" s="77">
        <v>45951</v>
      </c>
      <c r="C6" s="3" t="s">
        <v>555</v>
      </c>
      <c r="D6" s="3" t="s">
        <v>556</v>
      </c>
      <c r="E6" s="78">
        <v>0.11</v>
      </c>
      <c r="F6" s="78">
        <v>0.11</v>
      </c>
      <c r="G6" s="79">
        <f t="shared" si="0" ref="G6:G12">AVERAGE(E6:F6)</f>
        <v>0.11</v>
      </c>
      <c r="H6" s="80">
        <f>'Balance Sheet'!I147</f>
        <v>0.137</v>
      </c>
      <c r="I6" s="81" t="str">
        <f t="shared" si="1" ref="I6:I12">IF(H6&gt;=G6,"Met / above","Below")</f>
        <v>Met / above</v>
      </c>
      <c r="J6" s="82" t="s">
        <v>558</v>
      </c>
    </row>
    <row r="7" ht="15" customHeight="1">
      <c r="B7" s="77">
        <v>46224</v>
      </c>
      <c r="C7" s="3" t="s">
        <v>559</v>
      </c>
      <c r="D7" s="3" t="s">
        <v>560</v>
      </c>
      <c r="E7" s="78">
        <v>0.0826</v>
      </c>
      <c r="F7" s="78">
        <v>0.0836</v>
      </c>
      <c r="G7" s="79">
        <f t="shared" si="0"/>
        <v>0.08310000000000001</v>
      </c>
      <c r="H7" s="80">
        <f>'Balance Sheet'!I127</f>
        <v>0.0801</v>
      </c>
      <c r="I7" s="81" t="str">
        <f>IF(H7&gt;F7,"Above proxy",IF(H7&lt;E7,"Below proxy","Within proxy"))</f>
        <v>Below proxy</v>
      </c>
      <c r="J7" s="82" t="s">
        <v>562</v>
      </c>
    </row>
    <row r="8" ht="15" customHeight="1">
      <c r="B8" s="77">
        <v>46224</v>
      </c>
      <c r="C8" s="3" t="s">
        <v>563</v>
      </c>
      <c r="D8" s="3" t="s">
        <v>560</v>
      </c>
      <c r="E8" s="20">
        <v>0.0826</v>
      </c>
      <c r="F8" s="20">
        <v>0.0836</v>
      </c>
      <c r="G8" s="10">
        <f t="shared" si="0"/>
        <v>0.08310000000000001</v>
      </c>
      <c r="H8" s="19" t="s">
        <v>31</v>
      </c>
      <c r="I8" s="83" t="s">
        <v>31</v>
      </c>
      <c r="J8" s="82" t="s">
        <v>562</v>
      </c>
    </row>
    <row r="9" ht="15" customHeight="1">
      <c r="B9" s="77">
        <v>46224</v>
      </c>
      <c r="C9" s="3" t="s">
        <v>563</v>
      </c>
      <c r="D9" s="3" t="s">
        <v>564</v>
      </c>
      <c r="E9" s="84">
        <v>9</v>
      </c>
      <c r="F9" s="84">
        <v>9</v>
      </c>
      <c r="G9" s="85">
        <f t="shared" si="0"/>
        <v>9</v>
      </c>
      <c r="H9" s="17" t="s">
        <v>31</v>
      </c>
      <c r="I9" s="83" t="s">
        <v>31</v>
      </c>
      <c r="J9" s="82" t="s">
        <v>562</v>
      </c>
    </row>
    <row r="10" ht="15" customHeight="1">
      <c r="B10" s="77">
        <v>46224</v>
      </c>
      <c r="C10" s="3" t="s">
        <v>565</v>
      </c>
      <c r="D10" s="3" t="s">
        <v>566</v>
      </c>
      <c r="E10" s="12">
        <v>2500</v>
      </c>
      <c r="F10" s="12">
        <v>2500</v>
      </c>
      <c r="G10" s="9">
        <f t="shared" si="0"/>
        <v>2500</v>
      </c>
      <c r="H10" s="17" t="s">
        <v>31</v>
      </c>
      <c r="I10" s="83" t="s">
        <v>31</v>
      </c>
      <c r="J10" s="82" t="s">
        <v>562</v>
      </c>
    </row>
    <row r="11" ht="15" customHeight="1">
      <c r="B11" s="77">
        <v>46224</v>
      </c>
      <c r="C11" s="3" t="s">
        <v>567</v>
      </c>
      <c r="D11" s="3" t="s">
        <v>568</v>
      </c>
      <c r="E11" s="12">
        <v>1500</v>
      </c>
      <c r="F11" s="12">
        <v>1500</v>
      </c>
      <c r="G11" s="9">
        <f t="shared" si="0"/>
        <v>1500</v>
      </c>
      <c r="H11" s="17" t="s">
        <v>31</v>
      </c>
      <c r="I11" s="83" t="s">
        <v>31</v>
      </c>
      <c r="J11" s="82" t="s">
        <v>569</v>
      </c>
    </row>
    <row r="12" ht="15" customHeight="1">
      <c r="B12" s="77">
        <v>46224</v>
      </c>
      <c r="C12" s="3" t="s">
        <v>570</v>
      </c>
      <c r="D12" s="3" t="s">
        <v>571</v>
      </c>
      <c r="E12" s="20">
        <v>1</v>
      </c>
      <c r="F12" s="20">
        <v>1</v>
      </c>
      <c r="G12" s="10">
        <f t="shared" si="0"/>
        <v>1</v>
      </c>
      <c r="H12" s="20">
        <v>1</v>
      </c>
      <c r="I12" s="81" t="str">
        <f t="shared" si="1"/>
        <v>Met / above</v>
      </c>
      <c r="J12" s="82" t="s">
        <v>569</v>
      </c>
    </row>
    <row r="13" ht="15" customHeight="1">
      <c r="B13" s="77">
        <v>46281</v>
      </c>
      <c r="C13" s="3" t="s">
        <v>572</v>
      </c>
      <c r="D13" s="3" t="s">
        <v>573</v>
      </c>
      <c r="E13" s="86" t="s">
        <v>31</v>
      </c>
      <c r="F13" s="86" t="s">
        <v>31</v>
      </c>
      <c r="G13" s="17" t="s">
        <v>31</v>
      </c>
      <c r="H13" s="17" t="s">
        <v>31</v>
      </c>
      <c r="I13" s="83" t="s">
        <v>31</v>
      </c>
      <c r="J13" s="82" t="s">
        <v>569</v>
      </c>
    </row>
    <row r="14" ht="15" customHeight="1">
      <c r="B14" s="77">
        <v>46224</v>
      </c>
      <c r="C14" s="3" t="s">
        <v>574</v>
      </c>
      <c r="D14" s="3" t="s">
        <v>575</v>
      </c>
      <c r="E14" s="86" t="s">
        <v>31</v>
      </c>
      <c r="F14" s="86" t="s">
        <v>31</v>
      </c>
      <c r="G14" s="17" t="s">
        <v>31</v>
      </c>
      <c r="H14" s="17" t="s">
        <v>31</v>
      </c>
      <c r="I14" s="83" t="s">
        <v>31</v>
      </c>
      <c r="J14" s="82" t="s">
        <v>562</v>
      </c>
    </row>
    <row r="15" ht="15" customHeight="1">
      <c r="B15" s="77">
        <v>46313</v>
      </c>
      <c r="C15" s="3" t="s">
        <v>563</v>
      </c>
      <c r="D15" s="3" t="s">
        <v>576</v>
      </c>
      <c r="E15" s="86" t="s">
        <v>31</v>
      </c>
      <c r="F15" s="86" t="s">
        <v>31</v>
      </c>
      <c r="G15" s="17" t="s">
        <v>31</v>
      </c>
      <c r="H15" s="17" t="s">
        <v>31</v>
      </c>
      <c r="I15" s="83" t="s">
        <v>31</v>
      </c>
      <c r="J15" s="82" t="s">
        <v>545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E2837F6-55F8-42B8-60C7-D60787464F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6.00390625" customWidth="1"/>
    <col min="3" max="3" width="11.00390625" customWidth="1"/>
    <col min="4" max="4" width="30.00390625" customWidth="1"/>
    <col min="5" max="5" width="60.00390625" customWidth="1"/>
    <col min="6" max="6" width="70.00390625" customWidth="1"/>
    <col min="7" max="7" width="14.00390625" customWidth="1"/>
  </cols>
  <sheetData>
    <row r="1" ht="15" customHeight="1">
      <c r="B1" s="1" t="s">
        <v>0</v>
      </c>
    </row>
    <row r="2" ht="15" customHeight="1">
      <c r="B2" s="2" t="s">
        <v>577</v>
      </c>
    </row>
    <row r="3" ht="15" customHeight="1">
      <c r="B3" s="3" t="s">
        <v>2</v>
      </c>
    </row>
    <row r="5" ht="15" customHeight="1">
      <c r="B5" s="5" t="s">
        <v>578</v>
      </c>
      <c r="C5" s="5" t="s">
        <v>579</v>
      </c>
      <c r="D5" s="5" t="s">
        <v>580</v>
      </c>
      <c r="E5" s="5" t="s">
        <v>581</v>
      </c>
      <c r="F5" s="5" t="s">
        <v>582</v>
      </c>
      <c r="G5" s="5" t="s">
        <v>583</v>
      </c>
    </row>
    <row r="6" ht="39" customHeight="1">
      <c r="B6" s="87" t="s">
        <v>545</v>
      </c>
      <c r="C6" s="88">
        <v>46313</v>
      </c>
      <c r="D6" s="89" t="s">
        <v>584</v>
      </c>
      <c r="E6" s="89" t="s">
        <v>585</v>
      </c>
      <c r="F6" s="89" t="s">
        <v>586</v>
      </c>
      <c r="G6" s="87" t="s">
        <v>587</v>
      </c>
    </row>
    <row r="7" ht="27" customHeight="1">
      <c r="B7" s="87" t="s">
        <v>588</v>
      </c>
      <c r="C7" s="88">
        <v>46313</v>
      </c>
      <c r="D7" s="89" t="s">
        <v>584</v>
      </c>
      <c r="E7" s="89" t="s">
        <v>589</v>
      </c>
      <c r="F7" s="89" t="s">
        <v>590</v>
      </c>
      <c r="G7" s="87" t="s">
        <v>587</v>
      </c>
    </row>
    <row r="8" ht="27" customHeight="1">
      <c r="B8" s="87" t="s">
        <v>591</v>
      </c>
      <c r="C8" s="88">
        <v>46224</v>
      </c>
      <c r="D8" s="89" t="s">
        <v>592</v>
      </c>
      <c r="E8" s="89" t="s">
        <v>593</v>
      </c>
      <c r="F8" s="89" t="s">
        <v>594</v>
      </c>
      <c r="G8" s="87" t="s">
        <v>595</v>
      </c>
    </row>
    <row r="9" ht="27" customHeight="1">
      <c r="B9" s="87" t="s">
        <v>596</v>
      </c>
      <c r="C9" s="88">
        <v>46224</v>
      </c>
      <c r="D9" s="89" t="s">
        <v>597</v>
      </c>
      <c r="E9" s="89" t="s">
        <v>598</v>
      </c>
      <c r="F9" s="89" t="s">
        <v>599</v>
      </c>
      <c r="G9" s="87" t="s">
        <v>595</v>
      </c>
    </row>
    <row r="10" ht="27" customHeight="1">
      <c r="B10" s="87" t="s">
        <v>600</v>
      </c>
      <c r="C10" s="88">
        <v>46133</v>
      </c>
      <c r="D10" s="89" t="s">
        <v>592</v>
      </c>
      <c r="E10" s="89" t="s">
        <v>601</v>
      </c>
      <c r="F10" s="89" t="s">
        <v>602</v>
      </c>
      <c r="G10" s="87" t="s">
        <v>595</v>
      </c>
    </row>
    <row r="11" ht="27" customHeight="1">
      <c r="B11" s="87" t="s">
        <v>603</v>
      </c>
      <c r="C11" s="88">
        <v>46044</v>
      </c>
      <c r="D11" s="89" t="s">
        <v>592</v>
      </c>
      <c r="E11" s="89" t="s">
        <v>604</v>
      </c>
      <c r="F11" s="89" t="s">
        <v>605</v>
      </c>
      <c r="G11" s="87" t="s">
        <v>595</v>
      </c>
    </row>
    <row r="12" ht="27" customHeight="1">
      <c r="B12" s="87" t="s">
        <v>606</v>
      </c>
      <c r="C12" s="88">
        <v>46231</v>
      </c>
      <c r="D12" s="89" t="s">
        <v>607</v>
      </c>
      <c r="E12" s="89" t="s">
        <v>608</v>
      </c>
      <c r="F12" s="89" t="s">
        <v>609</v>
      </c>
      <c r="G12" s="87" t="s">
        <v>595</v>
      </c>
    </row>
    <row r="13" ht="27" customHeight="1">
      <c r="B13" s="87" t="s">
        <v>610</v>
      </c>
      <c r="C13" s="88">
        <v>46149</v>
      </c>
      <c r="D13" s="89" t="s">
        <v>611</v>
      </c>
      <c r="E13" s="89" t="s">
        <v>612</v>
      </c>
      <c r="F13" s="89" t="s">
        <v>613</v>
      </c>
      <c r="G13" s="87" t="s">
        <v>595</v>
      </c>
    </row>
    <row r="14" ht="27" customHeight="1">
      <c r="B14" s="87" t="s">
        <v>614</v>
      </c>
      <c r="C14" s="88">
        <v>45964</v>
      </c>
      <c r="D14" s="89" t="s">
        <v>615</v>
      </c>
      <c r="E14" s="89" t="s">
        <v>616</v>
      </c>
      <c r="F14" s="89" t="s">
        <v>617</v>
      </c>
      <c r="G14" s="87" t="s">
        <v>595</v>
      </c>
    </row>
    <row r="15" ht="27" customHeight="1">
      <c r="B15" s="87" t="s">
        <v>618</v>
      </c>
      <c r="C15" s="88">
        <v>46072</v>
      </c>
      <c r="D15" s="89" t="s">
        <v>619</v>
      </c>
      <c r="E15" s="89" t="s">
        <v>620</v>
      </c>
      <c r="F15" s="89" t="s">
        <v>621</v>
      </c>
      <c r="G15" s="87" t="s">
        <v>595</v>
      </c>
    </row>
    <row r="16" ht="27" customHeight="1">
      <c r="B16" s="87" t="s">
        <v>125</v>
      </c>
      <c r="C16" s="88">
        <v>46248</v>
      </c>
      <c r="D16" s="89" t="s">
        <v>597</v>
      </c>
      <c r="E16" s="89" t="s">
        <v>622</v>
      </c>
      <c r="F16" s="89" t="s">
        <v>623</v>
      </c>
      <c r="G16" s="87" t="s">
        <v>595</v>
      </c>
    </row>
    <row r="17" ht="39" customHeight="1">
      <c r="B17" s="87" t="s">
        <v>127</v>
      </c>
      <c r="C17" s="88">
        <v>46280</v>
      </c>
      <c r="D17" s="89" t="s">
        <v>624</v>
      </c>
      <c r="E17" s="89" t="s">
        <v>625</v>
      </c>
      <c r="F17" s="89" t="s">
        <v>626</v>
      </c>
      <c r="G17" s="87" t="s">
        <v>595</v>
      </c>
    </row>
    <row r="18" ht="27" customHeight="1">
      <c r="B18" s="87" t="s">
        <v>562</v>
      </c>
      <c r="C18" s="88">
        <v>46224</v>
      </c>
      <c r="D18" s="89" t="s">
        <v>627</v>
      </c>
      <c r="E18" s="89" t="s">
        <v>628</v>
      </c>
      <c r="F18" s="89" t="s">
        <v>629</v>
      </c>
      <c r="G18" s="87" t="s">
        <v>595</v>
      </c>
    </row>
    <row r="19" ht="39" customHeight="1">
      <c r="B19" s="87" t="s">
        <v>569</v>
      </c>
      <c r="C19" s="88">
        <v>46281</v>
      </c>
      <c r="D19" s="89" t="s">
        <v>630</v>
      </c>
      <c r="E19" s="89" t="s">
        <v>631</v>
      </c>
      <c r="F19" s="89" t="s">
        <v>632</v>
      </c>
      <c r="G19" s="87" t="s">
        <v>595</v>
      </c>
    </row>
    <row r="20" ht="39" customHeight="1">
      <c r="B20" s="87" t="s">
        <v>633</v>
      </c>
      <c r="C20" s="88">
        <v>46310</v>
      </c>
      <c r="D20" s="89" t="s">
        <v>634</v>
      </c>
      <c r="E20" s="89" t="s">
        <v>635</v>
      </c>
      <c r="F20" s="89" t="s">
        <v>636</v>
      </c>
      <c r="G20" s="87" t="s">
        <v>595</v>
      </c>
    </row>
    <row r="21" ht="27" customHeight="1">
      <c r="B21" s="87" t="s">
        <v>637</v>
      </c>
      <c r="C21" s="88">
        <v>46310</v>
      </c>
      <c r="D21" s="89" t="s">
        <v>634</v>
      </c>
      <c r="E21" s="89" t="s">
        <v>638</v>
      </c>
      <c r="F21" s="89" t="s">
        <v>639</v>
      </c>
      <c r="G21" s="87" t="s">
        <v>595</v>
      </c>
    </row>
    <row r="22" ht="27" customHeight="1">
      <c r="B22" s="87" t="s">
        <v>640</v>
      </c>
      <c r="C22" s="88">
        <v>46281</v>
      </c>
      <c r="D22" s="89" t="s">
        <v>641</v>
      </c>
      <c r="E22" s="89" t="s">
        <v>642</v>
      </c>
      <c r="F22" s="89" t="s">
        <v>643</v>
      </c>
      <c r="G22" s="87" t="s">
        <v>595</v>
      </c>
    </row>
    <row r="23" ht="27" customHeight="1">
      <c r="B23" s="87" t="s">
        <v>644</v>
      </c>
      <c r="C23" s="88">
        <v>46308</v>
      </c>
      <c r="D23" s="89" t="s">
        <v>645</v>
      </c>
      <c r="E23" s="89" t="s">
        <v>646</v>
      </c>
      <c r="F23" s="89" t="s">
        <v>647</v>
      </c>
      <c r="G23" s="87" t="s">
        <v>595</v>
      </c>
    </row>
    <row r="24" ht="27" customHeight="1">
      <c r="B24" s="87" t="s">
        <v>648</v>
      </c>
      <c r="C24" s="88">
        <v>46311</v>
      </c>
      <c r="D24" s="89" t="s">
        <v>649</v>
      </c>
      <c r="E24" s="89" t="s">
        <v>650</v>
      </c>
      <c r="F24" s="89" t="s">
        <v>651</v>
      </c>
      <c r="G24" s="87" t="s">
        <v>595</v>
      </c>
    </row>
    <row r="25" ht="27" customHeight="1">
      <c r="B25" s="87" t="s">
        <v>652</v>
      </c>
      <c r="C25" s="88">
        <v>46311</v>
      </c>
      <c r="D25" s="89" t="s">
        <v>653</v>
      </c>
      <c r="E25" s="89" t="s">
        <v>654</v>
      </c>
      <c r="F25" s="89" t="s">
        <v>655</v>
      </c>
      <c r="G25" s="87" t="s">
        <v>595</v>
      </c>
    </row>
    <row r="26" ht="39" customHeight="1">
      <c r="B26" s="87" t="s">
        <v>656</v>
      </c>
      <c r="C26" s="88">
        <v>46289</v>
      </c>
      <c r="D26" s="89" t="s">
        <v>657</v>
      </c>
      <c r="E26" s="89" t="s">
        <v>658</v>
      </c>
      <c r="F26" s="89" t="s">
        <v>659</v>
      </c>
      <c r="G26" s="87" t="s">
        <v>595</v>
      </c>
    </row>
    <row r="27" ht="39" customHeight="1">
      <c r="B27" s="87" t="s">
        <v>558</v>
      </c>
      <c r="C27" s="88">
        <v>45951</v>
      </c>
      <c r="D27" s="89" t="s">
        <v>660</v>
      </c>
      <c r="E27" s="89" t="s">
        <v>661</v>
      </c>
      <c r="F27" s="89" t="s">
        <v>662</v>
      </c>
      <c r="G27" s="87" t="s">
        <v>595</v>
      </c>
    </row>
    <row r="28" ht="39" customHeight="1">
      <c r="B28" s="87" t="s">
        <v>663</v>
      </c>
      <c r="C28" s="88">
        <v>46149</v>
      </c>
      <c r="D28" s="89" t="s">
        <v>664</v>
      </c>
      <c r="E28" s="89" t="s">
        <v>665</v>
      </c>
      <c r="F28" s="89" t="s">
        <v>666</v>
      </c>
      <c r="G28" s="87" t="s">
        <v>595</v>
      </c>
    </row>
    <row r="29" ht="39" customHeight="1">
      <c r="B29" s="87" t="s">
        <v>667</v>
      </c>
      <c r="C29" s="88">
        <v>46308</v>
      </c>
      <c r="D29" s="89" t="s">
        <v>668</v>
      </c>
      <c r="E29" s="89" t="s">
        <v>669</v>
      </c>
      <c r="F29" s="89" t="s">
        <v>670</v>
      </c>
      <c r="G29" s="87" t="s">
        <v>595</v>
      </c>
    </row>
    <row r="30" ht="27" customHeight="1">
      <c r="B30" s="87" t="s">
        <v>671</v>
      </c>
      <c r="C30" s="88">
        <v>46279</v>
      </c>
      <c r="D30" s="89" t="s">
        <v>672</v>
      </c>
      <c r="E30" s="89" t="s">
        <v>673</v>
      </c>
      <c r="F30" s="89" t="s">
        <v>674</v>
      </c>
      <c r="G30" s="87" t="s">
        <v>595</v>
      </c>
    </row>
    <row r="31" ht="15" customHeight="1">
      <c r="B31" s="87" t="s">
        <v>675</v>
      </c>
      <c r="C31" s="90" t="s">
        <v>31</v>
      </c>
      <c r="D31" s="89" t="s">
        <v>676</v>
      </c>
      <c r="E31" s="89" t="s">
        <v>677</v>
      </c>
      <c r="F31" s="89" t="s">
        <v>678</v>
      </c>
      <c r="G31" s="87" t="s">
        <v>587</v>
      </c>
    </row>
    <row r="33" ht="15" customHeight="1">
      <c r="B33" s="71" t="s">
        <v>679</v>
      </c>
    </row>
    <row r="34" ht="15" customHeight="1">
      <c r="B34" s="71" t="s">
        <v>680</v>
      </c>
    </row>
    <row r="35" ht="15" customHeight="1">
      <c r="B35" s="71" t="s">
        <v>681</v>
      </c>
    </row>
    <row r="36" ht="15" customHeight="1">
      <c r="B36" s="71" t="s">
        <v>682</v>
      </c>
    </row>
    <row r="37" ht="15" customHeight="1">
      <c r="B37" s="71" t="s">
        <v>683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EB35D98-8F27-F308-F076-9C04E6503F7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3" width="16.00390625" customWidth="1"/>
    <col min="4" max="4" width="40.00390625" customWidth="1"/>
    <col min="5" max="9" width="16.00390625" customWidth="1"/>
    <col min="10" max="10" width="14.00390625" customWidth="1"/>
    <col min="11" max="11" width="11.00390625" customWidth="1"/>
  </cols>
  <sheetData>
    <row r="1" ht="15" customHeight="1">
      <c r="B1" s="1" t="s">
        <v>0</v>
      </c>
    </row>
    <row r="2" ht="15" customHeight="1">
      <c r="B2" s="2" t="s">
        <v>684</v>
      </c>
    </row>
    <row r="3" ht="15" customHeight="1">
      <c r="B3" s="3" t="s">
        <v>2</v>
      </c>
    </row>
    <row r="5" ht="15" customHeight="1">
      <c r="B5" s="5" t="s">
        <v>685</v>
      </c>
      <c r="C5" s="6" t="s">
        <v>686</v>
      </c>
      <c r="D5" s="5" t="s">
        <v>687</v>
      </c>
    </row>
    <row r="6" ht="15" customHeight="1">
      <c r="B6" s="3" t="s">
        <v>688</v>
      </c>
      <c r="C6" s="91" t="s">
        <v>689</v>
      </c>
    </row>
    <row r="7" ht="15" customHeight="1">
      <c r="B7" s="3" t="s">
        <v>690</v>
      </c>
      <c r="C7" s="92" t="s">
        <v>4</v>
      </c>
    </row>
    <row r="8" ht="15" customHeight="1">
      <c r="B8" s="3" t="s">
        <v>691</v>
      </c>
      <c r="C8" s="91" t="s">
        <v>692</v>
      </c>
    </row>
    <row r="9" ht="15" customHeight="1">
      <c r="B9" s="3" t="s">
        <v>693</v>
      </c>
      <c r="C9" s="91">
        <v>336241</v>
      </c>
    </row>
    <row r="10" ht="15" customHeight="1">
      <c r="B10" s="3" t="s">
        <v>694</v>
      </c>
      <c r="C10" s="91" t="s">
        <v>695</v>
      </c>
    </row>
    <row r="11" ht="15" customHeight="1">
      <c r="B11" s="3" t="s">
        <v>696</v>
      </c>
      <c r="C11" s="91" t="s">
        <v>697</v>
      </c>
    </row>
    <row r="12" ht="15" customHeight="1">
      <c r="B12" s="3" t="s">
        <v>698</v>
      </c>
      <c r="C12" s="92" t="s">
        <v>699</v>
      </c>
    </row>
    <row r="13" ht="15" customHeight="1">
      <c r="B13" s="3" t="s">
        <v>700</v>
      </c>
      <c r="C13" s="93">
        <v>46295</v>
      </c>
    </row>
    <row r="14" ht="15" customHeight="1">
      <c r="B14" s="3" t="s">
        <v>701</v>
      </c>
      <c r="C14" s="93">
        <v>46317</v>
      </c>
      <c r="D14" s="71" t="s">
        <v>702</v>
      </c>
    </row>
    <row r="15" ht="15" customHeight="1">
      <c r="B15" s="3" t="s">
        <v>703</v>
      </c>
      <c r="C15" s="92" t="s">
        <v>704</v>
      </c>
    </row>
    <row r="16" ht="15" customHeight="1">
      <c r="B16" s="3" t="s">
        <v>705</v>
      </c>
      <c r="C16" s="94">
        <v>17</v>
      </c>
    </row>
    <row r="17" ht="15" customHeight="1">
      <c r="B17" s="3" t="s">
        <v>706</v>
      </c>
      <c r="C17" s="94">
        <v>18</v>
      </c>
    </row>
    <row r="18" ht="15" customHeight="1">
      <c r="B18" s="3" t="s">
        <v>707</v>
      </c>
      <c r="C18" s="3"/>
    </row>
    <row r="19" ht="15" customHeight="1">
      <c r="B19" s="3" t="s">
        <v>708</v>
      </c>
      <c r="C19" s="16">
        <v>5.5</v>
      </c>
      <c r="D19" s="71" t="s">
        <v>709</v>
      </c>
    </row>
    <row r="20" ht="15" customHeight="1">
      <c r="B20" s="3" t="s">
        <v>710</v>
      </c>
      <c r="C20" s="16">
        <v>5.52</v>
      </c>
    </row>
    <row r="21" ht="15" customHeight="1">
      <c r="B21" s="3" t="s">
        <v>711</v>
      </c>
      <c r="C21" s="16">
        <v>5.7</v>
      </c>
    </row>
    <row r="22" ht="15" customHeight="1">
      <c r="B22" s="3" t="s">
        <v>712</v>
      </c>
      <c r="C22" s="16">
        <v>5.07</v>
      </c>
    </row>
    <row r="23" ht="15" customHeight="1">
      <c r="B23" s="3" t="s">
        <v>713</v>
      </c>
      <c r="C23" s="16">
        <v>0.17</v>
      </c>
      <c r="D23" s="71" t="s">
        <v>714</v>
      </c>
    </row>
    <row r="24" ht="15" customHeight="1">
      <c r="B24" s="3" t="s">
        <v>715</v>
      </c>
      <c r="C24" s="94">
        <v>17</v>
      </c>
      <c r="D24" s="71" t="s">
        <v>716</v>
      </c>
    </row>
    <row r="25" ht="15" customHeight="1">
      <c r="B25" s="3" t="s">
        <v>717</v>
      </c>
      <c r="C25" s="3"/>
    </row>
    <row r="26" ht="15" customHeight="1">
      <c r="B26" s="3" t="s">
        <v>718</v>
      </c>
      <c r="C26" s="3"/>
    </row>
    <row r="27" ht="15" customHeight="1">
      <c r="B27" s="3" t="s">
        <v>719</v>
      </c>
      <c r="C27" s="3"/>
    </row>
    <row r="28" ht="15" customHeight="1">
      <c r="B28" s="3" t="s">
        <v>720</v>
      </c>
      <c r="C28" s="16">
        <v>4.66</v>
      </c>
      <c r="D28" s="71" t="s">
        <v>721</v>
      </c>
    </row>
    <row r="29" ht="15" customHeight="1">
      <c r="B29" s="3" t="s">
        <v>722</v>
      </c>
      <c r="C29" s="16">
        <v>4.61</v>
      </c>
    </row>
    <row r="30" ht="15" customHeight="1">
      <c r="B30" s="3" t="s">
        <v>723</v>
      </c>
      <c r="C30" s="16">
        <v>5.42</v>
      </c>
    </row>
    <row r="31" ht="15" customHeight="1">
      <c r="B31" s="3" t="s">
        <v>724</v>
      </c>
      <c r="C31" s="16">
        <v>4.15</v>
      </c>
    </row>
    <row r="32" ht="15" customHeight="1">
      <c r="B32" s="3" t="s">
        <v>725</v>
      </c>
      <c r="C32" s="16">
        <v>0.33</v>
      </c>
    </row>
    <row r="33" ht="15" customHeight="1">
      <c r="B33" s="3" t="s">
        <v>726</v>
      </c>
      <c r="C33" s="94">
        <v>14</v>
      </c>
    </row>
    <row r="34" ht="15" customHeight="1">
      <c r="B34" s="3" t="s">
        <v>727</v>
      </c>
      <c r="C34" s="3"/>
    </row>
    <row r="35" ht="15" customHeight="1">
      <c r="B35" s="3" t="s">
        <v>728</v>
      </c>
      <c r="C35" s="3"/>
    </row>
    <row r="36" ht="15" customHeight="1">
      <c r="B36" s="3" t="s">
        <v>729</v>
      </c>
      <c r="C36" s="3"/>
    </row>
    <row r="37" ht="15" customHeight="1">
      <c r="B37" s="3" t="s">
        <v>730</v>
      </c>
      <c r="C37" s="12">
        <v>16242.3</v>
      </c>
      <c r="D37" s="71" t="s">
        <v>731</v>
      </c>
    </row>
    <row r="38" ht="15" customHeight="1">
      <c r="B38" s="3" t="s">
        <v>732</v>
      </c>
      <c r="C38" s="12">
        <v>16305.43</v>
      </c>
    </row>
    <row r="39" ht="15" customHeight="1">
      <c r="B39" s="3" t="s">
        <v>733</v>
      </c>
      <c r="C39" s="12">
        <v>16418</v>
      </c>
    </row>
    <row r="40" ht="15" customHeight="1">
      <c r="B40" s="3" t="s">
        <v>734</v>
      </c>
      <c r="C40" s="12">
        <v>15870</v>
      </c>
    </row>
    <row r="41" ht="15" customHeight="1">
      <c r="B41" s="3" t="s">
        <v>735</v>
      </c>
      <c r="C41" s="12">
        <v>171.58</v>
      </c>
    </row>
    <row r="42" ht="15" customHeight="1">
      <c r="B42" s="3" t="s">
        <v>736</v>
      </c>
      <c r="C42" s="94">
        <v>12</v>
      </c>
    </row>
    <row r="43" ht="15" customHeight="1">
      <c r="B43" s="3" t="s">
        <v>737</v>
      </c>
      <c r="C43" s="3"/>
    </row>
    <row r="44" ht="15" customHeight="1">
      <c r="B44" s="3" t="s">
        <v>738</v>
      </c>
      <c r="C44" s="3"/>
    </row>
    <row r="45" ht="15" customHeight="1">
      <c r="B45" s="3" t="s">
        <v>739</v>
      </c>
      <c r="C45" s="3"/>
    </row>
    <row r="46" ht="15" customHeight="1">
      <c r="B46" s="3" t="s">
        <v>740</v>
      </c>
      <c r="C46" s="3"/>
    </row>
    <row r="47" ht="15" customHeight="1">
      <c r="B47" s="3" t="s">
        <v>741</v>
      </c>
      <c r="C47" s="12">
        <v>7499.83</v>
      </c>
    </row>
    <row r="48" ht="15" customHeight="1">
      <c r="B48" s="3" t="s">
        <v>742</v>
      </c>
      <c r="C48" s="12">
        <v>4262.33</v>
      </c>
      <c r="D48" s="71" t="s">
        <v>714</v>
      </c>
    </row>
    <row r="49" ht="15" customHeight="1">
      <c r="B49" s="3" t="s">
        <v>743</v>
      </c>
      <c r="C49" s="12">
        <v>3713.63</v>
      </c>
      <c r="D49" s="71" t="s">
        <v>744</v>
      </c>
    </row>
    <row r="50" ht="15" customHeight="1">
      <c r="B50" s="3" t="s">
        <v>745</v>
      </c>
      <c r="C50" s="12">
        <v>3369.67</v>
      </c>
      <c r="D50" s="71" t="s">
        <v>746</v>
      </c>
    </row>
    <row r="51" ht="15" customHeight="1">
      <c r="B51" s="3" t="s">
        <v>747</v>
      </c>
      <c r="C51" s="12">
        <v>2874.11</v>
      </c>
      <c r="D51" s="71" t="s">
        <v>748</v>
      </c>
    </row>
    <row r="52" ht="15" customHeight="1">
      <c r="B52" s="3" t="s">
        <v>749</v>
      </c>
      <c r="C52" s="12">
        <v>8.23</v>
      </c>
      <c r="D52" s="71" t="s">
        <v>750</v>
      </c>
    </row>
    <row r="53" ht="15" customHeight="1">
      <c r="B53" s="3" t="s">
        <v>751</v>
      </c>
      <c r="C53" s="12">
        <v>20.57</v>
      </c>
      <c r="D53" s="71" t="s">
        <v>752</v>
      </c>
    </row>
    <row r="54" ht="15" customHeight="1">
      <c r="B54" s="3" t="s">
        <v>753</v>
      </c>
      <c r="C54" s="3"/>
    </row>
    <row r="55" ht="15" customHeight="1">
      <c r="B55" s="3" t="s">
        <v>754</v>
      </c>
      <c r="C55" s="3"/>
    </row>
    <row r="56" ht="15" customHeight="1">
      <c r="B56" s="3" t="s">
        <v>755</v>
      </c>
      <c r="C56" s="3"/>
    </row>
    <row r="57" ht="15" customHeight="1">
      <c r="B57" s="3" t="s">
        <v>756</v>
      </c>
      <c r="C57" s="3"/>
    </row>
    <row r="58" ht="15" customHeight="1">
      <c r="B58" s="3" t="s">
        <v>757</v>
      </c>
      <c r="C58" s="12">
        <v>-4113.5</v>
      </c>
    </row>
    <row r="59" ht="15" customHeight="1">
      <c r="B59" s="3" t="s">
        <v>758</v>
      </c>
      <c r="C59" s="3"/>
    </row>
    <row r="60" ht="15" customHeight="1">
      <c r="B60" s="3" t="s">
        <v>759</v>
      </c>
      <c r="C60" s="12">
        <v>66698</v>
      </c>
    </row>
    <row r="61" ht="15" customHeight="1">
      <c r="B61" s="3" t="s">
        <v>760</v>
      </c>
      <c r="C61" s="3"/>
    </row>
    <row r="62" ht="15" customHeight="1">
      <c r="B62" s="3" t="s">
        <v>761</v>
      </c>
      <c r="C62" s="16">
        <v>252.27</v>
      </c>
    </row>
    <row r="63" ht="15" customHeight="1">
      <c r="B63" s="3" t="s">
        <v>762</v>
      </c>
      <c r="C63" s="16">
        <v>250</v>
      </c>
    </row>
    <row r="64" ht="15" customHeight="1">
      <c r="B64" s="3" t="s">
        <v>763</v>
      </c>
      <c r="C64" s="16">
        <v>290</v>
      </c>
    </row>
    <row r="65" ht="15" customHeight="1">
      <c r="B65" s="3" t="s">
        <v>764</v>
      </c>
      <c r="C65" s="16">
        <v>219</v>
      </c>
    </row>
    <row r="66" ht="15" customHeight="1">
      <c r="B66" s="3" t="s">
        <v>765</v>
      </c>
      <c r="C66" s="16">
        <v>21.19</v>
      </c>
    </row>
    <row r="67" ht="15" customHeight="1">
      <c r="B67" s="3" t="s">
        <v>766</v>
      </c>
      <c r="C67" s="94">
        <v>22</v>
      </c>
    </row>
    <row r="68" ht="15" customHeight="1">
      <c r="B68" s="3" t="s">
        <v>767</v>
      </c>
      <c r="C68" s="91" t="s">
        <v>768</v>
      </c>
    </row>
    <row r="69" ht="15" customHeight="1">
      <c r="B69" s="3" t="s">
        <v>769</v>
      </c>
      <c r="C69" s="95">
        <v>1.63</v>
      </c>
    </row>
    <row r="70" ht="15" customHeight="1">
      <c r="B70" s="3" t="s">
        <v>770</v>
      </c>
      <c r="C70" s="16">
        <v>201.74</v>
      </c>
      <c r="D70" s="71" t="s">
        <v>771</v>
      </c>
    </row>
    <row r="71" ht="15" customHeight="1">
      <c r="B71" s="3" t="s">
        <v>772</v>
      </c>
      <c r="C71" s="91" t="s">
        <v>773</v>
      </c>
    </row>
    <row r="72" ht="15" customHeight="1">
      <c r="B72" s="3" t="s">
        <v>774</v>
      </c>
      <c r="C72" s="93">
        <v>46313</v>
      </c>
    </row>
    <row r="73" ht="15" customHeight="1">
      <c r="B73" s="3" t="s">
        <v>775</v>
      </c>
      <c r="C73" s="92" t="s">
        <v>776</v>
      </c>
    </row>
    <row r="75" ht="15" customHeight="1">
      <c r="B75" s="5" t="s">
        <v>777</v>
      </c>
      <c r="C75" s="5"/>
      <c r="D75" s="5"/>
    </row>
    <row r="76" ht="15" customHeight="1">
      <c r="B76" s="3" t="s">
        <v>778</v>
      </c>
      <c r="C76" s="91" t="s">
        <v>779</v>
      </c>
    </row>
    <row r="77" ht="15" customHeight="1">
      <c r="B77" s="3" t="s">
        <v>780</v>
      </c>
      <c r="C77" s="93">
        <v>46313</v>
      </c>
    </row>
    <row r="78" ht="15" customHeight="1">
      <c r="B78" s="3" t="s">
        <v>781</v>
      </c>
      <c r="C78" s="94">
        <v>17</v>
      </c>
    </row>
    <row r="79" ht="15" customHeight="1">
      <c r="B79" s="3" t="s">
        <v>782</v>
      </c>
      <c r="C79" s="16">
        <v>5.5</v>
      </c>
    </row>
    <row r="80" ht="15" customHeight="1">
      <c r="B80" s="3" t="s">
        <v>783</v>
      </c>
      <c r="C80" s="12">
        <v>16242.3</v>
      </c>
    </row>
    <row r="81" ht="15" customHeight="1">
      <c r="B81" s="3" t="s">
        <v>784</v>
      </c>
      <c r="C81" s="91" t="s">
        <v>695</v>
      </c>
    </row>
    <row r="82" ht="15" customHeight="1">
      <c r="B82" s="3" t="s">
        <v>703</v>
      </c>
      <c r="C82" s="92" t="s">
        <v>785</v>
      </c>
    </row>
    <row r="83" ht="15" customHeight="1">
      <c r="B83" s="3" t="s">
        <v>786</v>
      </c>
      <c r="C83" s="92" t="s">
        <v>787</v>
      </c>
    </row>
    <row r="84" ht="15" customHeight="1">
      <c r="B84" s="3" t="s">
        <v>788</v>
      </c>
      <c r="C84" s="91" t="s">
        <v>695</v>
      </c>
    </row>
    <row r="85" ht="15" customHeight="1">
      <c r="B85" s="3" t="s">
        <v>789</v>
      </c>
      <c r="C85" s="92" t="s">
        <v>790</v>
      </c>
    </row>
    <row r="86" ht="15" customHeight="1">
      <c r="B86" s="3" t="s">
        <v>791</v>
      </c>
      <c r="C86" s="91" t="s">
        <v>695</v>
      </c>
    </row>
    <row r="87" ht="15" customHeight="1">
      <c r="B87" s="3" t="s">
        <v>792</v>
      </c>
      <c r="C87" s="92" t="s">
        <v>793</v>
      </c>
    </row>
    <row r="88" ht="15" customHeight="1">
      <c r="B88" s="3" t="s">
        <v>794</v>
      </c>
      <c r="C88" s="91" t="s">
        <v>695</v>
      </c>
    </row>
    <row r="89" ht="15" customHeight="1">
      <c r="B89" s="3" t="s">
        <v>795</v>
      </c>
      <c r="C89" s="91" t="s">
        <v>796</v>
      </c>
    </row>
    <row r="91" ht="22.5" customHeight="1">
      <c r="B91" s="96" t="s">
        <v>797</v>
      </c>
      <c r="C91" s="96" t="s">
        <v>798</v>
      </c>
      <c r="D91" s="96" t="s">
        <v>799</v>
      </c>
      <c r="E91" s="96" t="s">
        <v>800</v>
      </c>
      <c r="F91" s="96" t="s">
        <v>801</v>
      </c>
      <c r="G91" s="96" t="s">
        <v>802</v>
      </c>
      <c r="H91" s="96" t="s">
        <v>803</v>
      </c>
      <c r="I91" s="96" t="s">
        <v>804</v>
      </c>
      <c r="J91" s="96" t="s">
        <v>805</v>
      </c>
      <c r="K91" s="96" t="s">
        <v>806</v>
      </c>
    </row>
    <row r="92" ht="15" customHeight="1">
      <c r="B92" s="93">
        <v>45747</v>
      </c>
      <c r="C92" s="93">
        <v>45769</v>
      </c>
      <c r="D92" s="16">
        <v>3.65</v>
      </c>
      <c r="E92" s="16">
        <v>4.06</v>
      </c>
      <c r="F92" s="16">
        <v>3.68</v>
      </c>
      <c r="G92" s="16">
        <v>3.45</v>
      </c>
      <c r="H92" s="12">
        <v>10048.98</v>
      </c>
      <c r="I92" s="12">
        <v>10000</v>
      </c>
      <c r="J92" s="15">
        <f t="shared" si="0" ref="J92:J97">E92-D92</f>
        <v>0.4099999999999997</v>
      </c>
      <c r="K92" s="97">
        <f t="shared" si="1" ref="K92:K97">IF(E92&gt;D92,1,0)</f>
        <v>1</v>
      </c>
    </row>
    <row r="93" ht="15" customHeight="1">
      <c r="B93" s="93">
        <v>45838</v>
      </c>
      <c r="C93" s="93">
        <v>45860</v>
      </c>
      <c r="D93" s="16">
        <v>3.72</v>
      </c>
      <c r="E93" s="16">
        <v>5.48</v>
      </c>
      <c r="F93" s="16">
        <v>-7.02</v>
      </c>
      <c r="G93" s="16">
        <v>-8.58</v>
      </c>
      <c r="H93" s="12">
        <v>12864.55</v>
      </c>
      <c r="I93" s="12">
        <v>12492</v>
      </c>
      <c r="J93" s="15">
        <f t="shared" si="0"/>
        <v>1.7600000000000002</v>
      </c>
      <c r="K93" s="97">
        <f t="shared" si="1"/>
        <v>1</v>
      </c>
    </row>
    <row r="94" ht="15" customHeight="1">
      <c r="B94" s="93">
        <v>45930</v>
      </c>
      <c r="C94" s="93">
        <v>45951</v>
      </c>
      <c r="D94" s="16">
        <v>4.36</v>
      </c>
      <c r="E94" s="16">
        <v>5.95</v>
      </c>
      <c r="F94" s="16">
        <v>3.57</v>
      </c>
      <c r="G94" s="16">
        <v>4.83</v>
      </c>
      <c r="H94" s="12">
        <v>15082.46</v>
      </c>
      <c r="I94" s="12">
        <v>15359</v>
      </c>
      <c r="J94" s="15">
        <f t="shared" si="0"/>
        <v>1.5899999999999999</v>
      </c>
      <c r="K94" s="97">
        <f t="shared" si="1"/>
        <v>1</v>
      </c>
    </row>
    <row r="95" ht="15" customHeight="1">
      <c r="B95" s="93">
        <v>46022</v>
      </c>
      <c r="C95" s="93">
        <v>46044</v>
      </c>
      <c r="D95" s="16">
        <v>4.14</v>
      </c>
      <c r="E95" s="16">
        <v>3.86</v>
      </c>
      <c r="F95" s="16">
        <v>3.23</v>
      </c>
      <c r="G95" s="16">
        <v>3.26</v>
      </c>
      <c r="H95" s="12">
        <v>15469.1</v>
      </c>
      <c r="I95" s="12">
        <v>15583</v>
      </c>
      <c r="J95" s="15">
        <f t="shared" si="0"/>
        <v>-0.2799999999999998</v>
      </c>
      <c r="K95" s="97">
        <f t="shared" si="1"/>
        <v>0</v>
      </c>
    </row>
    <row r="96" ht="15" customHeight="1">
      <c r="B96" s="93">
        <v>46112</v>
      </c>
      <c r="C96" s="93">
        <v>46133</v>
      </c>
      <c r="D96" s="16">
        <v>4.57</v>
      </c>
      <c r="E96" s="16">
        <v>4.42</v>
      </c>
      <c r="F96" s="16">
        <v>3.82</v>
      </c>
      <c r="G96" s="16">
        <v>3.34</v>
      </c>
      <c r="H96" s="12">
        <v>15365.1</v>
      </c>
      <c r="I96" s="12">
        <v>15231</v>
      </c>
      <c r="J96" s="15">
        <f t="shared" si="0"/>
        <v>-0.15000000000000036</v>
      </c>
      <c r="K96" s="97">
        <f t="shared" si="1"/>
        <v>0</v>
      </c>
    </row>
    <row r="97" ht="15" customHeight="1">
      <c r="B97" s="93">
        <v>46203</v>
      </c>
      <c r="C97" s="93">
        <v>46224</v>
      </c>
      <c r="D97" s="16">
        <v>4.69</v>
      </c>
      <c r="E97" s="16">
        <v>5.81</v>
      </c>
      <c r="F97" s="16">
        <v>3.96</v>
      </c>
      <c r="G97" s="16">
        <v>4.73</v>
      </c>
      <c r="H97" s="12">
        <v>15768.01</v>
      </c>
      <c r="I97" s="12">
        <v>15850</v>
      </c>
      <c r="J97" s="15">
        <f t="shared" si="0"/>
        <v>1.1199999999999992</v>
      </c>
      <c r="K97" s="97">
        <f t="shared" si="1"/>
        <v>1</v>
      </c>
    </row>
    <row r="99" ht="15" customHeight="1">
      <c r="B99" s="5" t="s">
        <v>807</v>
      </c>
      <c r="C99" s="6" t="s">
        <v>808</v>
      </c>
      <c r="D99" s="5" t="s">
        <v>809</v>
      </c>
    </row>
    <row r="100" ht="15" customHeight="1">
      <c r="B100" s="3" t="s">
        <v>810</v>
      </c>
      <c r="C100" s="12">
        <v>123.76</v>
      </c>
      <c r="D100" s="71" t="s">
        <v>811</v>
      </c>
    </row>
    <row r="101" ht="15" customHeight="1">
      <c r="B101" s="3" t="s">
        <v>812</v>
      </c>
      <c r="C101" s="17" t="s">
        <v>813</v>
      </c>
      <c r="D101" s="71" t="s">
        <v>814</v>
      </c>
    </row>
    <row r="102" ht="15" customHeight="1">
      <c r="B102" s="3" t="s">
        <v>815</v>
      </c>
      <c r="C102" s="17" t="s">
        <v>816</v>
      </c>
      <c r="D102" s="71" t="s">
        <v>817</v>
      </c>
    </row>
    <row r="103" ht="15" customHeight="1">
      <c r="B103" s="3" t="s">
        <v>818</v>
      </c>
      <c r="C103" s="98">
        <v>0.78</v>
      </c>
      <c r="D103" s="71" t="s">
        <v>819</v>
      </c>
    </row>
    <row r="104" ht="15" customHeight="1">
      <c r="B104" s="3" t="s">
        <v>820</v>
      </c>
      <c r="C104" s="97">
        <f>SUM(K92:K97)</f>
        <v>4</v>
      </c>
      <c r="D104" s="71" t="s">
        <v>821</v>
      </c>
    </row>
    <row r="105" ht="15" customHeight="1">
      <c r="B105" s="3" t="s">
        <v>822</v>
      </c>
      <c r="C105" s="97">
        <f>IF(AND(ISNUMBER(D92),ISNUMBER(E92)),1,0)+IF(AND(ISNUMBER(D93),ISNUMBER(E93)),1,0)+IF(AND(ISNUMBER(D94),ISNUMBER(E94)),1,0)+IF(AND(ISNUMBER(D95),ISNUMBER(E95)),1,0)+IF(AND(ISNUMBER(D96),ISNUMBER(E96)),1,0)+IF(AND(ISNUMBER(D97),ISNUMBER(E97)),1,0)</f>
        <v>6</v>
      </c>
      <c r="D105" s="71" t="s">
        <v>823</v>
      </c>
    </row>
    <row r="106" ht="15" customHeight="1">
      <c r="B106" s="3" t="s">
        <v>824</v>
      </c>
      <c r="C106" s="94">
        <v>8</v>
      </c>
      <c r="D106" s="71" t="s">
        <v>825</v>
      </c>
    </row>
    <row r="107" ht="15" customHeight="1">
      <c r="B107" s="3" t="s">
        <v>826</v>
      </c>
      <c r="C107" s="99">
        <f>(C106*C103+C104)/(C106+C105)</f>
        <v>0.7314285714285714</v>
      </c>
      <c r="D107" s="71" t="s">
        <v>827</v>
      </c>
    </row>
    <row r="108" ht="15" customHeight="1">
      <c r="B108" s="3" t="s">
        <v>828</v>
      </c>
      <c r="C108" s="98">
        <v>-0.06</v>
      </c>
      <c r="D108" s="71" t="s">
        <v>829</v>
      </c>
    </row>
    <row r="109" ht="15" customHeight="1">
      <c r="B109" s="3" t="s">
        <v>830</v>
      </c>
      <c r="C109" s="99">
        <f>C107+C108</f>
        <v>0.6714285714285715</v>
      </c>
      <c r="D109" s="71" t="s">
        <v>831</v>
      </c>
    </row>
    <row r="110" ht="15" customHeight="1">
      <c r="B110" s="3" t="s">
        <v>832</v>
      </c>
      <c r="C110" s="15">
        <f>AVERAGE(J92:J97)</f>
        <v>0.7416666666666666</v>
      </c>
      <c r="D110" s="71" t="s">
        <v>833</v>
      </c>
    </row>
    <row r="111" ht="15" customHeight="1">
      <c r="B111" s="3" t="s">
        <v>834</v>
      </c>
      <c r="C111" s="15">
        <f>MEDIAN(J92:J97)</f>
        <v>0.7649999999999995</v>
      </c>
      <c r="D111" s="71" t="s">
        <v>833</v>
      </c>
    </row>
    <row r="112" ht="15" customHeight="1">
      <c r="B112" s="3" t="s">
        <v>835</v>
      </c>
      <c r="C112" s="97">
        <f>IF(AND(C109&gt;=0,C109&lt;=1),0,1)</f>
        <v>0</v>
      </c>
      <c r="D112" s="71" t="s">
        <v>836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2026-10-19T23:42:57Z</dcterms:created>
</cp:coreProperties>
</file>