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g"/>
  <Default Extension="tiff" ContentType="image/tiff"/>
  <Default Extension="jpeg" ContentType="image/jpeg"/>
  <Default Extension="png" ContentType="image/png"/>
  <Default Extension="bmp" ContentType="image/bmp"/>
  <Default Extension="gif" ContentType="image/gif"/>
  <Default Extension="svg" ContentType="image/svg+xml"/>
  <Default Extension="emf" ContentType="image/x-emf"/>
  <Default Extension="wmf" ContentType="image/x-wmf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omments9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/xl/workbook.xml"/><Relationship Id="rId2" Type="http://schemas.openxmlformats.org/package/2006/relationships/metadata/core-properties" Target="/docProps/core.xml"/><Relationship Id="rId3" Type="http://schemas.openxmlformats.org/officeDocument/2006/relationships/extended-properties" Target="/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r:id="rId1" name="Cover" sheetId="1"/>
    <sheet r:id="rId2" name="Revenue summary" sheetId="2"/>
    <sheet r:id="rId3" name="Income Statement" sheetId="3"/>
    <sheet r:id="rId4" name="Balance Sheet" sheetId="4"/>
    <sheet r:id="rId5" name="Cash Flow Statement" sheetId="5"/>
    <sheet r:id="rId6" name="Share Count" sheetId="6"/>
    <sheet r:id="rId7" name="Guidance" sheetId="7"/>
    <sheet r:id="rId8" name="Sources" sheetId="8"/>
    <sheet r:id="rId9" name="Inputs" sheetId="9"/>
  </sheets>
  <calcPr calcId="0" iterateCount="100" iterateDelta="0.001"/>
</workbook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H13" authorId="0">
      <text>
        <r>
          <rPr>
            <sz val="9"/>
            <color rgb="FF000000"/>
            <rFont val="Arial"/>
            <family val="2"/>
          </rPr>
          <t>S14 | Q3 2026 quarterly highlights | Interest Rate ADV increased 13% to 15.1 million contracts</t>
        </r>
      </text>
    </comment>
    <comment ref="H16" authorId="0">
      <text>
        <r>
          <rPr>
            <sz val="9"/>
            <color rgb="FF000000"/>
            <rFont val="Arial"/>
            <family val="2"/>
          </rPr>
          <t>S14 | Q3 2026 quarterly highlights | Equity Index ADV increased 23% to 7.7 million contracts</t>
        </r>
      </text>
    </comment>
    <comment ref="H19" authorId="0">
      <text>
        <r>
          <rPr>
            <sz val="9"/>
            <color rgb="FF000000"/>
            <rFont val="Arial"/>
            <family val="2"/>
          </rPr>
          <t>S14 | Q3 2026 quarterly highlights | Foreign Exchange ADV increased 19% to 988,000 contracts</t>
        </r>
      </text>
    </comment>
    <comment ref="H22" authorId="0">
      <text>
        <r>
          <rPr>
            <sz val="9"/>
            <color rgb="FF000000"/>
            <rFont val="Arial"/>
            <family val="2"/>
          </rPr>
          <t>S14 | Q3 2026 quarterly highlights | Energy ADV increased 16% to 2.7 million contracts</t>
        </r>
      </text>
    </comment>
    <comment ref="H25" authorId="0">
      <text>
        <r>
          <rPr>
            <sz val="9"/>
            <color rgb="FF000000"/>
            <rFont val="Arial"/>
            <family val="2"/>
          </rPr>
          <t>S14 | Q3 2026 quarterly highlights | Agricultural ADV increased 18% to 2 million contracts</t>
        </r>
      </text>
    </comment>
    <comment ref="H28" authorId="0">
      <text>
        <r>
          <rPr>
            <sz val="9"/>
            <color rgb="FF000000"/>
            <rFont val="Arial"/>
            <family val="2"/>
          </rPr>
          <t>S14 | Q3 2026 quarterly highlights | Metals ADV increased 13% to 935,000 contracts</t>
        </r>
      </text>
    </comment>
    <comment ref="H34" authorId="0">
      <text>
        <r>
          <rPr>
            <sz val="9"/>
            <color rgb="FF000000"/>
            <rFont val="Arial"/>
            <family val="2"/>
          </rPr>
          <t>S14 | Oct. 2, 2026 release | Q3 with 29.4 million contracts, up 16% year-over-year</t>
        </r>
      </text>
    </comment>
    <comment ref="H66" authorId="0">
      <text>
        <r>
          <rPr>
            <sz val="9"/>
            <color rgb="FF000000"/>
            <rFont val="Arial"/>
            <family val="2"/>
          </rPr>
          <t>S15 | Oct. 8, 2026 release | CME Group's International Average Daily Volume Rises 22% to 9 Million Contracts in Q3 2026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H61" authorId="0">
      <text>
        <r>
          <rPr>
            <sz val="9"/>
            <color rgb="FF000000"/>
            <rFont val="Arial"/>
            <family val="2"/>
          </rPr>
          <t>S14 | Oct. 2, 2026 release | rolling 3-months ending August 2026 were $145.6 billion for cash collateral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125" authorId="0">
      <text>
        <r>
          <rPr>
            <sz val="9"/>
            <color rgb="FF000000"/>
            <rFont val="Arial"/>
            <family val="2"/>
          </rPr>
          <t>stockanalysis.com/stocks/cme/market-cap | Oct 16, 2026 | $105.67 billion</t>
        </r>
      </text>
    </comment>
  </commentList>
</comments>
</file>

<file path=xl/sharedStrings.xml><?xml version="1.0" encoding="utf-8"?>
<sst xmlns="http://schemas.openxmlformats.org/spreadsheetml/2006/main" count="834" uniqueCount="834">
  <si>
    <t>Company Model — built by Shortcut</t>
  </si>
  <si>
    <t>CME Group Inc. (NasdaqGS: CME)</t>
  </si>
  <si>
    <t>Cover</t>
  </si>
  <si>
    <t>$ millions, except per share</t>
  </si>
  <si>
    <t>Period</t>
  </si>
  <si>
    <t>3Q25A</t>
  </si>
  <si>
    <t>4Q25A</t>
  </si>
  <si>
    <t>FY25A</t>
  </si>
  <si>
    <t>1Q26A</t>
  </si>
  <si>
    <t>2Q26A</t>
  </si>
  <si>
    <t>3Q26E</t>
  </si>
  <si>
    <t>Notes</t>
  </si>
  <si>
    <t>Period end</t>
  </si>
  <si>
    <t>Days in period</t>
  </si>
  <si>
    <t>Company</t>
  </si>
  <si>
    <t>CME Group Inc.</t>
  </si>
  <si>
    <t>Ticker</t>
  </si>
  <si>
    <t>CME</t>
  </si>
  <si>
    <t>Exchange</t>
  </si>
  <si>
    <t>Nasdaq Global Select Market (NasdaqGS:CME)</t>
  </si>
  <si>
    <t>Fiscal year end</t>
  </si>
  <si>
    <t>December 31</t>
  </si>
  <si>
    <t>Reporting currency</t>
  </si>
  <si>
    <t>USD</t>
  </si>
  <si>
    <t>EPS basis</t>
  </si>
  <si>
    <t>Adjusted (CapIQ "normalized") diluted EPS per Class A common share, USD</t>
  </si>
  <si>
    <t>Target period</t>
  </si>
  <si>
    <t>FQ3 2026 / 3Q26E — quarter ended 2026-09-30 (issuer fiscal quarter end matches supplied label)</t>
  </si>
  <si>
    <t>Information cutoff</t>
  </si>
  <si>
    <t>2026-10-18T21:34:46Z</t>
  </si>
  <si>
    <t>Expected report date</t>
  </si>
  <si>
    <t>2026-10-21, before market open (issuer-confirmed 2026-09-04, S16; matches CapIQ)</t>
  </si>
  <si>
    <t>Consensus snapshot</t>
  </si>
  <si>
    <t>S&amp;P Capital IQ, captured 2026-10-18 (14 normalized EPS estimates; GAAP EPS 2 estimates)</t>
  </si>
  <si>
    <t>Author</t>
  </si>
  <si>
    <t>Shortcut</t>
  </si>
  <si>
    <t>3Q26E headline (consensus at cutoff)</t>
  </si>
  <si>
    <t>Shortcut est</t>
  </si>
  <si>
    <t>Consensus</t>
  </si>
  <si>
    <t>Variance</t>
  </si>
  <si>
    <t>Guide mid</t>
  </si>
  <si>
    <t>Est − guide</t>
  </si>
  <si>
    <t>Total revenues ($mn)</t>
  </si>
  <si>
    <t>not guided</t>
  </si>
  <si>
    <t>n/a</t>
  </si>
  <si>
    <t>Variance vs consensus (%)</t>
  </si>
  <si>
    <t>Net income — GAAP ($mn)</t>
  </si>
  <si>
    <t>Net income — adjusted ($mn)</t>
  </si>
  <si>
    <t>Adj. operating income ($mn)</t>
  </si>
  <si>
    <t>CapIQ 'ebit' (Inputs!C71) basis is not defined in the snapshot; used as a tracking proxy only, not a verified like-for-like adjusted operating income. CapIQ EBITDA − EBIT = 32.1 vs D&amp;A 27.5 hints it excludes purchased-intangible amortization (unconfirmed).</t>
  </si>
  <si>
    <t>Adj. diluted EPS (consensus basis)</t>
  </si>
  <si>
    <t>Diluted EPS — GAAP</t>
  </si>
  <si>
    <t>P(beat consensus EPS)</t>
  </si>
  <si>
    <t>Confidence</t>
  </si>
  <si>
    <t>medium</t>
  </si>
  <si>
    <t>Model check (historical ties + rollforward integrity)</t>
  </si>
  <si>
    <t>PASS</t>
  </si>
  <si>
    <t>AND of historical columns (C:G) tied to reported figures (revenue, C&amp;T, NI, GAAP EPS, adj. expenses, adj. NI, adj. EPS, CF NI) plus BS balance and cash tie for all columns incl. 3Q26E (mechanical rollforward integrity). Not independent validation of the forecast.</t>
  </si>
  <si>
    <t>Structural identities, 3Q26E (true by construction)</t>
  </si>
  <si>
    <t>Self-consistency only: Cover links, Income Statement H96/H150, Revenue summary H274 and Cash Flow H49 compare a cell with its own defining formula, so they cannot fail. Excluded from C37; not forecast validation.</t>
  </si>
  <si>
    <t>Guidance: CME guides only expenses, capex and tax rate (see Guidance tab); no revenue, net income or EPS guidance, so guidance-midpoint comparisons are n/a.</t>
  </si>
  <si>
    <t>Newer consensus (reference only, not scoring): Zacks EPS $2.98 / revenue $1.71bn on 2026-10-16 (S22); frozen CapIQ snapshot is the baseline.</t>
  </si>
  <si>
    <t>Revenue summary and drivers (single reportable segment)</t>
  </si>
  <si>
    <t>Volume drivers — futures &amp; options (F&amp;O)</t>
  </si>
  <si>
    <t>CME reports one segment (10-Q Note 13); revenue drivers are built here (no Segment tabs).</t>
  </si>
  <si>
    <t>Trading days</t>
  </si>
  <si>
    <t>S03/S05/S07/S09 quarterly operating statistics; 3Q26E = 64 (Jul 22 + Aug 21 + Sep 21 U.S. trading days; Jul 3 and Sep 7 holidays).</t>
  </si>
  <si>
    <t>Y/Y change (days)</t>
  </si>
  <si>
    <t>Q/Q change (days)</t>
  </si>
  <si>
    <t>Interest rates ADV (000s)</t>
  </si>
  <si>
    <t>S03/S05/S07/S09 ADV tables; FY25 S06; 3Q26 reported 2026-10-02 (S14).</t>
  </si>
  <si>
    <t>Y/Y change (%)</t>
  </si>
  <si>
    <t>Q/Q change (000s)</t>
  </si>
  <si>
    <t>Equity indexes ADV (000s)</t>
  </si>
  <si>
    <t>Foreign exchange ADV (000s)</t>
  </si>
  <si>
    <t>Energy ADV (000s)</t>
  </si>
  <si>
    <t>Agricultural ADV (000s)</t>
  </si>
  <si>
    <t>Metals ADV (000s)</t>
  </si>
  <si>
    <t>Total F&amp;O ADV (000s)</t>
  </si>
  <si>
    <t>Memo: total ADV reported (000s)</t>
  </si>
  <si>
    <t>3Q26: "Q3 with 29.4 million contracts, up 16%" (S14); UBS cites 29.445mn (S21).</t>
  </si>
  <si>
    <t>Difference vs sum (rounding)</t>
  </si>
  <si>
    <t>Interest rates share of F&amp;O ADV (%)</t>
  </si>
  <si>
    <t>Change Y/Y (bp)</t>
  </si>
  <si>
    <t>Change Q/Q (bp)</t>
  </si>
  <si>
    <t>Equity indexes share of F&amp;O ADV (%)</t>
  </si>
  <si>
    <t>FX share of F&amp;O ADV (%)</t>
  </si>
  <si>
    <t>Energy share of F&amp;O ADV (%)</t>
  </si>
  <si>
    <t>Agricultural share of F&amp;O ADV (%)</t>
  </si>
  <si>
    <t>Metals share of F&amp;O ADV (%)</t>
  </si>
  <si>
    <t>CME Globex ADV (000s)</t>
  </si>
  <si>
    <t>n/d</t>
  </si>
  <si>
    <t>Venue split (S03/S05/S07/S09); 3Q26 venue split not yet disclosed.</t>
  </si>
  <si>
    <t>Open outcry ADV (000s)</t>
  </si>
  <si>
    <t>Privately negotiated ADV (000s)</t>
  </si>
  <si>
    <t>Electronic share of ADV (%)</t>
  </si>
  <si>
    <t>Non-U.S. ADV (000s)</t>
  </si>
  <si>
    <t>S05/S07/S09 release text; 3Q26 international ADV 9.0mn, +22% (S15). 3Q25/FY25 not stated in fetched releases.</t>
  </si>
  <si>
    <t>Y/Y change (%, as stated by issuer)</t>
  </si>
  <si>
    <t>Issuer-stated growth: 4Q25 "up 9%" (S05), 1Q26 "up 30%" (S07), 3Q26 "rises 22%" (S15); 2Q26 not stated.</t>
  </si>
  <si>
    <t>Non-U.S. share of ADV (%)</t>
  </si>
  <si>
    <t>Volume (contracts) and rate per contract (RPC) by product line</t>
  </si>
  <si>
    <t>Interest rates volume (mn)</t>
  </si>
  <si>
    <t>Q/Q change (mn)</t>
  </si>
  <si>
    <t>Interest rates RPC (c/contract)</t>
  </si>
  <si>
    <t>Reported RPC ($/contract ×100) S03/S05/S07/S09; FY25 derived; 3Q26E Assumption: UBS (S21) trailing 3-mo through Aug IR RPC flat Y/Y vs ~48.5c; Sept Treasury surge adds tier discounts.</t>
  </si>
  <si>
    <t>Q/Q change (cents)</t>
  </si>
  <si>
    <t>Equity indexes volume (mn)</t>
  </si>
  <si>
    <t>Equity indexes RPC (c/contract)</t>
  </si>
  <si>
    <t>Reported RPC ($/contract ×100) S03/S05/S07/S09; FY25 derived; 3Q26E Assumption: UBS (S21) equity RPC -10% Y/Y through Aug (micros 54% of July equity ADV, 45% in Sept, S12/S14).</t>
  </si>
  <si>
    <t>Foreign exchange volume (mn)</t>
  </si>
  <si>
    <t>Foreign exchange RPC (c/contract)</t>
  </si>
  <si>
    <t>Reported RPC ($/contract ×100) S03/S05/S07/S09; FY25 derived; 3Q26E Assumption: UBS (S21) FX RPC +2% Y/Y; Sept large-contract JPY/MXN futures growth.</t>
  </si>
  <si>
    <t>Energy volume (mn)</t>
  </si>
  <si>
    <t>Energy RPC (c/contract)</t>
  </si>
  <si>
    <t>Reported RPC ($/contract ×100) S03/S05/S07/S09; FY25 derived; 3Q26E Assumption: UBS (S21) energy RPC +1% Y/Y, +2% seq; Micro WTI +238% in Q3 (S14) tempers it.</t>
  </si>
  <si>
    <t>Agricultural volume (mn)</t>
  </si>
  <si>
    <t>Agricultural RPC (c/contract)</t>
  </si>
  <si>
    <t>Reported RPC ($/contract ×100) S03/S05/S07/S09; FY25 derived; 3Q26E Assumption: UBS (S21) ag RPC -1% Y/Y, flat seq.</t>
  </si>
  <si>
    <t>Metals volume (mn)</t>
  </si>
  <si>
    <t>Metals RPC (c/contract)</t>
  </si>
  <si>
    <t>Reported RPC ($/contract ×100) S03/S05/S07/S09; FY25 derived; 3Q26E Assumption: UBS (S21) metals RPC -12% Y/Y, -1% seq; micro metals 53% of Sept metals ADV (S14).</t>
  </si>
  <si>
    <t>Total F&amp;O volume (mn)</t>
  </si>
  <si>
    <t>Average F&amp;O RPC (cents)</t>
  </si>
  <si>
    <t>Memo: avg. RPC as reported (c)</t>
  </si>
  <si>
    <t>S03/S05/S07/S09; FY25 $0.696 per S23 (10-K). UBS: trailing 3-mo RPC through Aug 2026 $0.679 (S21).</t>
  </si>
  <si>
    <t>Clearing &amp; transaction fees by product line ($ millions)</t>
  </si>
  <si>
    <t>S04/S08/S10 revenue disaggregation note; FY25 S06 (10-K R52); 4Q25 = FY25 − 1Q25 − 2Q25 − 3Q25.</t>
  </si>
  <si>
    <t>Interest rates</t>
  </si>
  <si>
    <t>% Y/Y</t>
  </si>
  <si>
    <t>% Q/Q</t>
  </si>
  <si>
    <t>% of total revenues</t>
  </si>
  <si>
    <t>Growth decomposition: total Y/Y</t>
  </si>
  <si>
    <t>M&amp;A / scope impact</t>
  </si>
  <si>
    <t>Not disclosed by issuer (no consolidated acquisitions/disposals called out in revenue); shown n/d rather than zero.</t>
  </si>
  <si>
    <t>FX impact</t>
  </si>
  <si>
    <t>Not disclosed by issuer; fees are largely USD-denominated but FX effect is not quantified; n/d.</t>
  </si>
  <si>
    <t>Organic growth</t>
  </si>
  <si>
    <t>Organic = (1+Y/Y)/((1+M&amp;A)*(1+FX))-1; unavailable because M&amp;A and FX components are not disclosed.</t>
  </si>
  <si>
    <t>Equity indexes</t>
  </si>
  <si>
    <t>Foreign exchange</t>
  </si>
  <si>
    <t>Energy</t>
  </si>
  <si>
    <t>Agricultural</t>
  </si>
  <si>
    <t>Metals</t>
  </si>
  <si>
    <t>F&amp;O C&amp;T fees (subtotal)</t>
  </si>
  <si>
    <t>Cash markets (BrokerTec, EBS) and OTC interest rate swaps</t>
  </si>
  <si>
    <t>ADNV per 10-Q MD&amp;A (S04/S08/S10); 4Q25/FY25 ADNV not in fetched filings (n/d). 3Q26 quarterly ADNV not published; UBS (S21) Q3 growth used.</t>
  </si>
  <si>
    <t>BrokerTec US Repo ADNV ($bn)</t>
  </si>
  <si>
    <t>Q/Q change ($bn)</t>
  </si>
  <si>
    <t>BrokerTec EU Repo ADNV (€bn)</t>
  </si>
  <si>
    <t>Q/Q change (€bn)</t>
  </si>
  <si>
    <t>BrokerTec UST ADNV ($bn)</t>
  </si>
  <si>
    <t>BrokerTec ADNV Q/Q growth (%)</t>
  </si>
  <si>
    <t>S21: BrokerTec 3Q ADNV +6% Y/Y and flat sequentially; Sept ADNV $1.135tn +18% (S14).</t>
  </si>
  <si>
    <t>BrokerTec fixed income fees</t>
  </si>
  <si>
    <t>EBS Spot FX ADNV ($bn)</t>
  </si>
  <si>
    <t>EBS ADNV Q/Q growth (%)</t>
  </si>
  <si>
    <t>S21: EBS spot FX 3Q volumes +18% Y/Y, −1% sequentially.</t>
  </si>
  <si>
    <t>EBS foreign exchange fees</t>
  </si>
  <si>
    <t>IRS activity Q/Q growth (%)</t>
  </si>
  <si>
    <t>S21: IRS clearing 3Q +64% Y/Y but −12% vs 2Q26. S21 quotes IRS activity per day (US trading-day conversion), so −12% is treated as a daily rate and scaled by 64/62 days. Unresolved: if it is a quarterly total, the uplift double-counts ~$0.7mn pre-tax (~$0.0015 EPS); retained.</t>
  </si>
  <si>
    <t>Interest rate swap clearing fees</t>
  </si>
  <si>
    <t>Cash markets &amp; OTC (subtotal)</t>
  </si>
  <si>
    <t>Memo: cash mkts fees as reported</t>
  </si>
  <si>
    <t>S04/S06/S08/S10 MD&amp;A; 4Q25 not separately reported.</t>
  </si>
  <si>
    <t>Diff vs BrokerTec + EBS</t>
  </si>
  <si>
    <t>Total C&amp;T fees</t>
  </si>
  <si>
    <t>Memo: C&amp;T fees as reported</t>
  </si>
  <si>
    <t>S03/S05/S07/S09 consolidated statements of income.</t>
  </si>
  <si>
    <t>Check: lines sum to reported C&amp;T</t>
  </si>
  <si>
    <t>Market data &amp; information services</t>
  </si>
  <si>
    <t>Audit catch-up included</t>
  </si>
  <si>
    <t>Q1 ~$3.8mn and Q2 ~$7mn audit catch-up per Q2 call (S11/S23); 3Q26E assumption $3mn.</t>
  </si>
  <si>
    <t>Market data ex catch-up</t>
  </si>
  <si>
    <t>Q/Q change ($)</t>
  </si>
  <si>
    <t>Underlying MD Q/Q growth (%)</t>
  </si>
  <si>
    <t>Professional subscribers +3.5% Q/Q in Q2 (S23); 2026 price increase already in run-rate; assume +1% Q/Q.</t>
  </si>
  <si>
    <t>S03/S05/S07/S09 income statements; FY25 = sum of quarters.</t>
  </si>
  <si>
    <t>Other revenues</t>
  </si>
  <si>
    <t>Access &amp; communication, collateral management, equity membership subscription and strategic relationship fees; components not quantified by issuer.</t>
  </si>
  <si>
    <t>Non-cash collateral ($bn, 3-mo avg)</t>
  </si>
  <si>
    <t>Fee-eligible non-cash collateral (Sep-25 and Mar-26: S29; Jun-26 $170.4bn: S12; 3Q26E uses rolling 3 months ending Aug 2026, S14). Drives collateral management fees.</t>
  </si>
  <si>
    <t>Y/Y change ($bn)</t>
  </si>
  <si>
    <t>Other revenues Q/Q growth (%)</t>
  </si>
  <si>
    <t>Non-cash collateral −3% Q/Q offset by access-fee growth; consensus key metric $116.19mn (S22).</t>
  </si>
  <si>
    <t>Total revenues</t>
  </si>
  <si>
    <t>Memo: total revenues as reported</t>
  </si>
  <si>
    <t>S03/S05/S07/S09.</t>
  </si>
  <si>
    <t>Check: components = total revenues</t>
  </si>
  <si>
    <t>C:G also tie to reported total revenues (±0.15). H is a structural identity (H266 = H226+H242+H256), true by construction — not validation.</t>
  </si>
  <si>
    <t>Geography: revenue by geography is not disclosed — CME reports a single U.S.-domiciled segment and only non-U.S. ADV (row above); Geo tab omitted.</t>
  </si>
  <si>
    <t>Income statement, GAAP to adjusted bridge and EPS</t>
  </si>
  <si>
    <t>Revenues</t>
  </si>
  <si>
    <t>Linked from Revenue summary.</t>
  </si>
  <si>
    <t>Clearing and transaction fees</t>
  </si>
  <si>
    <t>Market data &amp; info services</t>
  </si>
  <si>
    <t>Other</t>
  </si>
  <si>
    <t>Expenses</t>
  </si>
  <si>
    <t>3Q25/4Q25/1Q26/2Q26 per S03/S05/S07/S09; FY25 = sum of quarters (1Q25, 2Q25 on Inputs). 3Q26E line assumptions in Notes.</t>
  </si>
  <si>
    <t>Compensation and benefits</t>
  </si>
  <si>
    <t>3Q26E: 2Q26 $233.5mn less $12.4mn deferred-comp mark and $6.0mn restructuring ≈ $215mn base + merit/headcount + ~$3mn restructuring; deferred comp assumed nil.</t>
  </si>
  <si>
    <t>Technology</t>
  </si>
  <si>
    <t>3Q26E: Google Cloud migration third-party services (2Q26 +18% Y/Y, S10) keep rising modestly.</t>
  </si>
  <si>
    <t>Professional fees &amp; outside services</t>
  </si>
  <si>
    <t>3Q26E: run-rate; no disclosed litigation or deal costs in Q3.</t>
  </si>
  <si>
    <t>Amort. of purchased intangibles</t>
  </si>
  <si>
    <t>3Q26E: flat run-rate (intangibles—other fell $56.2mn in 2Q26, S09).</t>
  </si>
  <si>
    <t>Depreciation and amortization</t>
  </si>
  <si>
    <t>License fee per equity contract (c)</t>
  </si>
  <si>
    <t>Index license fees scale with equity index volume: 20.3c (3Q25), 20.4c (2Q26). 3Q26E 20.35c.</t>
  </si>
  <si>
    <t>Y/Y change (cents)</t>
  </si>
  <si>
    <t>Licensing and other fee agreements</t>
  </si>
  <si>
    <t>3Q26E: between 1Q26 and 2Q26 levels (marketing, rent).</t>
  </si>
  <si>
    <t>Total expenses</t>
  </si>
  <si>
    <t>No cost of revenue / gross profit line: CME reports only operating expenses (S09/S10 income statements), so gross profit and gross margin are not applicable (no 100% margin shown).</t>
  </si>
  <si>
    <t>Expenses as % of total revenues</t>
  </si>
  <si>
    <t>Operating income</t>
  </si>
  <si>
    <t>CME does not report EBITDA or adjusted EBITDA (none in S09/S10); issuer-defined EBITDA not applicable. CapIQ ebitda (Inputs!C70) is a vendor construct, not relabelled here.</t>
  </si>
  <si>
    <t>Operating margin (%)</t>
  </si>
  <si>
    <t>Non-operating income (expense)</t>
  </si>
  <si>
    <t>Earnings on cash perf. bonds</t>
  </si>
  <si>
    <t>S04/S08/S10 Note 4 and MD&amp;A; FY25 S06 (10-K R53 "Interest Income, Other" 5,253.6); 4Q25 = FY − 1Q25 − 2Q25 − 3Q25.</t>
  </si>
  <si>
    <t>Other investment income</t>
  </si>
  <si>
    <t>Historical = investment income − earnings on perf. bonds (residual, not separately reported). 3Q26E assumption: ~$2.1bn corporate cash at ~3.7% plus other interest; deferred-comp and investment marks assumed nil.</t>
  </si>
  <si>
    <t>Investment income</t>
  </si>
  <si>
    <t>Interest &amp; borrowing costs</t>
  </si>
  <si>
    <t>Fixed-rate notes, $3.4bn par (S10); 3Q26E flat.</t>
  </si>
  <si>
    <t>Equity earnings of unconsol. subs.</t>
  </si>
  <si>
    <t>Mainly S&amp;P Dow Jones Indices JV (OSTTRA sold 4Q25). 3Q26E $99mn.</t>
  </si>
  <si>
    <t>Distribution to clearing firms</t>
  </si>
  <si>
    <t>S04/S08/S10; FY25 S06 R53 "Expense on collateral reinvestment" 4,842.5.</t>
  </si>
  <si>
    <t>Other non-operating (residual)</t>
  </si>
  <si>
    <t>Historical = reported other non-operating total − distribution to clearing firms (residual). 3Q26E $2.5mn is an assumption, not a check.</t>
  </si>
  <si>
    <t>Other non-operating inc. (exp.)</t>
  </si>
  <si>
    <t>Total non-operating income</t>
  </si>
  <si>
    <t>Driver: collateral reinvestment economics</t>
  </si>
  <si>
    <t>Avg. cash collateral ($bn)</t>
  </si>
  <si>
    <t>Rolling 3 months ending Sep-25 $135.0bn and Mar-26 $149.5bn (S29 monthly releases); Jun-26 $150bn (S12, July 2026 volume release, published 2026-08-04). 3Q26E: Jun–Aug $145.6bn (S14); UBS est. 3Q avg ~3% below 2Q (S21).</t>
  </si>
  <si>
    <t>Gross reinvestment yield</t>
  </si>
  <si>
    <t>3Q26E: 2Q26 3.71% plus ~4bp from Sept 16 FOMC hike to 3.75–4.00% (S19, S20).</t>
  </si>
  <si>
    <t>Net retained collateral interest</t>
  </si>
  <si>
    <t>Retained spread (bp, annualized)</t>
  </si>
  <si>
    <t>Stable 33–34bp (3Q25 33.8, 1Q26 33.1, 2Q26 32.9); 3Q26E 33.0bp.</t>
  </si>
  <si>
    <t>Income before income taxes</t>
  </si>
  <si>
    <t>Pre-tax margin (%)</t>
  </si>
  <si>
    <t>Income tax provision</t>
  </si>
  <si>
    <t>Effective tax rate (%)</t>
  </si>
  <si>
    <t>Net income (GAAP)</t>
  </si>
  <si>
    <t>3Q26E derived from adjusted NI less pre-tax adjustments net of tax (bridge below).</t>
  </si>
  <si>
    <t>Net income margin (%)</t>
  </si>
  <si>
    <t>Memo: net income as reported</t>
  </si>
  <si>
    <t>Check: NI = reported</t>
  </si>
  <si>
    <t>NI to common — basic</t>
  </si>
  <si>
    <t>As reported (S07: 1Q26 basic $1,168.0mn &gt; NI $1,154.3mn, two-class allocation around the 2026-03-05 Series G conversion). None in 3Q26E.</t>
  </si>
  <si>
    <t>NI to common — diluted</t>
  </si>
  <si>
    <t>Basic shares (mn)</t>
  </si>
  <si>
    <t>Diluted shares (mn)</t>
  </si>
  <si>
    <t>Basic EPS — GAAP</t>
  </si>
  <si>
    <t>Memo: GAAP EPS as reported</t>
  </si>
  <si>
    <t>Check: EPS = NI / diluted shares</t>
  </si>
  <si>
    <t>C:G tie to reported GAAP EPS (±$0.006). H is a structural identity (H93 = H89/H91), true by construction — not validation.</t>
  </si>
  <si>
    <t>GAAP to adjusted reconciliation — expenses and operating income</t>
  </si>
  <si>
    <t>Signs as in issuer reconciliation (negative = removed from GAAP expenses). S03/S05/S07/S09.</t>
  </si>
  <si>
    <t>Total expenses (GAAP)</t>
  </si>
  <si>
    <t>Restructuring and severance</t>
  </si>
  <si>
    <t>3Q26E assumption: ~$3mn restructuring (run-rate $4–6mn); other items not forecast.</t>
  </si>
  <si>
    <t>Deferred compensation</t>
  </si>
  <si>
    <t>Strategic deal (costs) credits</t>
  </si>
  <si>
    <t>Real estate (costs) credits</t>
  </si>
  <si>
    <t>FX transaction gains (losses)</t>
  </si>
  <si>
    <t>Gains (losses) on assets</t>
  </si>
  <si>
    <t>Litigation matters</t>
  </si>
  <si>
    <t>Adjusted total expenses</t>
  </si>
  <si>
    <t>Memo: adj. expenses as reported</t>
  </si>
  <si>
    <t>Check: adj. expenses = reported</t>
  </si>
  <si>
    <t>Less: licensing fees</t>
  </si>
  <si>
    <t>Adj. expenses ex-license (guide)</t>
  </si>
  <si>
    <t>Adjusted operating income</t>
  </si>
  <si>
    <t>Adj. operating margin (%)</t>
  </si>
  <si>
    <t>GAAP to adjusted reconciliation — net income and diluted EPS (consensus basis = adjusted / normalized)</t>
  </si>
  <si>
    <t>Issuer "adjusted diluted EPS" = CapIQ normalized EPS (CapIQ actuals 2.68, 2.77, 3.36, 2.99 tie to filings; Inputs B).</t>
  </si>
  <si>
    <t>Amortization (incl. equity-method)</t>
  </si>
  <si>
    <t>of which: equity-method amort.</t>
  </si>
  <si>
    <t>$2.6mn S&amp;P DJI + $1.4mn FanDuel in 1Q26 and 2Q26 (S07/S09); 3Q26E $4.0mn.</t>
  </si>
  <si>
    <t>Strategic deal costs (credits)</t>
  </si>
  <si>
    <t>Real estate costs (credits)</t>
  </si>
  <si>
    <t>FX transaction (gains) losses</t>
  </si>
  <si>
    <t>(Gains) losses on investments</t>
  </si>
  <si>
    <t>4Q25 includes OSTTRA sale gain (S05).</t>
  </si>
  <si>
    <t>(Gains) losses on assets</t>
  </si>
  <si>
    <t>Total pre-tax adjustments</t>
  </si>
  <si>
    <t>Tax effect of adjustments</t>
  </si>
  <si>
    <t>Other income tax items</t>
  </si>
  <si>
    <t>Adjusted net income</t>
  </si>
  <si>
    <t>Memo: adj. NI as reported</t>
  </si>
  <si>
    <t>Check: adj. NI = reported</t>
  </si>
  <si>
    <t>Adjusted pre-tax income</t>
  </si>
  <si>
    <t>Adjusted income tax</t>
  </si>
  <si>
    <t>Adj. effective tax rate (%)</t>
  </si>
  <si>
    <t>Guide: low end of 23.5–24.5% for FY26 (S11); H1 26 actual 23.0%, Q3 seasonally lower (3Q25 22.6%, 3Q24 22.3%). 3Q26E 23.2%.</t>
  </si>
  <si>
    <t>Tax rate on adjustments (%)</t>
  </si>
  <si>
    <t>1Q26 24.4%, 2Q26 23.6%; 3Q26E 24.0%.</t>
  </si>
  <si>
    <t>Adj. NI to common — diluted</t>
  </si>
  <si>
    <t>Adj. diluted EPS (consensus)</t>
  </si>
  <si>
    <t>Memo: adj. EPS as reported</t>
  </si>
  <si>
    <t>Check: adj. EPS = adj. NI / shares</t>
  </si>
  <si>
    <t>C:G tie to reported adjusted EPS (±$0.006). H is a structural identity (H147 = H145/H146), true by construction — not validation.</t>
  </si>
  <si>
    <t>Adj. NI margin (%)</t>
  </si>
  <si>
    <t>Balance sheet (as reported) and 3Q26E roll-forward</t>
  </si>
  <si>
    <t>Assets</t>
  </si>
  <si>
    <t>S03/S05/S07/S09 consolidated balance sheets. FY25A = 31-Dec-25 (same as 4Q25A). 3Q26E: items held flat unless noted.</t>
  </si>
  <si>
    <t>Cash and cash equivalents</t>
  </si>
  <si>
    <t>3Q26E = 2Q26 + net change in cash (Cash Flow Statement); restricted cash and performance bonds held flat.</t>
  </si>
  <si>
    <t>Marketable securities</t>
  </si>
  <si>
    <t>Accounts receivable, net</t>
  </si>
  <si>
    <t>Other current assets</t>
  </si>
  <si>
    <t>Perf. bonds &amp; guaranty funds</t>
  </si>
  <si>
    <t>Clearing-member collateral; equal and offsetting liability. 3Q26E held flat (no forecast of member balances).</t>
  </si>
  <si>
    <t>Total current assets</t>
  </si>
  <si>
    <t>Property, net</t>
  </si>
  <si>
    <t>3Q26E = 2Q26 + capex − depreciation.</t>
  </si>
  <si>
    <t>Intangibles — trading products</t>
  </si>
  <si>
    <t>Intangibles — other, net</t>
  </si>
  <si>
    <t>3Q26E = 2Q26 − amortization of purchased intangibles.</t>
  </si>
  <si>
    <t>Goodwill</t>
  </si>
  <si>
    <t>Other assets</t>
  </si>
  <si>
    <t>Total assets</t>
  </si>
  <si>
    <t>Memo: total assets as reported</t>
  </si>
  <si>
    <t>Liabilities and equity</t>
  </si>
  <si>
    <t>Accounts payable</t>
  </si>
  <si>
    <t>Short-term debt</t>
  </si>
  <si>
    <t>Other current liabilities</t>
  </si>
  <si>
    <t>Equal to the asset (reported identical amounts).</t>
  </si>
  <si>
    <t>Total current liabilities</t>
  </si>
  <si>
    <t>Long-term debt</t>
  </si>
  <si>
    <t>Deferred tax liabilities, net</t>
  </si>
  <si>
    <t>Other liabilities</t>
  </si>
  <si>
    <t>Total liabilities</t>
  </si>
  <si>
    <t>Memo: total liab. as reported</t>
  </si>
  <si>
    <t>Total shareholders’ equity</t>
  </si>
  <si>
    <t>3Q26E = 2Q26 + net income − dividends − repurchases + stock-based compensation.</t>
  </si>
  <si>
    <t>Total liabilities and equity</t>
  </si>
  <si>
    <t>Check: assets − liab. − equity</t>
  </si>
  <si>
    <t>Memo items</t>
  </si>
  <si>
    <t>Restricted cash (other CA)</t>
  </si>
  <si>
    <t>Balance-sheet parenthetical ("includes $x in restricted cash").</t>
  </si>
  <si>
    <t>Total debt</t>
  </si>
  <si>
    <t>Net cash (cash + securities − debt)</t>
  </si>
  <si>
    <t>Q/Q change</t>
  </si>
  <si>
    <t>Cash flow statement (quarters derived from reported year-to-date)</t>
  </si>
  <si>
    <t>Operating activities</t>
  </si>
  <si>
    <t>Quarter = YTD as filed − prior YTD (memo blocks below). FY25A = FY YTD. S04/S06/S08/S10.</t>
  </si>
  <si>
    <t>Net income</t>
  </si>
  <si>
    <t>Stock-based compensation</t>
  </si>
  <si>
    <t>3Q26E: 2Q26 $24.8mn derived; assume $23mn.</t>
  </si>
  <si>
    <t>Deferred income taxes</t>
  </si>
  <si>
    <t>Change in accounts receivable</t>
  </si>
  <si>
    <t>3Q26E working-capital lines assumed nil (no basis to forecast).</t>
  </si>
  <si>
    <t>Change in other current assets</t>
  </si>
  <si>
    <t>Change in other assets</t>
  </si>
  <si>
    <t>Change in accounts payable</t>
  </si>
  <si>
    <t>Change in income taxes payable</t>
  </si>
  <si>
    <t>Change in other current liab.</t>
  </si>
  <si>
    <t>Change in other liabilities</t>
  </si>
  <si>
    <t>Other operating</t>
  </si>
  <si>
    <t>Net cash from operating activities</t>
  </si>
  <si>
    <t>Investing activities</t>
  </si>
  <si>
    <t>AFS securities: maturities/sales</t>
  </si>
  <si>
    <t>AFS securities: purchases</t>
  </si>
  <si>
    <t>Capex (purchases of property, net)</t>
  </si>
  <si>
    <t>3Q26E: FY26 guide ~$85mn (S28) less H1 $45.4mn → ~$20mn/qtr.</t>
  </si>
  <si>
    <t>Investments in business ventures</t>
  </si>
  <si>
    <t>Sale of business ventures (OSTTRA)</t>
  </si>
  <si>
    <t>Net cash from investing activities</t>
  </si>
  <si>
    <t>Financing activities</t>
  </si>
  <si>
    <t>Proceeds from debt, net</t>
  </si>
  <si>
    <t>Repayment of debt</t>
  </si>
  <si>
    <t>Cash dividends</t>
  </si>
  <si>
    <t>3Q26E = $1.30/share regular dividend (declared 2026-08-06, S17) × basic shares (Share Count).</t>
  </si>
  <si>
    <t>Repurchase of Class A common stock</t>
  </si>
  <si>
    <t>FY25 10-K R8 renders this line under a mislabeled XBRL caption ("Payments for derivative instrument"); amount (266.1) reconciles financing total. 3Q26E from Share Count.</t>
  </si>
  <si>
    <t>Change in perf. bond/guaranty funds</t>
  </si>
  <si>
    <t>3Q26E: member collateral not forecast (held flat).</t>
  </si>
  <si>
    <t>Employee taxes on RSU vesting</t>
  </si>
  <si>
    <t>Other financing</t>
  </si>
  <si>
    <t>Net cash from financing activities</t>
  </si>
  <si>
    <t>Net change in cash &amp; restricted</t>
  </si>
  <si>
    <t>Cash &amp; restricted — beginning</t>
  </si>
  <si>
    <t>Cash &amp; restricted — end</t>
  </si>
  <si>
    <t>BS cash + restricted + perf. bonds</t>
  </si>
  <si>
    <t>Check: cash ties to BS (= 0)</t>
  </si>
  <si>
    <t>Memo: CFO − capex (not issuer FCF)</t>
  </si>
  <si>
    <t>CME does not define free cash flow (none in S09/S10); issuer-defined FCF not applicable. Row is a memo CFO − capex, not issuer FCF; CapIQ fcf blank.</t>
  </si>
  <si>
    <t>% of net income</t>
  </si>
  <si>
    <t>Check: CF NI = IS NI</t>
  </si>
  <si>
    <t>C:G tie CF net income to the reported income statement. H links to Income Statement!H81, so it is true by construction — not validation.</t>
  </si>
  <si>
    <t>Memo A — year-to-date as filed</t>
  </si>
  <si>
    <t>C=9M25 (S04), D=FY25 (S06 R8), F=3M26 (S08), G=6M26 (S10). Columns E/H unused.</t>
  </si>
  <si>
    <t>Cash &amp; restricted — start of year</t>
  </si>
  <si>
    <t>Memo B — prior year-to-date</t>
  </si>
  <si>
    <t>C=6M25 as filed (S10 comparative column); D=9M25 and G=3M26 link Memo A; F=none (first quarter).</t>
  </si>
  <si>
    <t>Cash &amp; restricted — end of 6M25</t>
  </si>
  <si>
    <t>Share count, repurchases and dividends</t>
  </si>
  <si>
    <t>Shares in millions; $ millions except per share</t>
  </si>
  <si>
    <t>Weighted average shares (as reported)</t>
  </si>
  <si>
    <t>S03/S05/S07/S09 (thousands ÷ 1,000).</t>
  </si>
  <si>
    <t>Wtd. avg. basic shares</t>
  </si>
  <si>
    <t>3Q26E = opening + ½ × (issued − repurchased), i.e. mid-quarter weighting.</t>
  </si>
  <si>
    <t>Y/Y change (mn)</t>
  </si>
  <si>
    <t>Dilutive securities</t>
  </si>
  <si>
    <t>1Q26 includes Series G preferred (4.584mn) until 2026-03-05 conversion. 3Q26E = 2Q26 level.</t>
  </si>
  <si>
    <t>Wtd. avg. diluted shares</t>
  </si>
  <si>
    <t>Shares outstanding, repurchases and issuance</t>
  </si>
  <si>
    <t>Class A shares at cover date</t>
  </si>
  <si>
    <t>Cover dates: 2025-10-08 (S04), 2026-02-11 (S06), 2026-04-08 (S08), 2026-07-08 (S10). 3Q26E = forecast closing count.</t>
  </si>
  <si>
    <t>Opening shares (forecast)</t>
  </si>
  <si>
    <t>Opening = Class A count at the 2026-07-08 cover date (S10), not 2026-06-30. Any 2026-07-01 to 07-08 buybacks are already in this count and also in the ½ × H27 weighting; early-July timing unverified (small potential understatement of weighted shares). Assumption retained.</t>
  </si>
  <si>
    <t>Share repurchases ($mn)</t>
  </si>
  <si>
    <t>History from cash flow statement. 3Q26E assumption $400mn (2Q26 $695mn; $1.5bn authorization remaining; Q3 OCF ~$1.1bn less ~$0.47bn dividends).</t>
  </si>
  <si>
    <t>Avg. repurchase price ($)</t>
  </si>
  <si>
    <t>S08/S10 equity note. 3Q26E: Q3 share price ranged ~$231–$286 (S30); assume $265.</t>
  </si>
  <si>
    <t>Y/Y change ($)</t>
  </si>
  <si>
    <t>3Q25: no shares repurchased, so no year-ago price.</t>
  </si>
  <si>
    <t>Shares repurchased (mn)</t>
  </si>
  <si>
    <t>4Q25 count not disclosed in fetched filings.</t>
  </si>
  <si>
    <t>Shares issued, employee plans</t>
  </si>
  <si>
    <t>3Q26E assumption (vesting, ESPP, board grants).</t>
  </si>
  <si>
    <t>Closing shares (forecast)</t>
  </si>
  <si>
    <t>Buyback authorization left ($bn)</t>
  </si>
  <si>
    <t>$3.0bn program approved Dec-2024 (S04/S08/S10).</t>
  </si>
  <si>
    <t>Dividends</t>
  </si>
  <si>
    <t>Regular dividend per share ($)</t>
  </si>
  <si>
    <t>3Q26 $1.30 declared 2026-08-06, payable 2026-09-25 (S17).</t>
  </si>
  <si>
    <t>Annual variable dividend ($)</t>
  </si>
  <si>
    <t>Paid in 1Q26 (S23).</t>
  </si>
  <si>
    <t>Cash dividends paid ($mn)</t>
  </si>
  <si>
    <t>3Q26E = DPS × weighted basic shares (H10), an approximation; record-date count not modelled. Using closing shares (H29) would be ~$0.95mn lower (cash/equity only, no EPS effect). Assumption retained.</t>
  </si>
  <si>
    <t>Share count behind forecast EPS</t>
  </si>
  <si>
    <t>Diluted shares for 3Q26E EPS</t>
  </si>
  <si>
    <t>Issuer guidance log</t>
  </si>
  <si>
    <t>$ millions; rates in %</t>
  </si>
  <si>
    <t>Metric (source)</t>
  </si>
  <si>
    <t>Date given</t>
  </si>
  <si>
    <t>Low</t>
  </si>
  <si>
    <t>High</t>
  </si>
  <si>
    <t>Midpoint</t>
  </si>
  <si>
    <t>Actual/model</t>
  </si>
  <si>
    <t>Beat / miss vs midpoint</t>
  </si>
  <si>
    <t>FY25 adj. opex ex-license (S26)</t>
  </si>
  <si>
    <t>2025-02-12</t>
  </si>
  <si>
    <t>FY2025</t>
  </si>
  <si>
    <t>Below guide (favorable)</t>
  </si>
  <si>
    <t>FY25 adj. opex revised (S27)</t>
  </si>
  <si>
    <t>2025-07-23</t>
  </si>
  <si>
    <t>FY25 capex, net (S26)</t>
  </si>
  <si>
    <t>FY25 adj. ETR (S26)</t>
  </si>
  <si>
    <t>Within range</t>
  </si>
  <si>
    <t>FY26 adj. opex ex-license (S28)</t>
  </si>
  <si>
    <t>2026-02-04</t>
  </si>
  <si>
    <t>FY2026</t>
  </si>
  <si>
    <t>pending</t>
  </si>
  <si>
    <t>Pending — FY2026 not yet reported</t>
  </si>
  <si>
    <t>FY26 capex, net (S28)</t>
  </si>
  <si>
    <t>FY26 adj. ETR (S28)</t>
  </si>
  <si>
    <t>FY26 adj. ETR "low end" (S11)</t>
  </si>
  <si>
    <t>2026-07-22</t>
  </si>
  <si>
    <t>Revenue, net income, EPS</t>
  </si>
  <si>
    <t>All periods</t>
  </si>
  <si>
    <t>Not guided — CME gives no revenue, net income or EPS guidance</t>
  </si>
  <si>
    <t>Memo: FY2026 expense guidance tracking ($mn, adjusted ex-license)</t>
  </si>
  <si>
    <t>1H26 actual (1Q26A + 2Q26A)</t>
  </si>
  <si>
    <t>3Q26E (model)</t>
  </si>
  <si>
    <t>Implied 4Q26 to land on guidance midpoint</t>
  </si>
  <si>
    <t>Memo: 4Q25A for comparison</t>
  </si>
  <si>
    <t>Track record: FY25 actual came in below both the initial and revised expense guides and within the tax-rate range.</t>
  </si>
  <si>
    <t>Sources</t>
  </si>
  <si>
    <t>All publication dates precede the 2026-10-18T21:34:46Z information cutoff.</t>
  </si>
  <si>
    <t>ID / document</t>
  </si>
  <si>
    <t>Published</t>
  </si>
  <si>
    <t>Publisher</t>
  </si>
  <si>
    <t>What it feeds</t>
  </si>
  <si>
    <t>URL or file</t>
  </si>
  <si>
    <t>S01 CapIQ history CSV</t>
  </si>
  <si>
    <t>2026-10-18</t>
  </si>
  <si>
    <t>S&amp;P CapIQ</t>
  </si>
  <si>
    <t>Six EPS/revenue pairs; calibration</t>
  </si>
  <si>
    <t>workspace/CME_history.csv (sha256 1bc82e71…)</t>
  </si>
  <si>
    <t>S02 CapIQ consensus JSON</t>
  </si>
  <si>
    <t>Frozen consensus; Cover; Inputs A</t>
  </si>
  <si>
    <t>workspace/CME_consensus.json (sha256 713b5db2…)</t>
  </si>
  <si>
    <t>S03 3Q25 earnings release (Ex.99.1)</t>
  </si>
  <si>
    <t>2025-10-22</t>
  </si>
  <si>
    <t>CME / SEC</t>
  </si>
  <si>
    <t>3Q25 IS, BS, bridge, ADV, RPC; 3Q24</t>
  </si>
  <si>
    <t>https://www.sec.gov/Archives/edgar/data/1156375/000115637525000204/exhibit9919302025.htm</t>
  </si>
  <si>
    <t>S04 3Q25 Form 10-Q</t>
  </si>
  <si>
    <t>2025-10-24</t>
  </si>
  <si>
    <t>Product revenue, 9M25 CF, collateral</t>
  </si>
  <si>
    <t>https://www.sec.gov/Archives/edgar/data/1156375/000115637525000206/cme-20250930.htm</t>
  </si>
  <si>
    <t>S05 4Q25/FY25 release (Ex.99.1)</t>
  </si>
  <si>
    <t>4Q25/FY25 IS, BS, bridge, ADV; FY24</t>
  </si>
  <si>
    <t>https://www.sec.gov/Archives/edgar/data/1156375/000115637526000006/exhibit991123125.htm</t>
  </si>
  <si>
    <t>S06 FY2025 10-K (XBRL R8/R52/R53)</t>
  </si>
  <si>
    <t>2026-02-26</t>
  </si>
  <si>
    <t>FY25 product revenue, CF, collateral</t>
  </si>
  <si>
    <t>https://www.sec.gov/Archives/edgar/data/1156375/000115637526000009/cme-20251231.htm</t>
  </si>
  <si>
    <t>S07 1Q26 earnings release (Ex.99.1)</t>
  </si>
  <si>
    <t>2026-04-22</t>
  </si>
  <si>
    <t>1Q26 IS, BS, bridge, ADV, RPC; 1Q25</t>
  </si>
  <si>
    <t>https://www.sec.gov/Archives/edgar/data/1156375/000115637526000016/exhibit9913312026.htm</t>
  </si>
  <si>
    <t>S08 1Q26 Form 10-Q</t>
  </si>
  <si>
    <t>2026-04-24</t>
  </si>
  <si>
    <t>Product revenue, 3M26 CF, buybacks</t>
  </si>
  <si>
    <t>https://www.sec.gov/Archives/edgar/data/1156375/000115637526000020/cme-20260331.htm</t>
  </si>
  <si>
    <t>S09 2Q26 earnings release (Ex.99.1)</t>
  </si>
  <si>
    <t>2Q26 IS, BS, bridge, ADV, RPC; 2Q25</t>
  </si>
  <si>
    <t>https://www.sec.gov/Archives/edgar/data/1156375/000115637526000042/exhibit9916302026.htm</t>
  </si>
  <si>
    <t>S10 2Q26 Form 10-Q</t>
  </si>
  <si>
    <t>2026-07-24</t>
  </si>
  <si>
    <t>Product revenue, 6M CF, segment note</t>
  </si>
  <si>
    <t>https://www.sec.gov/Archives/edgar/data/1156375/000115637526000047/cme-20260630.htm</t>
  </si>
  <si>
    <t>S11 2Q26 call script / Zacks recap</t>
  </si>
  <si>
    <t>CME IR/Zacks</t>
  </si>
  <si>
    <t>FY26 opex/capex/tax guidance reaffirmed</t>
  </si>
  <si>
    <t>https://investor.cmegroup.com/static-files/f03a4407-750b-4ce3-a3db-02d59b60b8a6 ; https://uk.finance.yahoo.com/news/cme-q2-earnings-beat-estimates-152400491.html</t>
  </si>
  <si>
    <t>S12 July 2026 volume release</t>
  </si>
  <si>
    <t>2026-08-04</t>
  </si>
  <si>
    <t>CME Group</t>
  </si>
  <si>
    <t>July ADV 27.0mn; collateral to Jun-26</t>
  </si>
  <si>
    <t>https://www.cmegroup.com/media-room/press-releases/2026/8/04/cme_group_july_volumehitsnewrecordof27millioncontractsup23yearov.html</t>
  </si>
  <si>
    <t>S13 August 2026 volume release</t>
  </si>
  <si>
    <t>2026-09-02</t>
  </si>
  <si>
    <t>August ADV 29.7mn; collateral</t>
  </si>
  <si>
    <t>https://www.cmegroup.com/media-room/press-releases/2026/9/02/cme_group_reportssecond-highestaugustadvof297millioncontracts.html</t>
  </si>
  <si>
    <t>S14 Sept &amp; Q3 2026 volume release</t>
  </si>
  <si>
    <t>2026-10-02</t>
  </si>
  <si>
    <t>CME IR</t>
  </si>
  <si>
    <t>3Q26 ADV by asset class; collateral</t>
  </si>
  <si>
    <t>https://investor.cmegroup.com/news-releases/news-release-details/cme-group-reports-record-average-daily-volume-september-and-q3</t>
  </si>
  <si>
    <t>S15 Q3 2026 international ADV release</t>
  </si>
  <si>
    <t>2026-10-08</t>
  </si>
  <si>
    <t>3Q26 non-U.S. ADV 9.0mn</t>
  </si>
  <si>
    <t>https://www.cmegroup.com/media-room/press-releases/2026/10/08/cme_group_s_internationalaveragedailyvolumerises22to9millioncont.html</t>
  </si>
  <si>
    <t>S16 3Q26 earnings date release</t>
  </si>
  <si>
    <t>2026-09-04</t>
  </si>
  <si>
    <t>Report date 2026-10-21 (pre-market)</t>
  </si>
  <si>
    <t>https://www.cmegroup.com/media-room/press-releases/2026/9/04/cme_group_inc_announcesthird-quarter2026earningsreleaseconferenc.html</t>
  </si>
  <si>
    <t>S17 3Q26 dividend declaration</t>
  </si>
  <si>
    <t>2026-08-06</t>
  </si>
  <si>
    <t>$1.30/share, paid 2026-09-25</t>
  </si>
  <si>
    <t>https://www.cmegroup.com/media-room/press-releases/2026/8/06/cme_group_declaresquarterlydividend.html</t>
  </si>
  <si>
    <t>S18 SER-9799 fee amendments (8-K)</t>
  </si>
  <si>
    <t>2026-08-11</t>
  </si>
  <si>
    <t>Fee changes from 2026-10-01 (not Q3)</t>
  </si>
  <si>
    <t>https://www.cmegroup.com/notices/ser/2026/08/ser-9799.html</t>
  </si>
  <si>
    <t>S19 FOMC statement, July 2026</t>
  </si>
  <si>
    <t>2026-07-29</t>
  </si>
  <si>
    <t>Fed. Reserve</t>
  </si>
  <si>
    <t>Rates held at 3.50-3.75%</t>
  </si>
  <si>
    <t>https://www.federalreserve.gov/newsevents/pressreleases/monetary20260729a.htm</t>
  </si>
  <si>
    <t>S20 FOMC statement, Sept 2026</t>
  </si>
  <si>
    <t>2026-09-16</t>
  </si>
  <si>
    <t>Hike to 3.75-4.00% (collateral yield)</t>
  </si>
  <si>
    <t>https://www.federalreserve.gov/newsevents/pressreleases/monetary20260916a.htm</t>
  </si>
  <si>
    <t>S21 UBS 3Q26 preview (summary)</t>
  </si>
  <si>
    <t>2026-10-05</t>
  </si>
  <si>
    <t>UBS/xxquant</t>
  </si>
  <si>
    <t>RPC trends, cash mkts, IRS, collateral</t>
  </si>
  <si>
    <t>https://www.xxquant.com/en/institution/institutional-research/b5c57274f512bd1ecc7b606e7aa36170</t>
  </si>
  <si>
    <t>S22 Zacks key-metric preview</t>
  </si>
  <si>
    <t>2026-10-16</t>
  </si>
  <si>
    <t>Zacks/Yahoo</t>
  </si>
  <si>
    <t>Newer consensus (reference only)</t>
  </si>
  <si>
    <t>https://finance.yahoo.com/markets/stocks/articles/ahead-cme-cme-q3-earnings-121521086.html</t>
  </si>
  <si>
    <t>S23 drillr 3Q26 preview</t>
  </si>
  <si>
    <t>2026-09-21</t>
  </si>
  <si>
    <t>drillr</t>
  </si>
  <si>
    <t>Market data catch-up; dividend detail</t>
  </si>
  <si>
    <t>https://drillr.ai/article/cme-group-q3-2026-earnings-rate-per-contract</t>
  </si>
  <si>
    <t>S24 CME market capitalization</t>
  </si>
  <si>
    <t>StockAnalysis</t>
  </si>
  <si>
    <t>Market cap $105.67bn (size bucket)</t>
  </si>
  <si>
    <t>https://stockanalysis.com/stocks/cme/market-cap/</t>
  </si>
  <si>
    <t>S25 S&amp;P 500 constituent list</t>
  </si>
  <si>
    <t>ChartRow</t>
  </si>
  <si>
    <t>S&amp;P 500 membership</t>
  </si>
  <si>
    <t>https://chartrow.com/sp500/companies</t>
  </si>
  <si>
    <t>S26 4Q24 call script (FY25 guide)</t>
  </si>
  <si>
    <t>FY25 opex, capex, tax-rate guidance</t>
  </si>
  <si>
    <t>https://investor.cmegroup.com/static-files/0c348bd4-935e-4de7-8e1e-e2b2dedb4fb0</t>
  </si>
  <si>
    <t>S27 2Q25 call transcript</t>
  </si>
  <si>
    <t>Motley Fool</t>
  </si>
  <si>
    <t>FY25 opex guide cut to ~$1.635bn</t>
  </si>
  <si>
    <t>https://www.fool.com/earnings/call-transcripts/2026/04/22/cme-cme-q2-2025-earnings-call-transcript/ (URL path date is the re-post date; call held 2025-07-23)</t>
  </si>
  <si>
    <t>S28 4Q25 call transcript</t>
  </si>
  <si>
    <t>FY26 opex ~$1.695bn, capex ~$85mn</t>
  </si>
  <si>
    <t>https://www.fool.com/earnings/call-transcripts/2026/02/04/cme-group-cme-q4-2025-earnings-call-transcript/</t>
  </si>
  <si>
    <t>S29 Monthly volume releases</t>
  </si>
  <si>
    <t>2026-05-04</t>
  </si>
  <si>
    <t>Rolling 3-mo cash collateral balances</t>
  </si>
  <si>
    <t>https://www.cmegroup.com/media-room/press-releases/2025/11/04/cme_group_octobervolumehitsnewrecordof263millioncontractsup8year.html ; https://www.cmegroup.com/media-room/press-releases/2026/5/04/cme_group_reportsapril2026advof259millioncontracts.html</t>
  </si>
  <si>
    <t>S30 CME share price history</t>
  </si>
  <si>
    <t>cfgi / Yahoo</t>
  </si>
  <si>
    <t>Q3 price range (buyback price)</t>
  </si>
  <si>
    <t>https://cfgi.io/cme-stock-quarterly-report/</t>
  </si>
  <si>
    <t>Tab coverage notes</t>
  </si>
  <si>
    <t>Segment tabs omitted: single reportable segment (2Q26 10-Q Note 13 "Segment Reporting", S10); drivers built on Revenue summary.</t>
  </si>
  <si>
    <t>Geo tab omitted: no revenue by geography disclosed (FY2025 10-K, S06); only non-U.S. ADV, shown on Revenue summary.</t>
  </si>
  <si>
    <t>No Dates, Consensus or Checks tabs by design: headers on each tab; consensus on Cover; check summary in artifacts/checks.md.</t>
  </si>
  <si>
    <t>All web sources were retrieved 2026-10-19 (UTC), after the 2026-10-18T21:34:46Z cutoff, via web_fetch / web search; only content published before the cutoff (dates in C10:C39) is used. No frozen page snapshots or capture timestamps exist (documented limitation). None contains 3Q26 reported results (saw_actual_results = false).</t>
  </si>
  <si>
    <t>Inputs (CapIQ snapshot, CapIQ history, calibration, prior-year comparatives)</t>
  </si>
  <si>
    <t>No shared period band on this tab: section B periods are in row 104 (period ends row 105); section D periods are in row 139 (period ends and day counts in I138); sections A and C use column C only.</t>
  </si>
  <si>
    <t>A. S&amp;P Capital IQ consensus snapshot — CME_consensus.json (raw, unaltered; blanks preserved)</t>
  </si>
  <si>
    <t>S02. Column C holds the raw value; numeric strings stored as numbers, blank source fields left blank.</t>
  </si>
  <si>
    <t>source</t>
  </si>
  <si>
    <t>S&amp;P Capital IQ</t>
  </si>
  <si>
    <t>ticker</t>
  </si>
  <si>
    <t>company</t>
  </si>
  <si>
    <t>fiscal_period</t>
  </si>
  <si>
    <t>FQ3 2026 - Sep 2026</t>
  </si>
  <si>
    <t>period_end_date</t>
  </si>
  <si>
    <t>2026-09-30</t>
  </si>
  <si>
    <t>as_of_date</t>
  </si>
  <si>
    <t>analyst_count</t>
  </si>
  <si>
    <t>consensus_eps</t>
  </si>
  <si>
    <t>eps_basis</t>
  </si>
  <si>
    <t>Normalized diluted EPS per ordinary/common share, USD; verify issuer adjustments and share identity</t>
  </si>
  <si>
    <t>consensus_revenue_m</t>
  </si>
  <si>
    <t>currency</t>
  </si>
  <si>
    <t>summary_sha256</t>
  </si>
  <si>
    <t>e59b846434f90c9b5de8c2ed951fd1b25c1f6d0217c680f72dea41992051a49d</t>
  </si>
  <si>
    <t>captured_precision</t>
  </si>
  <si>
    <t>date only, user confirmed</t>
  </si>
  <si>
    <t>currency_units_status</t>
  </si>
  <si>
    <t>metric_units.eps_currency</t>
  </si>
  <si>
    <t>metric_units.eps_share_unit</t>
  </si>
  <si>
    <t>diluted ordinary/common share</t>
  </si>
  <si>
    <t>metric_units.revenue_currency</t>
  </si>
  <si>
    <t>metric_units.financial_amount_scale</t>
  </si>
  <si>
    <t>millions</t>
  </si>
  <si>
    <t>Summary row (summary_row) — all fields</t>
  </si>
  <si>
    <t>company_name</t>
  </si>
  <si>
    <t>exchange_ticker</t>
  </si>
  <si>
    <t>NasdaqGS:CME</t>
  </si>
  <si>
    <t>capiq_company_id</t>
  </si>
  <si>
    <t>2004577</t>
  </si>
  <si>
    <t>currency_basis</t>
  </si>
  <si>
    <t>fiscal_year_end</t>
  </si>
  <si>
    <t>Dec-31</t>
  </si>
  <si>
    <t>fiscal_quarter</t>
  </si>
  <si>
    <t>quarter_end_date</t>
  </si>
  <si>
    <t>expected_report_date</t>
  </si>
  <si>
    <t>2026-10-21</t>
  </si>
  <si>
    <t>normalized diluted and GAAP diluted, as labelled</t>
  </si>
  <si>
    <t>eps_normalized_estimates</t>
  </si>
  <si>
    <t>eps_normalized_contributors</t>
  </si>
  <si>
    <t>detail_tab_total_contributors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</si>
  <si>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</si>
  <si>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</si>
  <si>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</si>
  <si>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</si>
  <si>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</si>
  <si>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</si>
  <si>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</si>
  <si>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</si>
  <si>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</si>
  <si>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</si>
  <si>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</si>
  <si>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</si>
  <si>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</si>
  <si>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</si>
  <si>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</si>
  <si>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</t>
  </si>
  <si>
    <t>eps_gaap_guidance_low</t>
  </si>
  <si>
    <t>eps_gaap_guidance_high</t>
  </si>
  <si>
    <t>revenue_mean</t>
  </si>
  <si>
    <t>revenue_median</t>
  </si>
  <si>
    <t>revenue_high</t>
  </si>
  <si>
    <t>revenue_low</t>
  </si>
  <si>
    <t>revenue_std_dev</t>
  </si>
  <si>
    <t>revenue_n_est</t>
  </si>
  <si>
    <t>revenue_guidance</t>
  </si>
  <si>
    <t>revenue_guidance_low</t>
  </si>
  <si>
    <t>revenue_guidance_high</t>
  </si>
  <si>
    <t>ebitda</t>
  </si>
  <si>
    <t>ebit</t>
  </si>
  <si>
    <t>CapIQ ebit basis undefined in snapshot; tracking proxy only vs Income Statement!H114 (Cover!D28).</t>
  </si>
  <si>
    <t>ebt_excl_excep</t>
  </si>
  <si>
    <t>CapIQ ebt_excl_excep basis undefined; tracking proxy only (closest model line: adjusted pre-tax income, Income Statement!H137).</t>
  </si>
  <si>
    <t>ebt_gaap</t>
  </si>
  <si>
    <t>CapIQ ebt_gaap basis undefined; tracking proxy only (closest model line: GAAP pre-tax income, Income Statement!H72).</t>
  </si>
  <si>
    <t>net_income_excl_excep</t>
  </si>
  <si>
    <t>net_income_gaap</t>
  </si>
  <si>
    <t>gross_margin_pct</t>
  </si>
  <si>
    <t>effective_tax_rate_pct</t>
  </si>
  <si>
    <t>d_and_a</t>
  </si>
  <si>
    <t>capex</t>
  </si>
  <si>
    <t>cfo</t>
  </si>
  <si>
    <t>fcf</t>
  </si>
  <si>
    <t>interest_expense</t>
  </si>
  <si>
    <t>net_debt</t>
  </si>
  <si>
    <t>nav</t>
  </si>
  <si>
    <t>roe_pct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</si>
  <si>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</si>
  <si>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</si>
  <si>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</si>
  <si>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</si>
  <si>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</si>
  <si>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</si>
  <si>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</si>
  <si>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Hold</t>
  </si>
  <si>
    <t>recommendation_score</t>
  </si>
  <si>
    <t>last_close_price</t>
  </si>
  <si>
    <t>wk52_high_low</t>
  </si>
  <si>
    <t>329.16/218.31</t>
  </si>
  <si>
    <t>estimates_captured_at</t>
  </si>
  <si>
    <t>notes</t>
  </si>
  <si>
    <t>GAAP consensus rests on only 2 contributors; a GAAP EPS "Guidance 1.30" value looks like a different line item and was excluded</t>
  </si>
  <si>
    <t>Target manifest (target_manifest.targets)</t>
  </si>
  <si>
    <t>targets</t>
  </si>
  <si>
    <t>total_revenue, net_income_to_common, normalized_diluted_eps, gaap_diluted_eps, diluted_shares, revenue_growth, material_segment_revenue, operating_income, operating_margin, gross_profit, gross_margin, issuer_defined_ebitda, organic_revenue_growth, operating_cash_flow, capital_expenditures, issuer_defined_free_cash_flow</t>
  </si>
  <si>
    <t>policy</t>
  </si>
  <si>
    <t>Track applicable disclosed lines; record unavailable/not applicable with a reason. Only normalized EPS is scored.</t>
  </si>
  <si>
    <t>B. S&amp;P Capital IQ history — CME_history.csv (six rows, transposed: one column per CSV row)</t>
  </si>
  <si>
    <t>S01. Columns C..H = CSV rows 1..6 (fiscal 1Q25..2Q26). Values unaltered.</t>
  </si>
  <si>
    <t>Fiscal quarter (label)</t>
  </si>
  <si>
    <t>1Q25A</t>
  </si>
  <si>
    <t>2Q25A</t>
  </si>
  <si>
    <t>2025-03-31</t>
  </si>
  <si>
    <t>2025-06-30</t>
  </si>
  <si>
    <t>2025-09-30</t>
  </si>
  <si>
    <t>2025-12-31</t>
  </si>
  <si>
    <t>2026-03-31</t>
  </si>
  <si>
    <t>2026-06-30</t>
  </si>
  <si>
    <t>report_date</t>
  </si>
  <si>
    <t>2025-04-23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</si>
  <si>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</si>
  <si>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</si>
  <si>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</si>
  <si>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</si>
  <si>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</si>
  <si>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</si>
  <si>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>Normalized EPS surprise ($)</t>
  </si>
  <si>
    <t>Strict beat flag (1 = beat)</t>
  </si>
  <si>
    <t>GAAP EPS surprise ($)</t>
  </si>
  <si>
    <t>Revenue surprise (%)</t>
  </si>
  <si>
    <t>Filing adj. diluted EPS (link)</t>
  </si>
  <si>
    <t>Diff: CapIQ normalized − filing</t>
  </si>
  <si>
    <t>Filing GAAP diluted EPS (link)</t>
  </si>
  <si>
    <t>Diff: CapIQ GAAP − filing</t>
  </si>
  <si>
    <t>Filing total revenues (link)</t>
  </si>
  <si>
    <t>Diff: CapIQ revenue − filing</t>
  </si>
  <si>
    <t>C. Beat-probability calibration (forecasting playbook v2: size &amp; issuer history)</t>
  </si>
  <si>
    <t>Market cap S24 (2026-10-16 close); S&amp;P 500 membership S25. Cohort prior 0.78 = large cap OR S&amp;P 500 (applied once).</t>
  </si>
  <si>
    <t>Market cap ($bn, 2026-10-16)</t>
  </si>
  <si>
    <t>Size bucket</t>
  </si>
  <si>
    <t>Large (&gt; $10bn)</t>
  </si>
  <si>
    <t>S&amp;P 500 member</t>
  </si>
  <si>
    <t>Yes</t>
  </si>
  <si>
    <t>Cohort prior</t>
  </si>
  <si>
    <t>b = strict beats (6 pairs)</t>
  </si>
  <si>
    <t>n = valid pairs</t>
  </si>
  <si>
    <t>Pseudo-observations k</t>
  </si>
  <si>
    <t>Starting p = (k×prior+b)/(k+n)</t>
  </si>
  <si>
    <t>Final P(beat consensus EPS)</t>
  </si>
  <si>
    <t>Judgment: model EPS ~$3.01 vs $2.98 (+1%) supports the prior; consensus already rose ~1.4% in 30 days on public Sept volume, and RPC/tax are the swing factors.</t>
  </si>
  <si>
    <t>Evidence adjustment</t>
  </si>
  <si>
    <t>Mean normalized EPS surprise ($)</t>
  </si>
  <si>
    <t>Std. dev. of surprise ($)</t>
  </si>
  <si>
    <t>D. Prior-year comparative quarters (as reported; used for Y/Y and Q/Q only)</t>
  </si>
  <si>
    <t>Columns: C=3Q24A (ended 2024-09-30, 92 days), D=4Q24A (2024-12-31, 92 days), E=FY24A (2024-12-31, 366 days), F=1Q25A (2025-03-31, 90 days), G=2Q25A (2025-06-30, 91 days), H=9M24A YTD memo (2024-09-30, 274 days). Sources S03, S05, S07, S09 (prior-year columns), S04/S06/S08/S10.</t>
  </si>
  <si>
    <t>Comparative period</t>
  </si>
  <si>
    <t>3Q24A</t>
  </si>
  <si>
    <t>4Q24A</t>
  </si>
  <si>
    <t>FY24A</t>
  </si>
  <si>
    <t>9M24A YTD</t>
  </si>
  <si>
    <t>C&amp;T fees — Interest rates</t>
  </si>
  <si>
    <t>C&amp;T fees — Equity indexes</t>
  </si>
  <si>
    <t>C&amp;T fees — Foreign exchange</t>
  </si>
  <si>
    <t>C&amp;T fees — Energy</t>
  </si>
  <si>
    <t>C&amp;T fees — Agricultural</t>
  </si>
  <si>
    <t>C&amp;T fees — Metals</t>
  </si>
  <si>
    <t>C&amp;T fees — BrokerTec fixed income</t>
  </si>
  <si>
    <t>C&amp;T fees — EBS foreign exchange</t>
  </si>
  <si>
    <t>C&amp;T fees — Interest rate swap</t>
  </si>
  <si>
    <t>Cash markets &amp; OTC fees</t>
  </si>
  <si>
    <t>F&amp;O C&amp;T fees (ex cash mkts &amp; IRS)</t>
  </si>
  <si>
    <t>ADV — Interest rates (000s)</t>
  </si>
  <si>
    <t>ADV — Equity indexes (000s)</t>
  </si>
  <si>
    <t>ADV — Foreign exchange (000s)</t>
  </si>
  <si>
    <t>ADV — Energy (000s)</t>
  </si>
  <si>
    <t>ADV — Agricultural (000s)</t>
  </si>
  <si>
    <t>ADV — Metals (000s)</t>
  </si>
  <si>
    <t>ADV — total F&amp;O (000s)</t>
  </si>
  <si>
    <t>ADV — total reported (000s)</t>
  </si>
  <si>
    <t>ADV — CME Globex (000s)</t>
  </si>
  <si>
    <t>ADV — open outcry (000s)</t>
  </si>
  <si>
    <t>ADV — priv. negotiated (000s)</t>
  </si>
  <si>
    <t>RPC — Interest rates (cents)</t>
  </si>
  <si>
    <t>RPC — Equity indexes (cents)</t>
  </si>
  <si>
    <t>RPC — Foreign exchange (cents)</t>
  </si>
  <si>
    <t>RPC — Energy (cents)</t>
  </si>
  <si>
    <t>RPC — Agricultural (cents)</t>
  </si>
  <si>
    <t>RPC — Metals (cents)</t>
  </si>
  <si>
    <t>RPC — avg. reported (cents)</t>
  </si>
  <si>
    <t>RPC — avg. derived (cents)</t>
  </si>
  <si>
    <t>Other expenses</t>
  </si>
  <si>
    <t>of which: earnings on perf. bonds</t>
  </si>
  <si>
    <t>of which: distribution to members</t>
  </si>
  <si>
    <t>GAAP diluted EPS reported ($)</t>
  </si>
  <si>
    <t>GAAP basic EPS reported ($)</t>
  </si>
  <si>
    <t>Adj. expenses as reported</t>
  </si>
  <si>
    <t>Adj. expenses ex-license</t>
  </si>
  <si>
    <t>Adj. NI as reported</t>
  </si>
  <si>
    <t>Adj. diluted EPS reported ($)</t>
  </si>
  <si>
    <t>GAAP → adjusted bridge items, 1Q25A (col F) and 2Q25A (col G)</t>
  </si>
  <si>
    <t>Opex adj.: restructuring and severance</t>
  </si>
  <si>
    <t>Opex adj.: deferred compensation</t>
  </si>
  <si>
    <t>Opex adj.: amortization of purchased intangibles</t>
  </si>
  <si>
    <t>Opex adj.: strategic transaction-related</t>
  </si>
  <si>
    <t>Opex adj.: real estate-related</t>
  </si>
  <si>
    <t>Opex adj.: foreign exchange transaction</t>
  </si>
  <si>
    <t>Opex adj.: unrealized/realized (gains) losses on assets</t>
  </si>
  <si>
    <t>Opex adj.: litigation matters</t>
  </si>
  <si>
    <t>NI adj.: restructuring and severance</t>
  </si>
  <si>
    <t>NI adj.: amortization of purchased intangibles (incl. equity-method)</t>
  </si>
  <si>
    <t>NI adj.: strategic transaction-related</t>
  </si>
  <si>
    <t>NI adj.: real estate-related</t>
  </si>
  <si>
    <t>NI adj.: foreign exchange transaction</t>
  </si>
  <si>
    <t>NI adj.: (gains) losses on investments</t>
  </si>
  <si>
    <t>NI adj.: (gains) losses on assets</t>
  </si>
  <si>
    <t>NI adj.: litigation matters</t>
  </si>
  <si>
    <t>NI adj.: income tax effect of above</t>
  </si>
  <si>
    <t>NI adj.: other income tax 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</si>
</sst>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8207" formatCode="#,##0.0_);(#,##0.0);–_)"/>
    <numFmt numFmtId="8208" formatCode="yyyy-mm-dd"/>
    <numFmt numFmtId="8209" formatCode="0.0%_);(0.0%);–_)"/>
    <numFmt numFmtId="8215" formatCode="$0.00"/>
    <numFmt numFmtId="8217" formatCode="0.0%"/>
    <numFmt numFmtId="8234" formatCode="#,##0_);(#,##0);–_)"/>
    <numFmt numFmtId="8245" formatCode="#,##0.00_);(#,##0.00);–_)"/>
    <numFmt numFmtId="8253" formatCode="$0.00_);($0.00)"/>
  </numFmts>
  <fonts count="13">
    <font>
      <b val="0"/>
      <i val="0"/>
      <sz val="11"/>
      <color auto="1"/>
      <name val="Calibri"/>
    </font>
    <font>
      <b val="0"/>
      <i val="0"/>
      <sz val="10"/>
      <color rgb="FF000000"/>
      <name val="Arial"/>
    </font>
    <font>
      <b val="0"/>
      <i/>
      <sz val="10"/>
      <color rgb="FF000000"/>
      <name val="Arial"/>
    </font>
    <font>
      <b/>
      <i val="0"/>
      <sz val="10"/>
      <color rgb="FF000000"/>
      <name val="Arial"/>
    </font>
    <font>
      <b val="0"/>
      <i val="0"/>
      <sz val="10"/>
      <color rgb="FF006100"/>
      <name val="Arial"/>
    </font>
    <font>
      <b val="0"/>
      <i/>
      <sz val="10"/>
      <color rgb="FF006100"/>
      <name val="Arial"/>
    </font>
    <font>
      <b val="0"/>
      <i/>
      <sz val="10"/>
      <color rgb="FF0000FF"/>
      <name val="Arial"/>
    </font>
    <font>
      <b val="0"/>
      <i val="0"/>
      <sz val="10"/>
      <color rgb="FF0000FF"/>
      <name val="Arial"/>
    </font>
    <font>
      <b/>
      <i val="0"/>
      <sz val="12"/>
      <color rgb="FF000000"/>
      <name val="Arial"/>
    </font>
    <font>
      <b/>
      <i val="0"/>
      <sz val="10"/>
      <color rgb="FF006100"/>
      <name val="Arial"/>
    </font>
    <font>
      <b/>
      <i val="0"/>
      <sz val="10"/>
      <color rgb="FF0000FF"/>
      <name val="Arial"/>
    </font>
    <font>
      <b/>
      <i val="0"/>
      <sz val="14"/>
      <color rgb="FF000000"/>
      <name val="Arial"/>
    </font>
    <font>
      <b val="0"/>
      <i val="0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4D6"/>
      </patternFill>
    </fill>
  </fills>
  <borders count="6">
    <border>
      <left/>
      <right/>
      <top/>
      <bottom/>
    </border>
    <border>
      <left/>
      <right/>
      <top/>
      <bottom/>
      <diagonal/>
    </border>
    <border>
      <bottom style="thin">
        <color rgb="FF000000"/>
      </bottom>
    </border>
    <border>
      <top style="thin">
        <color rgb="FF000000"/>
      </top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1"/>
  </cellStyleXfs>
  <cellXfs count="84">
    <xf numFmtId="0" fontId="0" fillId="0" borderId="1" xfId="0"/>
    <xf numFmtId="0" fontId="11" fillId="0" borderId="1" xfId="0">
      <alignment horizontal="left" vertical="center"/>
    </xf>
    <xf numFmtId="0" fontId="8" fillId="0" borderId="1" xfId="0"/>
    <xf numFmtId="0" fontId="3" fillId="0" borderId="1" xfId="0"/>
    <xf numFmtId="0" fontId="2" fillId="0" borderId="1" xfId="0"/>
    <xf numFmtId="0" fontId="3" fillId="2" borderId="4" xfId="0"/>
    <xf numFmtId="0" fontId="3" fillId="2" borderId="4" xfId="0">
      <alignment horizontal="right" vertical="bottom"/>
    </xf>
    <xf numFmtId="0" fontId="3" fillId="3" borderId="4" xfId="0">
      <alignment horizontal="right" vertical="bottom"/>
    </xf>
    <xf numFmtId="0" fontId="3" fillId="2" borderId="4" xfId="0">
      <alignment horizontal="left" vertical="bottom"/>
    </xf>
    <xf numFmtId="0" fontId="1" fillId="2" borderId="1" xfId="0"/>
    <xf numFmtId="8208" fontId="1" fillId="2" borderId="1" xfId="0">
      <alignment horizontal="right" vertical="bottom"/>
    </xf>
    <xf numFmtId="8208" fontId="1" fillId="3" borderId="1" xfId="0">
      <alignment horizontal="right" vertical="bottom"/>
    </xf>
    <xf numFmtId="0" fontId="1" fillId="2" borderId="5" xfId="0"/>
    <xf numFmtId="1" fontId="1" fillId="2" borderId="5" xfId="0">
      <alignment horizontal="right" vertical="bottom"/>
    </xf>
    <xf numFmtId="1" fontId="1" fillId="3" borderId="5" xfId="0">
      <alignment horizontal="right" vertical="bottom"/>
    </xf>
    <xf numFmtId="0" fontId="1" fillId="0" borderId="1" xfId="0">
      <alignment horizontal="left" vertical="bottom"/>
    </xf>
    <xf numFmtId="0" fontId="1" fillId="0" borderId="1" xfId="0">
      <alignment horizontal="right" vertical="bottom"/>
    </xf>
    <xf numFmtId="0" fontId="3" fillId="0" borderId="1" xfId="0">
      <alignment horizontal="left" vertical="bottom"/>
    </xf>
    <xf numFmtId="0" fontId="3" fillId="0" borderId="1" xfId="0">
      <alignment horizontal="right" vertical="bottom"/>
    </xf>
    <xf numFmtId="8207" fontId="4" fillId="0" borderId="1" xfId="0">
      <alignment horizontal="right" vertical="bottom"/>
    </xf>
    <xf numFmtId="8207" fontId="1" fillId="0" borderId="1" xfId="0">
      <alignment horizontal="right" vertical="bottom"/>
    </xf>
    <xf numFmtId="0" fontId="2" fillId="0" borderId="1" xfId="0">
      <alignment horizontal="left" vertical="bottom" indent="2"/>
    </xf>
    <xf numFmtId="8209" fontId="2" fillId="0" borderId="1" xfId="0">
      <alignment horizontal="right" vertical="bottom"/>
    </xf>
    <xf numFmtId="8215" fontId="9" fillId="0" borderId="1" xfId="0">
      <alignment horizontal="right" vertical="bottom"/>
    </xf>
    <xf numFmtId="8253" fontId="3" fillId="0" borderId="1" xfId="0">
      <alignment horizontal="right" vertical="bottom"/>
    </xf>
    <xf numFmtId="8215" fontId="3" fillId="0" borderId="1" xfId="0">
      <alignment horizontal="right" vertical="bottom"/>
    </xf>
    <xf numFmtId="8215" fontId="4" fillId="0" borderId="1" xfId="0">
      <alignment horizontal="right" vertical="bottom"/>
    </xf>
    <xf numFmtId="8253" fontId="1" fillId="0" borderId="1" xfId="0">
      <alignment horizontal="right" vertical="bottom"/>
    </xf>
    <xf numFmtId="8215" fontId="1" fillId="0" borderId="1" xfId="0">
      <alignment horizontal="right" vertical="bottom"/>
    </xf>
    <xf numFmtId="8217" fontId="9" fillId="0" borderId="1" xfId="0">
      <alignment horizontal="right" vertical="bottom"/>
    </xf>
    <xf numFmtId="8217" fontId="3" fillId="0" borderId="1" xfId="0">
      <alignment horizontal="right" vertical="bottom"/>
    </xf>
    <xf numFmtId="0" fontId="9" fillId="0" borderId="1" xfId="0">
      <alignment horizontal="right" vertical="bottom"/>
    </xf>
    <xf numFmtId="0" fontId="4" fillId="0" borderId="1" xfId="0">
      <alignment horizontal="right" vertical="bottom"/>
    </xf>
    <xf numFmtId="0" fontId="2" fillId="0" borderId="1" xfId="0">
      <alignment horizontal="left" vertical="bottom"/>
    </xf>
    <xf numFmtId="8234" fontId="7" fillId="0" borderId="1" xfId="0">
      <alignment horizontal="right" vertical="bottom"/>
    </xf>
    <xf numFmtId="8234" fontId="4" fillId="0" borderId="1" xfId="0">
      <alignment horizontal="right" vertical="bottom"/>
    </xf>
    <xf numFmtId="8234" fontId="7" fillId="3" borderId="1" xfId="0">
      <alignment horizontal="right" vertical="bottom"/>
    </xf>
    <xf numFmtId="0" fontId="1" fillId="0" borderId="1" xfId="0">
      <alignment horizontal="left" vertical="bottom" indent="2"/>
    </xf>
    <xf numFmtId="8234" fontId="1" fillId="0" borderId="1" xfId="0">
      <alignment horizontal="right" vertical="bottom"/>
    </xf>
    <xf numFmtId="8234" fontId="1" fillId="3" borderId="1" xfId="0">
      <alignment horizontal="right" vertical="bottom"/>
    </xf>
    <xf numFmtId="8209" fontId="5" fillId="0" borderId="1" xfId="0">
      <alignment horizontal="right" vertical="bottom"/>
    </xf>
    <xf numFmtId="8209" fontId="2" fillId="3" borderId="1" xfId="0">
      <alignment horizontal="right" vertical="bottom"/>
    </xf>
    <xf numFmtId="8234" fontId="3" fillId="0" borderId="4" xfId="0">
      <alignment horizontal="right" vertical="bottom"/>
    </xf>
    <xf numFmtId="8234" fontId="3" fillId="3" borderId="4" xfId="0">
      <alignment horizontal="right" vertical="bottom"/>
    </xf>
    <xf numFmtId="0" fontId="1" fillId="0" borderId="1" xfId="0">
      <alignment horizontal="left" vertical="bottom" indent="1"/>
    </xf>
    <xf numFmtId="0" fontId="2" fillId="0" borderId="1" xfId="0">
      <alignment horizontal="left" vertical="bottom" indent="1"/>
    </xf>
    <xf numFmtId="8234" fontId="5" fillId="0" borderId="1" xfId="0">
      <alignment horizontal="right" vertical="bottom"/>
    </xf>
    <xf numFmtId="8234" fontId="2" fillId="3" borderId="1" xfId="0">
      <alignment horizontal="right" vertical="bottom"/>
    </xf>
    <xf numFmtId="8234" fontId="2" fillId="0" borderId="1" xfId="0">
      <alignment horizontal="right" vertical="bottom"/>
    </xf>
    <xf numFmtId="0" fontId="1" fillId="3" borderId="1" xfId="0">
      <alignment horizontal="right" vertical="bottom"/>
    </xf>
    <xf numFmtId="8209" fontId="6" fillId="0" borderId="1" xfId="0">
      <alignment horizontal="right" vertical="bottom"/>
    </xf>
    <xf numFmtId="0" fontId="2" fillId="0" borderId="1" xfId="0">
      <alignment horizontal="right" vertical="bottom"/>
    </xf>
    <xf numFmtId="8209" fontId="6" fillId="3" borderId="1" xfId="0">
      <alignment horizontal="right" vertical="bottom"/>
    </xf>
    <xf numFmtId="0" fontId="2" fillId="0" borderId="1" xfId="0">
      <alignment horizontal="left" vertical="bottom" indent="3"/>
    </xf>
    <xf numFmtId="8207" fontId="1" fillId="3" borderId="1" xfId="0">
      <alignment horizontal="right" vertical="bottom"/>
    </xf>
    <xf numFmtId="8207" fontId="7" fillId="0" borderId="1" xfId="0">
      <alignment horizontal="right" vertical="bottom"/>
    </xf>
    <xf numFmtId="8207" fontId="7" fillId="3" borderId="1" xfId="0">
      <alignment horizontal="right" vertical="bottom"/>
    </xf>
    <xf numFmtId="8207" fontId="3" fillId="0" borderId="4" xfId="0">
      <alignment horizontal="right" vertical="bottom"/>
    </xf>
    <xf numFmtId="8207" fontId="3" fillId="3" borderId="4" xfId="0">
      <alignment horizontal="right" vertical="bottom"/>
    </xf>
    <xf numFmtId="8207" fontId="3" fillId="0" borderId="1" xfId="0">
      <alignment horizontal="right" vertical="bottom"/>
    </xf>
    <xf numFmtId="8207" fontId="3" fillId="3" borderId="1" xfId="0">
      <alignment horizontal="right" vertical="bottom"/>
    </xf>
    <xf numFmtId="0" fontId="2" fillId="3" borderId="1" xfId="0">
      <alignment horizontal="right" vertical="bottom"/>
    </xf>
    <xf numFmtId="8207" fontId="10" fillId="0" borderId="4" xfId="0">
      <alignment horizontal="right" vertical="bottom"/>
    </xf>
    <xf numFmtId="8207" fontId="9" fillId="0" borderId="4" xfId="0">
      <alignment horizontal="right" vertical="bottom"/>
    </xf>
    <xf numFmtId="8207" fontId="4" fillId="3" borderId="1" xfId="0">
      <alignment horizontal="right" vertical="bottom"/>
    </xf>
    <xf numFmtId="8215" fontId="1" fillId="3" borderId="1" xfId="0">
      <alignment horizontal="right" vertical="bottom"/>
    </xf>
    <xf numFmtId="8215" fontId="3" fillId="3" borderId="1" xfId="0">
      <alignment horizontal="right" vertical="bottom"/>
    </xf>
    <xf numFmtId="8215" fontId="7" fillId="0" borderId="1" xfId="0">
      <alignment horizontal="right" vertical="bottom"/>
    </xf>
    <xf numFmtId="0" fontId="1" fillId="0" borderId="1" xfId="0">
      <alignment horizontal="left" vertical="bottom" indent="3"/>
    </xf>
    <xf numFmtId="0" fontId="3" fillId="0" borderId="1" xfId="0">
      <alignment horizontal="left" vertical="bottom" indent="1"/>
    </xf>
    <xf numFmtId="8215" fontId="3" fillId="0" borderId="4" xfId="0">
      <alignment horizontal="right" vertical="bottom"/>
    </xf>
    <xf numFmtId="8215" fontId="3" fillId="3" borderId="4" xfId="0">
      <alignment horizontal="right" vertical="bottom"/>
    </xf>
    <xf numFmtId="8207" fontId="9" fillId="3" borderId="4" xfId="0">
      <alignment horizontal="right" vertical="bottom"/>
    </xf>
    <xf numFmtId="0" fontId="4" fillId="3" borderId="1" xfId="0">
      <alignment horizontal="right" vertical="bottom"/>
    </xf>
    <xf numFmtId="8215" fontId="7" fillId="3" borderId="1" xfId="0">
      <alignment horizontal="right" vertical="bottom"/>
    </xf>
    <xf numFmtId="8253" fontId="1" fillId="3" borderId="1" xfId="0">
      <alignment horizontal="right" vertical="bottom"/>
    </xf>
    <xf numFmtId="8245" fontId="7" fillId="3" borderId="1" xfId="0">
      <alignment horizontal="right" vertical="bottom"/>
    </xf>
    <xf numFmtId="0" fontId="12" fillId="0" borderId="1" xfId="0"/>
    <xf numFmtId="0" fontId="1" fillId="0" borderId="1" xfId="0"/>
    <xf numFmtId="0" fontId="1" fillId="0" borderId="5" xfId="0"/>
    <xf numFmtId="8245" fontId="7" fillId="0" borderId="1" xfId="0">
      <alignment horizontal="right" vertical="bottom"/>
    </xf>
    <xf numFmtId="8245" fontId="1" fillId="0" borderId="1" xfId="0">
      <alignment horizontal="right" vertical="bottom"/>
    </xf>
    <xf numFmtId="8209" fontId="10" fillId="0" borderId="1" xfId="0">
      <alignment horizontal="right" vertical="bottom"/>
    </xf>
    <xf numFmtId="8209" fontId="3" fillId="0" borderId="1" xfId="0">
      <alignment horizontal="right" vertical="bottom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Relationship Id="rId11" Type="http://schemas.openxmlformats.org/officeDocument/2006/relationships/theme" Target="theme/theme1.xml"/><Relationship Id="rId1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28575</xdr:rowOff>
    </xdr:from>
    <xdr:to>
      <xdr:col>1</xdr:col>
      <xdr:colOff>590550</xdr:colOff>
      <xdr:row>0</xdr:row>
      <xdr:rowOff>600075</xdr:rowOff>
    </xdr:to>
    <xdr:pic>
      <xdr:nvPicPr>
        <xdr:cNvPr id="2" name="Shortcut logo"/>
        <xdr:cNvPicPr>
          <a:picLocks noChangeAspect="1"/>
        </xdr:cNvPicPr>
      </xdr:nvPicPr>
      <xdr:blipFill>
        <a:blip xmlns:r="http://schemas.openxmlformats.org/officeDocument/2006/relationships" r:embed="rId1"/>
        <a:srcRect l="0" r="0" t="0" b="0"/>
        <a:stretch/>
      </xdr:blipFill>
      <xdr:spPr>
        <a:xfrm>
          <a:off x="156633" y="28575"/>
          <a:ext cx="571500" cy="571500"/>
        </a:xfrm>
        <a:prstGeom prst="rect">
          <a:avLst/>
        </a:prstGeom>
        <a:noFill/>
        <a:ln cmpd="sng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2.v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comments" Target="../comments9.xml"/><Relationship Id="rId2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B4AFFF7B-9C58-EC1E-2628-40638A5EC3E8}" mc:Ignorable="x14ac xr xr2 xr3">
  <dimension ref="A1:CV10000"/>
  <sheetViews>
    <sheetView showGridLines="0" topLeftCell="A1" zoomScale="90" workbookViewId="0" tabSelected="1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8" width="12.00390625" customWidth="1"/>
    <col min="9" max="9" width="60.00390625" customWidth="1"/>
  </cols>
  <sheetData>
    <row r="1" ht="49.5" customHeight="1">
      <c r="C1" s="1" t="s">
        <v>0</v>
      </c>
    </row>
    <row r="2" ht="15" customHeight="1">
      <c r="B2" s="2" t="s">
        <v>1</v>
      </c>
    </row>
    <row r="3" ht="15" customHeight="1">
      <c r="B3" s="3" t="s">
        <v>2</v>
      </c>
    </row>
    <row r="4" ht="15" customHeight="1">
      <c r="B4" s="4" t="s">
        <v>3</v>
      </c>
    </row>
    <row r="5" ht="15" customHeight="1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7" t="s">
        <v>10</v>
      </c>
      <c r="I5" s="8" t="s">
        <v>11</v>
      </c>
    </row>
    <row r="6" ht="15" customHeight="1">
      <c r="B6" s="9" t="s">
        <v>12</v>
      </c>
      <c r="C6" s="10">
        <f>DATE(2025,9,30)</f>
        <v>45930</v>
      </c>
      <c r="D6" s="10">
        <f t="shared" si="0" ref="D6:E6">DATE(2025,12,31)</f>
        <v>46022</v>
      </c>
      <c r="E6" s="10">
        <f t="shared" si="0"/>
        <v>46022</v>
      </c>
      <c r="F6" s="10">
        <f>DATE(2026,3,31)</f>
        <v>46112</v>
      </c>
      <c r="G6" s="10">
        <f>DATE(2026,6,30)</f>
        <v>46203</v>
      </c>
      <c r="H6" s="11">
        <f>DATE(2026,9,30)</f>
        <v>46295</v>
      </c>
      <c r="I6" s="9"/>
    </row>
    <row r="7" ht="15" customHeight="1">
      <c r="B7" s="12" t="s">
        <v>13</v>
      </c>
      <c r="C7" s="13">
        <f>C6-DATE(2025,6,30)</f>
        <v>92</v>
      </c>
      <c r="D7" s="13">
        <f>D6-DATE(2025,9,30)</f>
        <v>92</v>
      </c>
      <c r="E7" s="13">
        <f>E6-DATE(2024,12,31)</f>
        <v>365</v>
      </c>
      <c r="F7" s="13">
        <f>F6-DATE(2025,12,31)</f>
        <v>90</v>
      </c>
      <c r="G7" s="13">
        <f>G6-DATE(2026,3,31)</f>
        <v>91</v>
      </c>
      <c r="H7" s="14">
        <f>H6-DATE(2026,6,30)</f>
        <v>92</v>
      </c>
      <c r="I7" s="12"/>
    </row>
    <row r="9" ht="15" customHeight="1">
      <c r="B9" s="15" t="s">
        <v>14</v>
      </c>
      <c r="C9" s="15" t="s">
        <v>15</v>
      </c>
      <c r="D9" s="16"/>
      <c r="E9" s="16"/>
      <c r="F9" s="16"/>
      <c r="G9" s="16"/>
      <c r="H9" s="16"/>
    </row>
    <row r="10" ht="15" customHeight="1">
      <c r="B10" s="15" t="s">
        <v>16</v>
      </c>
      <c r="C10" s="15" t="s">
        <v>17</v>
      </c>
      <c r="D10" s="16"/>
      <c r="E10" s="16"/>
      <c r="F10" s="16"/>
      <c r="G10" s="16"/>
      <c r="H10" s="16"/>
    </row>
    <row r="11" ht="15" customHeight="1">
      <c r="B11" s="15" t="s">
        <v>18</v>
      </c>
      <c r="C11" s="15" t="s">
        <v>19</v>
      </c>
      <c r="D11" s="16"/>
      <c r="E11" s="16"/>
      <c r="F11" s="16"/>
      <c r="G11" s="16"/>
      <c r="H11" s="16"/>
    </row>
    <row r="12" ht="15" customHeight="1">
      <c r="B12" s="15" t="s">
        <v>20</v>
      </c>
      <c r="C12" s="15" t="s">
        <v>21</v>
      </c>
      <c r="D12" s="16"/>
      <c r="E12" s="16"/>
      <c r="F12" s="16"/>
      <c r="G12" s="16"/>
      <c r="H12" s="16"/>
    </row>
    <row r="13" ht="15" customHeight="1">
      <c r="B13" s="15" t="s">
        <v>22</v>
      </c>
      <c r="C13" s="15" t="s">
        <v>23</v>
      </c>
      <c r="D13" s="16"/>
      <c r="E13" s="16"/>
      <c r="F13" s="16"/>
      <c r="G13" s="16"/>
      <c r="H13" s="16"/>
    </row>
    <row r="14" ht="15" customHeight="1">
      <c r="B14" s="15" t="s">
        <v>24</v>
      </c>
      <c r="C14" s="15" t="s">
        <v>25</v>
      </c>
      <c r="D14" s="16"/>
      <c r="E14" s="16"/>
      <c r="F14" s="16"/>
      <c r="G14" s="16"/>
      <c r="H14" s="16"/>
    </row>
    <row r="15" ht="15" customHeight="1">
      <c r="B15" s="15" t="s">
        <v>26</v>
      </c>
      <c r="C15" s="15" t="s">
        <v>27</v>
      </c>
      <c r="D15" s="16"/>
      <c r="E15" s="16"/>
      <c r="F15" s="16"/>
      <c r="G15" s="16"/>
      <c r="H15" s="16"/>
    </row>
    <row r="16" ht="15" customHeight="1">
      <c r="B16" s="15" t="s">
        <v>28</v>
      </c>
      <c r="C16" s="15" t="s">
        <v>29</v>
      </c>
      <c r="D16" s="16"/>
      <c r="E16" s="16"/>
      <c r="F16" s="16"/>
      <c r="G16" s="16"/>
      <c r="H16" s="16"/>
    </row>
    <row r="17" ht="15" customHeight="1">
      <c r="B17" s="15" t="s">
        <v>30</v>
      </c>
      <c r="C17" s="15" t="s">
        <v>31</v>
      </c>
      <c r="D17" s="16"/>
      <c r="E17" s="16"/>
      <c r="F17" s="16"/>
      <c r="G17" s="16"/>
      <c r="H17" s="16"/>
    </row>
    <row r="18" ht="15" customHeight="1">
      <c r="B18" s="15" t="s">
        <v>32</v>
      </c>
      <c r="C18" s="15" t="s">
        <v>33</v>
      </c>
      <c r="D18" s="16"/>
      <c r="E18" s="16"/>
      <c r="F18" s="16"/>
      <c r="G18" s="16"/>
      <c r="H18" s="16"/>
    </row>
    <row r="19" ht="15" customHeight="1">
      <c r="B19" s="15" t="s">
        <v>34</v>
      </c>
      <c r="C19" s="15" t="s">
        <v>35</v>
      </c>
      <c r="D19" s="16"/>
      <c r="E19" s="16"/>
      <c r="F19" s="16"/>
      <c r="G19" s="16"/>
      <c r="H19" s="16"/>
    </row>
    <row r="21" ht="15" customHeight="1">
      <c r="B21" s="17" t="s">
        <v>36</v>
      </c>
      <c r="C21" s="18" t="s">
        <v>37</v>
      </c>
      <c r="D21" s="18" t="s">
        <v>38</v>
      </c>
      <c r="E21" s="18" t="s">
        <v>39</v>
      </c>
      <c r="F21" s="18" t="s">
        <v>40</v>
      </c>
      <c r="G21" s="18" t="s">
        <v>41</v>
      </c>
      <c r="H21" s="18"/>
    </row>
    <row r="22" ht="15" customHeight="1">
      <c r="B22" s="15" t="s">
        <v>42</v>
      </c>
      <c r="C22" s="19">
        <f>'Income Statement'!H16</f>
        <v>1722.5372941935482</v>
      </c>
      <c r="D22" s="19">
        <f>IF(Inputs!C61="","n/a",Inputs!C61)</f>
        <v>1714.33</v>
      </c>
      <c r="E22" s="20">
        <f t="shared" si="1" ref="E22:E32">IF(ISNUMBER(D22),C22-D22,"n/a")</f>
        <v>8.20729419354825</v>
      </c>
      <c r="F22" s="16" t="s">
        <v>43</v>
      </c>
      <c r="G22" s="16" t="s">
        <v>44</v>
      </c>
      <c r="H22" s="20"/>
    </row>
    <row r="23" ht="15" customHeight="1">
      <c r="B23" s="21" t="s">
        <v>45</v>
      </c>
      <c r="C23" s="22"/>
      <c r="D23" s="22"/>
      <c r="E23" s="22">
        <f t="shared" si="2" ref="E23:E33">IF(ISNUMBER(D22),C22/D22-1,"n/a")</f>
        <v>0.004787464603400959</v>
      </c>
      <c r="F23" s="22"/>
      <c r="G23" s="22"/>
      <c r="H23" s="22"/>
    </row>
    <row r="24" ht="15" customHeight="1">
      <c r="B24" s="15" t="s">
        <v>46</v>
      </c>
      <c r="C24" s="19">
        <f>'Income Statement'!H81</f>
        <v>1035.455035540645</v>
      </c>
      <c r="D24" s="19" t="str">
        <f>IF(Inputs!C75="","n/a",Inputs!C75)</f>
        <v>n/a</v>
      </c>
      <c r="E24" s="20" t="str">
        <f t="shared" si="1"/>
        <v>n/a</v>
      </c>
      <c r="F24" s="16" t="s">
        <v>43</v>
      </c>
      <c r="G24" s="16" t="s">
        <v>44</v>
      </c>
      <c r="H24" s="20"/>
    </row>
    <row r="25" ht="15" customHeight="1">
      <c r="B25" s="21" t="s">
        <v>45</v>
      </c>
      <c r="C25" s="22"/>
      <c r="D25" s="22"/>
      <c r="E25" s="22" t="str">
        <f t="shared" si="2"/>
        <v>n/a</v>
      </c>
      <c r="F25" s="22"/>
      <c r="G25" s="22"/>
      <c r="H25" s="22"/>
    </row>
    <row r="26" ht="15" customHeight="1">
      <c r="B26" s="15" t="s">
        <v>47</v>
      </c>
      <c r="C26" s="19">
        <f>'Income Statement'!H133</f>
        <v>1083.335035540645</v>
      </c>
      <c r="D26" s="19">
        <f>IF(Inputs!C74="","n/a",Inputs!C74)</f>
        <v>1067.89</v>
      </c>
      <c r="E26" s="20">
        <f t="shared" si="1"/>
        <v>15.445035540644994</v>
      </c>
      <c r="F26" s="16" t="s">
        <v>43</v>
      </c>
      <c r="G26" s="16" t="s">
        <v>44</v>
      </c>
      <c r="H26" s="20"/>
    </row>
    <row r="27" ht="15" customHeight="1">
      <c r="B27" s="21" t="s">
        <v>45</v>
      </c>
      <c r="C27" s="22"/>
      <c r="D27" s="22"/>
      <c r="E27" s="22">
        <f t="shared" si="2"/>
        <v>0.014463133413221474</v>
      </c>
      <c r="F27" s="22"/>
      <c r="G27" s="22"/>
      <c r="H27" s="22"/>
    </row>
    <row r="28" ht="15" customHeight="1">
      <c r="B28" s="15" t="s">
        <v>48</v>
      </c>
      <c r="C28" s="19">
        <f>'Income Statement'!H114</f>
        <v>1204.252494193548</v>
      </c>
      <c r="D28" s="19">
        <f>IF(Inputs!C71="","n/a",Inputs!C71)</f>
        <v>1195.31</v>
      </c>
      <c r="E28" s="20">
        <f t="shared" si="1"/>
        <v>8.9424941935481</v>
      </c>
      <c r="F28" s="16" t="s">
        <v>43</v>
      </c>
      <c r="G28" s="16" t="s">
        <v>44</v>
      </c>
      <c r="H28" s="20"/>
      <c r="I28" s="15" t="s">
        <v>49</v>
      </c>
    </row>
    <row r="29" ht="15" customHeight="1">
      <c r="B29" s="21" t="s">
        <v>45</v>
      </c>
      <c r="C29" s="22"/>
      <c r="D29" s="22"/>
      <c r="E29" s="22">
        <f t="shared" si="2"/>
        <v>0.007481317979058266</v>
      </c>
      <c r="F29" s="22"/>
      <c r="G29" s="22"/>
      <c r="H29" s="22"/>
    </row>
    <row r="30" ht="15" customHeight="1">
      <c r="B30" s="17" t="s">
        <v>50</v>
      </c>
      <c r="C30" s="23">
        <f>'Income Statement'!H147</f>
        <v>3.0139164446907585</v>
      </c>
      <c r="D30" s="23">
        <f>IF(Inputs!C43="","n/a",Inputs!C43)</f>
        <v>2.98</v>
      </c>
      <c r="E30" s="24">
        <f t="shared" si="1"/>
        <v>0.033916444690758496</v>
      </c>
      <c r="F30" s="18" t="s">
        <v>43</v>
      </c>
      <c r="G30" s="18" t="s">
        <v>44</v>
      </c>
      <c r="H30" s="25"/>
    </row>
    <row r="31" ht="15" customHeight="1">
      <c r="B31" s="21" t="s">
        <v>45</v>
      </c>
      <c r="C31" s="22"/>
      <c r="D31" s="22"/>
      <c r="E31" s="22">
        <f t="shared" si="2"/>
        <v>0.011381357278777982</v>
      </c>
      <c r="F31" s="22"/>
      <c r="G31" s="22"/>
      <c r="H31" s="22"/>
    </row>
    <row r="32" ht="15" customHeight="1">
      <c r="B32" s="15" t="s">
        <v>51</v>
      </c>
      <c r="C32" s="26">
        <f>'Income Statement'!H93</f>
        <v>2.88071082072626</v>
      </c>
      <c r="D32" s="26">
        <f>IF(Inputs!C52="","n/a",Inputs!C52)</f>
        <v>2.91</v>
      </c>
      <c r="E32" s="27">
        <f t="shared" si="1"/>
        <v>-0.029289179273740196</v>
      </c>
      <c r="F32" s="16" t="s">
        <v>43</v>
      </c>
      <c r="G32" s="16" t="s">
        <v>44</v>
      </c>
      <c r="H32" s="28"/>
    </row>
    <row r="33" ht="15" customHeight="1">
      <c r="B33" s="21" t="s">
        <v>45</v>
      </c>
      <c r="C33" s="22"/>
      <c r="D33" s="22"/>
      <c r="E33" s="22">
        <f t="shared" si="2"/>
        <v>-0.010065010059704504</v>
      </c>
      <c r="F33" s="22"/>
      <c r="G33" s="22"/>
      <c r="H33" s="22"/>
    </row>
    <row r="34" ht="15" customHeight="1">
      <c r="B34" s="17" t="s">
        <v>52</v>
      </c>
      <c r="C34" s="29">
        <f>Inputs!C133</f>
        <v>0.72</v>
      </c>
      <c r="D34" s="30"/>
      <c r="E34" s="30"/>
      <c r="F34" s="30"/>
      <c r="G34" s="30"/>
      <c r="H34" s="30"/>
    </row>
    <row r="35" ht="15" customHeight="1">
      <c r="B35" s="17" t="s">
        <v>53</v>
      </c>
      <c r="C35" s="18" t="s">
        <v>54</v>
      </c>
      <c r="D35" s="18"/>
      <c r="E35" s="18"/>
      <c r="F35" s="18"/>
      <c r="G35" s="18"/>
      <c r="H35" s="18"/>
    </row>
    <row r="37" ht="15" customHeight="1">
      <c r="B37" s="17" t="s">
        <v>55</v>
      </c>
      <c r="C37" s="31" t="str">
        <f>IF(AND(AND('Revenue summary'!C274:G274),AND('Revenue summary'!C235:G235),AND('Income Statement'!C87:G87),AND('Income Statement'!C96:G96),AND('Income Statement'!C110:G110),AND('Income Statement'!C136:G136),AND('Income Statement'!C150:G150),MAX('Balance Sheet'!C36:H36)&lt;0.001,MIN('Balance Sheet'!C36:H36)&gt;-0.001,MAX('Cash Flow Statement'!C46:H46)&lt;0.001,MIN('Cash Flow Statement'!C46:H46)&gt;-0.001,AND('Cash Flow Statement'!C49:G49)),"PASS","FAIL")</f>
        <v>PASS</v>
      </c>
      <c r="D37" s="18"/>
      <c r="E37" s="18"/>
      <c r="F37" s="18"/>
      <c r="G37" s="18"/>
      <c r="H37" s="18"/>
      <c r="I37" s="15" t="s">
        <v>57</v>
      </c>
    </row>
    <row r="38" ht="15" customHeight="1">
      <c r="B38" s="15" t="s">
        <v>58</v>
      </c>
      <c r="C38" s="32" t="b">
        <f>AND(C22='Income Statement'!H16,C30='Income Statement'!H147,C24='Income Statement'!H81,'Income Statement'!H96,'Income Statement'!H150,'Revenue summary'!H274,'Cash Flow Statement'!H49)</f>
        <v>1</v>
      </c>
      <c r="D38" s="16"/>
      <c r="E38" s="16"/>
      <c r="F38" s="16"/>
      <c r="G38" s="16"/>
      <c r="H38" s="16"/>
      <c r="I38" s="15" t="s">
        <v>59</v>
      </c>
    </row>
    <row r="39" ht="15" customHeight="1">
      <c r="B39" s="17" t="s">
        <v>60</v>
      </c>
    </row>
    <row r="40" ht="15" customHeight="1">
      <c r="B40" s="17" t="s">
        <v>61</v>
      </c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drawing r:id="rId1"/>
  <extLst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8060A778-9788-B5B8-081B-E554B2DD3384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8" width="12.00390625" customWidth="1"/>
    <col min="9" max="9" width="60.00390625" customWidth="1"/>
  </cols>
  <sheetData>
    <row r="2" ht="15" customHeight="1">
      <c r="B2" s="2" t="s">
        <v>1</v>
      </c>
    </row>
    <row r="3" ht="15" customHeight="1">
      <c r="B3" s="3" t="s">
        <v>62</v>
      </c>
    </row>
    <row r="4" ht="15" customHeight="1">
      <c r="B4" s="4" t="s">
        <v>3</v>
      </c>
    </row>
    <row r="5" ht="15" customHeight="1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7" t="s">
        <v>10</v>
      </c>
      <c r="I5" s="8" t="s">
        <v>11</v>
      </c>
    </row>
    <row r="6" ht="15" customHeight="1">
      <c r="B6" s="9" t="s">
        <v>12</v>
      </c>
      <c r="C6" s="10">
        <f>DATE(2025,9,30)</f>
        <v>45930</v>
      </c>
      <c r="D6" s="10">
        <f t="shared" si="0" ref="D6:E6">DATE(2025,12,31)</f>
        <v>46022</v>
      </c>
      <c r="E6" s="10">
        <f t="shared" si="0"/>
        <v>46022</v>
      </c>
      <c r="F6" s="10">
        <f>DATE(2026,3,31)</f>
        <v>46112</v>
      </c>
      <c r="G6" s="10">
        <f>DATE(2026,6,30)</f>
        <v>46203</v>
      </c>
      <c r="H6" s="11">
        <f>DATE(2026,9,30)</f>
        <v>46295</v>
      </c>
      <c r="I6" s="9"/>
    </row>
    <row r="7" ht="15" customHeight="1">
      <c r="B7" s="12" t="s">
        <v>13</v>
      </c>
      <c r="C7" s="13">
        <f>C6-DATE(2025,6,30)</f>
        <v>92</v>
      </c>
      <c r="D7" s="13">
        <f>D6-DATE(2025,9,30)</f>
        <v>92</v>
      </c>
      <c r="E7" s="13">
        <f>E6-DATE(2024,12,31)</f>
        <v>365</v>
      </c>
      <c r="F7" s="13">
        <f>F6-DATE(2025,12,31)</f>
        <v>90</v>
      </c>
      <c r="G7" s="13">
        <f>G6-DATE(2026,3,31)</f>
        <v>91</v>
      </c>
      <c r="H7" s="14">
        <f>H6-DATE(2026,6,30)</f>
        <v>92</v>
      </c>
      <c r="I7" s="12"/>
    </row>
    <row r="9" ht="15" customHeight="1">
      <c r="B9" s="17" t="s">
        <v>63</v>
      </c>
      <c r="I9" s="33" t="s">
        <v>64</v>
      </c>
    </row>
    <row r="10" ht="15" customHeight="1">
      <c r="B10" s="15" t="s">
        <v>65</v>
      </c>
      <c r="C10" s="34">
        <v>64</v>
      </c>
      <c r="D10" s="34">
        <v>64</v>
      </c>
      <c r="E10" s="35">
        <f>Inputs!F155+Inputs!G155+C10+D10</f>
        <v>251</v>
      </c>
      <c r="F10" s="34">
        <v>61</v>
      </c>
      <c r="G10" s="34">
        <v>62</v>
      </c>
      <c r="H10" s="36">
        <v>64</v>
      </c>
      <c r="I10" s="15" t="s">
        <v>66</v>
      </c>
    </row>
    <row r="11" ht="15" customHeight="1">
      <c r="B11" s="37" t="s">
        <v>67</v>
      </c>
      <c r="C11" s="35">
        <f>(C10-Inputs!C155)</f>
        <v>0</v>
      </c>
      <c r="D11" s="35">
        <f>(D10-Inputs!D155)</f>
        <v>0</v>
      </c>
      <c r="E11" s="38"/>
      <c r="F11" s="35">
        <f>(F10-Inputs!F155)</f>
        <v>0</v>
      </c>
      <c r="G11" s="35">
        <f>(G10-Inputs!G155)</f>
        <v>0</v>
      </c>
      <c r="H11" s="39">
        <f>(H10-C10)</f>
        <v>0</v>
      </c>
    </row>
    <row r="12" ht="15" customHeight="1">
      <c r="B12" s="37" t="s">
        <v>68</v>
      </c>
      <c r="C12" s="35">
        <f>(C10-Inputs!G155)</f>
        <v>2</v>
      </c>
      <c r="D12" s="38">
        <f t="shared" si="1" ref="D12:H114">(D10-C10)</f>
        <v>0</v>
      </c>
      <c r="E12" s="38"/>
      <c r="F12" s="38">
        <f t="shared" si="2" ref="F12:F114">(F10-D10)</f>
        <v>-3</v>
      </c>
      <c r="G12" s="38">
        <f t="shared" si="1"/>
        <v>1</v>
      </c>
      <c r="H12" s="39">
        <f t="shared" si="1"/>
        <v>2</v>
      </c>
    </row>
    <row r="13" ht="15" customHeight="1">
      <c r="B13" s="15" t="s">
        <v>69</v>
      </c>
      <c r="C13" s="34">
        <v>13378</v>
      </c>
      <c r="D13" s="34">
        <v>13010</v>
      </c>
      <c r="E13" s="34">
        <v>14203</v>
      </c>
      <c r="F13" s="34">
        <v>18674</v>
      </c>
      <c r="G13" s="34">
        <v>14532</v>
      </c>
      <c r="H13" s="36">
        <v>15100</v>
      </c>
      <c r="I13" s="15" t="s">
        <v>70</v>
      </c>
    </row>
    <row r="14" ht="15" customHeight="1">
      <c r="B14" s="21" t="s">
        <v>71</v>
      </c>
      <c r="C14" s="40">
        <f>C13/Inputs!C156-1</f>
        <v>-0.10100127679591431</v>
      </c>
      <c r="D14" s="40">
        <f>D13/Inputs!D156-1</f>
        <v>-0.017668378133494422</v>
      </c>
      <c r="E14" s="40">
        <f>E13/Inputs!E156-1</f>
        <v>0.035505978419364315</v>
      </c>
      <c r="F14" s="40">
        <f>F13/Inputs!F156-1</f>
        <v>0.2425311065273803</v>
      </c>
      <c r="G14" s="40">
        <f>G13/Inputs!G156-1</f>
        <v>-0.06075491209927608</v>
      </c>
      <c r="H14" s="41">
        <f t="shared" si="3" ref="H14:H267">H13/C13-1</f>
        <v>0.12871879204664372</v>
      </c>
    </row>
    <row r="15" ht="15" customHeight="1">
      <c r="B15" s="37" t="s">
        <v>72</v>
      </c>
      <c r="C15" s="35">
        <f>(C13-Inputs!G156)</f>
        <v>-2094</v>
      </c>
      <c r="D15" s="38">
        <f t="shared" si="1"/>
        <v>-368</v>
      </c>
      <c r="E15" s="38"/>
      <c r="F15" s="38">
        <f t="shared" si="2"/>
        <v>5664</v>
      </c>
      <c r="G15" s="38">
        <f t="shared" si="1"/>
        <v>-4142</v>
      </c>
      <c r="H15" s="39">
        <f t="shared" si="1"/>
        <v>568</v>
      </c>
    </row>
    <row r="16" ht="15" customHeight="1">
      <c r="B16" s="15" t="s">
        <v>73</v>
      </c>
      <c r="C16" s="34">
        <v>6278</v>
      </c>
      <c r="D16" s="34">
        <v>7738</v>
      </c>
      <c r="E16" s="34">
        <v>7410</v>
      </c>
      <c r="F16" s="34">
        <v>8655</v>
      </c>
      <c r="G16" s="34">
        <v>8633</v>
      </c>
      <c r="H16" s="36">
        <v>7700</v>
      </c>
      <c r="I16" s="15" t="s">
        <v>70</v>
      </c>
    </row>
    <row r="17" ht="15" customHeight="1">
      <c r="B17" s="21" t="s">
        <v>71</v>
      </c>
      <c r="C17" s="40">
        <f>C16/Inputs!C157-1</f>
        <v>-0.15242338328608074</v>
      </c>
      <c r="D17" s="40">
        <f>D16/Inputs!D157-1</f>
        <v>0.21992747911083077</v>
      </c>
      <c r="E17" s="40">
        <f>E16/Inputs!E157-1</f>
        <v>0.08222579231780336</v>
      </c>
      <c r="F17" s="40">
        <f>F16/Inputs!F157-1</f>
        <v>0.08228085532074525</v>
      </c>
      <c r="G17" s="40">
        <f>G16/Inputs!G157-1</f>
        <v>0.1268763868946612</v>
      </c>
      <c r="H17" s="41">
        <f t="shared" si="3"/>
        <v>0.22650525645109898</v>
      </c>
    </row>
    <row r="18" ht="15" customHeight="1">
      <c r="B18" s="37" t="s">
        <v>72</v>
      </c>
      <c r="C18" s="35">
        <f>(C16-Inputs!G157)</f>
        <v>-1383</v>
      </c>
      <c r="D18" s="38">
        <f t="shared" si="1"/>
        <v>1460</v>
      </c>
      <c r="E18" s="38"/>
      <c r="F18" s="38">
        <f t="shared" si="2"/>
        <v>917</v>
      </c>
      <c r="G18" s="38">
        <f t="shared" si="1"/>
        <v>-22</v>
      </c>
      <c r="H18" s="39">
        <f t="shared" si="1"/>
        <v>-933</v>
      </c>
    </row>
    <row r="19" ht="15" customHeight="1">
      <c r="B19" s="15" t="s">
        <v>74</v>
      </c>
      <c r="C19" s="34">
        <v>834</v>
      </c>
      <c r="D19" s="34">
        <v>853</v>
      </c>
      <c r="E19" s="34">
        <v>980</v>
      </c>
      <c r="F19" s="34">
        <v>1193</v>
      </c>
      <c r="G19" s="34">
        <v>989</v>
      </c>
      <c r="H19" s="36">
        <v>988</v>
      </c>
      <c r="I19" s="15" t="s">
        <v>70</v>
      </c>
    </row>
    <row r="20" ht="15" customHeight="1">
      <c r="B20" s="21" t="s">
        <v>71</v>
      </c>
      <c r="C20" s="40">
        <f>C19/Inputs!C158-1</f>
        <v>-0.2341597796143251</v>
      </c>
      <c r="D20" s="40">
        <f>D19/Inputs!D158-1</f>
        <v>-0.11971104231166152</v>
      </c>
      <c r="E20" s="40">
        <f>E19/Inputs!E158-1</f>
        <v>-0.04854368932038833</v>
      </c>
      <c r="F20" s="40">
        <f>F19/Inputs!F158-1</f>
        <v>0.03829416884247161</v>
      </c>
      <c r="G20" s="40">
        <f>G19/Inputs!G158-1</f>
        <v>-0.09762773722627738</v>
      </c>
      <c r="H20" s="41">
        <f t="shared" si="3"/>
        <v>0.184652278177458</v>
      </c>
    </row>
    <row r="21" ht="15" customHeight="1">
      <c r="B21" s="37" t="s">
        <v>72</v>
      </c>
      <c r="C21" s="35">
        <f>(C19-Inputs!G158)</f>
        <v>-262</v>
      </c>
      <c r="D21" s="38">
        <f t="shared" si="1"/>
        <v>19</v>
      </c>
      <c r="E21" s="38"/>
      <c r="F21" s="38">
        <f t="shared" si="2"/>
        <v>340</v>
      </c>
      <c r="G21" s="38">
        <f t="shared" si="1"/>
        <v>-204</v>
      </c>
      <c r="H21" s="39">
        <f t="shared" si="1"/>
        <v>-1</v>
      </c>
    </row>
    <row r="22" ht="15" customHeight="1">
      <c r="B22" s="15" t="s">
        <v>75</v>
      </c>
      <c r="C22" s="34">
        <v>2295</v>
      </c>
      <c r="D22" s="34">
        <v>2523</v>
      </c>
      <c r="E22" s="34">
        <v>2695</v>
      </c>
      <c r="F22" s="34">
        <v>3985</v>
      </c>
      <c r="G22" s="34">
        <v>2667</v>
      </c>
      <c r="H22" s="36">
        <v>2700</v>
      </c>
      <c r="I22" s="15" t="s">
        <v>70</v>
      </c>
    </row>
    <row r="23" ht="15" customHeight="1">
      <c r="B23" s="21" t="s">
        <v>71</v>
      </c>
      <c r="C23" s="40">
        <f>C22/Inputs!C159-1</f>
        <v>-0.1073512252042007</v>
      </c>
      <c r="D23" s="40">
        <f>D22/Inputs!D159-1</f>
        <v>0.0015879317189360087</v>
      </c>
      <c r="E23" s="40">
        <f>E22/Inputs!E159-1</f>
        <v>0.08319935691318325</v>
      </c>
      <c r="F23" s="40">
        <f>F22/Inputs!F159-1</f>
        <v>0.37271787805718226</v>
      </c>
      <c r="G23" s="40">
        <f>G22/Inputs!G159-1</f>
        <v>-0.13465282284231017</v>
      </c>
      <c r="H23" s="41">
        <f t="shared" si="3"/>
        <v>0.17647058823529416</v>
      </c>
    </row>
    <row r="24" ht="15" customHeight="1">
      <c r="B24" s="37" t="s">
        <v>72</v>
      </c>
      <c r="C24" s="35">
        <f>(C22-Inputs!G159)</f>
        <v>-787</v>
      </c>
      <c r="D24" s="38">
        <f t="shared" si="1"/>
        <v>228</v>
      </c>
      <c r="E24" s="38"/>
      <c r="F24" s="38">
        <f t="shared" si="2"/>
        <v>1462</v>
      </c>
      <c r="G24" s="38">
        <f t="shared" si="1"/>
        <v>-1318</v>
      </c>
      <c r="H24" s="39">
        <f t="shared" si="1"/>
        <v>33</v>
      </c>
    </row>
    <row r="25" ht="15" customHeight="1">
      <c r="B25" s="15" t="s">
        <v>76</v>
      </c>
      <c r="C25" s="34">
        <v>1712</v>
      </c>
      <c r="D25" s="34">
        <v>1787</v>
      </c>
      <c r="E25" s="34">
        <v>1853</v>
      </c>
      <c r="F25" s="34">
        <v>2042</v>
      </c>
      <c r="G25" s="34">
        <v>2080</v>
      </c>
      <c r="H25" s="36">
        <v>2000</v>
      </c>
      <c r="I25" s="15" t="s">
        <v>70</v>
      </c>
    </row>
    <row r="26" ht="15" customHeight="1">
      <c r="B26" s="21" t="s">
        <v>71</v>
      </c>
      <c r="C26" s="40">
        <f>C25/Inputs!C160-1</f>
        <v>0.060718711276332105</v>
      </c>
      <c r="D26" s="40">
        <f>D25/Inputs!D160-1</f>
        <v>0.018233618233618243</v>
      </c>
      <c r="E26" s="40">
        <f>E25/Inputs!E160-1</f>
        <v>0.08299240210403269</v>
      </c>
      <c r="F26" s="40">
        <f>F25/Inputs!F160-1</f>
        <v>0.04290091930541373</v>
      </c>
      <c r="G26" s="40">
        <f>G25/Inputs!G160-1</f>
        <v>0.05906313645621175</v>
      </c>
      <c r="H26" s="41">
        <f t="shared" si="3"/>
        <v>0.16822429906542058</v>
      </c>
    </row>
    <row r="27" ht="15" customHeight="1">
      <c r="B27" s="37" t="s">
        <v>72</v>
      </c>
      <c r="C27" s="35">
        <f>(C25-Inputs!G160)</f>
        <v>-252</v>
      </c>
      <c r="D27" s="38">
        <f t="shared" si="1"/>
        <v>75</v>
      </c>
      <c r="E27" s="38"/>
      <c r="F27" s="38">
        <f t="shared" si="2"/>
        <v>255</v>
      </c>
      <c r="G27" s="38">
        <f t="shared" si="1"/>
        <v>38</v>
      </c>
      <c r="H27" s="39">
        <f t="shared" si="1"/>
        <v>-80</v>
      </c>
    </row>
    <row r="28" ht="15" customHeight="1">
      <c r="B28" s="15" t="s">
        <v>77</v>
      </c>
      <c r="C28" s="34">
        <v>825</v>
      </c>
      <c r="D28" s="34">
        <v>1441</v>
      </c>
      <c r="E28" s="34">
        <v>988</v>
      </c>
      <c r="F28" s="34">
        <v>1682</v>
      </c>
      <c r="G28" s="34">
        <v>941</v>
      </c>
      <c r="H28" s="36">
        <v>935</v>
      </c>
      <c r="I28" s="15" t="s">
        <v>70</v>
      </c>
    </row>
    <row r="29" ht="15" customHeight="1">
      <c r="B29" s="21" t="s">
        <v>71</v>
      </c>
      <c r="C29" s="40">
        <f>C28/Inputs!C161-1</f>
        <v>0.1332417582417582</v>
      </c>
      <c r="D29" s="40">
        <f>D28/Inputs!D161-1</f>
        <v>1.1411589895988112</v>
      </c>
      <c r="E29" s="40">
        <f>E28/Inputs!E161-1</f>
        <v>0.34239130434782616</v>
      </c>
      <c r="F29" s="40">
        <f>F28/Inputs!F161-1</f>
        <v>1.2978142076502732</v>
      </c>
      <c r="G29" s="40">
        <f>G28/Inputs!G161-1</f>
        <v>-0.0021208907741251393</v>
      </c>
      <c r="H29" s="41">
        <f t="shared" si="3"/>
        <v>0.1333333333333333</v>
      </c>
    </row>
    <row r="30" ht="15" customHeight="1">
      <c r="B30" s="37" t="s">
        <v>72</v>
      </c>
      <c r="C30" s="35">
        <f>(C28-Inputs!G161)</f>
        <v>-118</v>
      </c>
      <c r="D30" s="38">
        <f t="shared" si="1"/>
        <v>616</v>
      </c>
      <c r="E30" s="38"/>
      <c r="F30" s="38">
        <f t="shared" si="2"/>
        <v>241</v>
      </c>
      <c r="G30" s="38">
        <f t="shared" si="1"/>
        <v>-741</v>
      </c>
      <c r="H30" s="39">
        <f t="shared" si="1"/>
        <v>-6</v>
      </c>
    </row>
    <row r="31" ht="15" customHeight="1">
      <c r="B31" s="17" t="s">
        <v>78</v>
      </c>
      <c r="C31" s="42">
        <f t="shared" si="4" ref="C31:H31">SUM(C13,C16,C19,C22,C25,C28)</f>
        <v>25322</v>
      </c>
      <c r="D31" s="42">
        <f t="shared" si="4"/>
        <v>27352</v>
      </c>
      <c r="E31" s="42">
        <f t="shared" si="4"/>
        <v>28129</v>
      </c>
      <c r="F31" s="42">
        <f t="shared" si="4"/>
        <v>36231</v>
      </c>
      <c r="G31" s="42">
        <f t="shared" si="4"/>
        <v>29842</v>
      </c>
      <c r="H31" s="43">
        <f t="shared" si="4"/>
        <v>29423</v>
      </c>
    </row>
    <row r="32" ht="15" customHeight="1">
      <c r="B32" s="21" t="s">
        <v>71</v>
      </c>
      <c r="C32" s="40">
        <f>C31/Inputs!C162-1</f>
        <v>-0.10491339696005653</v>
      </c>
      <c r="D32" s="40">
        <f>D31/Inputs!D162-1</f>
        <v>0.07250127435987919</v>
      </c>
      <c r="E32" s="40">
        <f>E31/Inputs!E162-1</f>
        <v>0.06035132689987943</v>
      </c>
      <c r="F32" s="40">
        <f>F31/Inputs!F162-1</f>
        <v>0.21711233539371144</v>
      </c>
      <c r="G32" s="40">
        <f>G31/Inputs!G162-1</f>
        <v>-0.012442914818982076</v>
      </c>
      <c r="H32" s="41">
        <f t="shared" si="3"/>
        <v>0.16195403206697723</v>
      </c>
    </row>
    <row r="33" ht="15" customHeight="1">
      <c r="B33" s="37" t="s">
        <v>72</v>
      </c>
      <c r="C33" s="35">
        <f>(C31-Inputs!G162)</f>
        <v>-4896</v>
      </c>
      <c r="D33" s="38">
        <f t="shared" si="1"/>
        <v>2030</v>
      </c>
      <c r="E33" s="38"/>
      <c r="F33" s="38">
        <f t="shared" si="2"/>
        <v>8879</v>
      </c>
      <c r="G33" s="38">
        <f t="shared" si="1"/>
        <v>-6389</v>
      </c>
      <c r="H33" s="39">
        <f t="shared" si="1"/>
        <v>-419</v>
      </c>
    </row>
    <row r="34" ht="15" customHeight="1">
      <c r="B34" s="44" t="s">
        <v>79</v>
      </c>
      <c r="C34" s="34">
        <v>25322</v>
      </c>
      <c r="D34" s="34">
        <v>27353</v>
      </c>
      <c r="E34" s="34">
        <v>28129</v>
      </c>
      <c r="F34" s="34">
        <v>36231</v>
      </c>
      <c r="G34" s="34">
        <v>29843</v>
      </c>
      <c r="H34" s="36">
        <v>29400</v>
      </c>
      <c r="I34" s="15" t="s">
        <v>80</v>
      </c>
    </row>
    <row r="35" ht="15" customHeight="1">
      <c r="B35" s="37" t="s">
        <v>81</v>
      </c>
      <c r="C35" s="38">
        <f t="shared" si="5" ref="C35:H35">C34-C31</f>
        <v>0</v>
      </c>
      <c r="D35" s="38">
        <f t="shared" si="5"/>
        <v>1</v>
      </c>
      <c r="E35" s="38">
        <f t="shared" si="5"/>
        <v>0</v>
      </c>
      <c r="F35" s="38">
        <f t="shared" si="5"/>
        <v>0</v>
      </c>
      <c r="G35" s="38">
        <f t="shared" si="5"/>
        <v>1</v>
      </c>
      <c r="H35" s="39">
        <f t="shared" si="5"/>
        <v>-23</v>
      </c>
    </row>
    <row r="36" ht="15" customHeight="1">
      <c r="B36" s="45" t="s">
        <v>82</v>
      </c>
      <c r="C36" s="22">
        <f t="shared" si="6" ref="C36:H36">C13/C31</f>
        <v>0.52831529894953</v>
      </c>
      <c r="D36" s="22">
        <f t="shared" si="6"/>
        <v>0.47565077508043285</v>
      </c>
      <c r="E36" s="22">
        <f t="shared" si="6"/>
        <v>0.5049237441786057</v>
      </c>
      <c r="F36" s="22">
        <f t="shared" si="6"/>
        <v>0.5154149761254174</v>
      </c>
      <c r="G36" s="22">
        <f t="shared" si="6"/>
        <v>0.4869646806514309</v>
      </c>
      <c r="H36" s="41">
        <f t="shared" si="6"/>
        <v>0.5132039560887741</v>
      </c>
    </row>
    <row r="37" ht="15" customHeight="1">
      <c r="B37" s="21" t="s">
        <v>83</v>
      </c>
      <c r="C37" s="46">
        <f>(C36-Inputs!C156/Inputs!C162)*10000</f>
        <v>22.990387869283868</v>
      </c>
      <c r="D37" s="46">
        <f>(D36-Inputs!D156/Inputs!D162)*10000</f>
        <v>-436.60678474050974</v>
      </c>
      <c r="E37" s="46">
        <f>(E36-Inputs!E156/Inputs!E162)*10000</f>
        <v>-121.1485654515787</v>
      </c>
      <c r="F37" s="46">
        <f>(F36-Inputs!F156/Inputs!F162)*10000</f>
        <v>105.43973706712784</v>
      </c>
      <c r="G37" s="46">
        <f>(G36-Inputs!G156/Inputs!G162)*10000</f>
        <v>-250.48027006256578</v>
      </c>
      <c r="H37" s="47">
        <f t="shared" si="9" ref="H37:H52">(H36-C36)*10000</f>
        <v>-151.11342860755883</v>
      </c>
    </row>
    <row r="38" ht="15" customHeight="1">
      <c r="B38" s="21" t="s">
        <v>84</v>
      </c>
      <c r="C38" s="46">
        <f>(C36-Inputs!G156/Inputs!G162)*10000</f>
        <v>163.02591291842526</v>
      </c>
      <c r="D38" s="48">
        <f t="shared" si="7" ref="D38:H65">(D36-C36)*10000</f>
        <v>-526.6452386909715</v>
      </c>
      <c r="E38" s="48"/>
      <c r="F38" s="48">
        <f t="shared" si="10" ref="F38:F65">(F36-D36)*10000</f>
        <v>397.6420104498457</v>
      </c>
      <c r="G38" s="48">
        <f t="shared" si="7"/>
        <v>-284.5029547398653</v>
      </c>
      <c r="H38" s="47">
        <f t="shared" si="7"/>
        <v>262.39275437343224</v>
      </c>
    </row>
    <row r="39" ht="15" customHeight="1">
      <c r="B39" s="45" t="s">
        <v>85</v>
      </c>
      <c r="C39" s="22">
        <f t="shared" si="8" ref="C39:H39">C16/C31</f>
        <v>0.24792670405181266</v>
      </c>
      <c r="D39" s="22">
        <f t="shared" si="8"/>
        <v>0.28290435799941505</v>
      </c>
      <c r="E39" s="22">
        <f t="shared" si="8"/>
        <v>0.2634292011802766</v>
      </c>
      <c r="F39" s="22">
        <f t="shared" si="8"/>
        <v>0.23888382876542189</v>
      </c>
      <c r="G39" s="22">
        <f t="shared" si="8"/>
        <v>0.2892902620467797</v>
      </c>
      <c r="H39" s="41">
        <f t="shared" si="8"/>
        <v>0.26170003058831526</v>
      </c>
    </row>
    <row r="40" ht="15" customHeight="1">
      <c r="B40" s="21" t="s">
        <v>83</v>
      </c>
      <c r="C40" s="46">
        <f>(C39-Inputs!C157/Inputs!C162)*10000</f>
        <v>-138.9726201393493</v>
      </c>
      <c r="D40" s="46">
        <f>(D39-Inputs!D157/Inputs!D162)*10000</f>
        <v>341.88520646946716</v>
      </c>
      <c r="E40" s="46">
        <f>(E39-Inputs!E157/Inputs!E162)*10000</f>
        <v>53.245570306987844</v>
      </c>
      <c r="F40" s="46">
        <f>(F39-Inputs!F157/Inputs!F162)*10000</f>
        <v>-297.60352906171767</v>
      </c>
      <c r="G40" s="46">
        <f>(G39-Inputs!G157/Inputs!G162)*10000</f>
        <v>357.65872610020176</v>
      </c>
      <c r="H40" s="47">
        <f t="shared" si="9"/>
        <v>137.73326536502594</v>
      </c>
    </row>
    <row r="41" ht="15" customHeight="1">
      <c r="B41" s="21" t="s">
        <v>84</v>
      </c>
      <c r="C41" s="46">
        <f>(C39-Inputs!G157/Inputs!G162)*10000</f>
        <v>-55.97685384946871</v>
      </c>
      <c r="D41" s="48">
        <f t="shared" si="7"/>
        <v>349.77653947602386</v>
      </c>
      <c r="E41" s="48"/>
      <c r="F41" s="48">
        <f t="shared" si="10"/>
        <v>-440.2052923399316</v>
      </c>
      <c r="G41" s="48">
        <f t="shared" si="7"/>
        <v>504.0643328135783</v>
      </c>
      <c r="H41" s="47">
        <f t="shared" si="7"/>
        <v>-275.90231458464456</v>
      </c>
    </row>
    <row r="42" ht="15" customHeight="1">
      <c r="B42" s="45" t="s">
        <v>86</v>
      </c>
      <c r="C42" s="22">
        <f t="shared" si="11" ref="C42:H42">C19/C31</f>
        <v>0.03293578706263328</v>
      </c>
      <c r="D42" s="22">
        <f t="shared" si="11"/>
        <v>0.031186019303890027</v>
      </c>
      <c r="E42" s="22">
        <f t="shared" si="11"/>
        <v>0.0348394894948274</v>
      </c>
      <c r="F42" s="22">
        <f t="shared" si="11"/>
        <v>0.03292760343352378</v>
      </c>
      <c r="G42" s="22">
        <f t="shared" si="11"/>
        <v>0.03314121037463977</v>
      </c>
      <c r="H42" s="41">
        <f t="shared" si="11"/>
        <v>0.033579172756007206</v>
      </c>
    </row>
    <row r="43" ht="15" customHeight="1">
      <c r="B43" s="21" t="s">
        <v>83</v>
      </c>
      <c r="C43" s="46">
        <f>(C42-Inputs!C158/Inputs!C162)*10000</f>
        <v>-55.583804877378725</v>
      </c>
      <c r="D43" s="46">
        <f>(D42-Inputs!D158/Inputs!D162)*10000</f>
        <v>-68.09510633764366</v>
      </c>
      <c r="E43" s="46">
        <f>(E42-Inputs!E158/Inputs!E162)*10000</f>
        <v>-39.87410384545337</v>
      </c>
      <c r="F43" s="46">
        <f>(F42-Inputs!F158/Inputs!F162)*10000</f>
        <v>-56.70891594694444</v>
      </c>
      <c r="G43" s="46">
        <f>(G42-Inputs!G158/Inputs!G162)*10000</f>
        <v>-31.285626083505033</v>
      </c>
      <c r="H43" s="47">
        <f t="shared" si="9"/>
        <v>6.43385693373924</v>
      </c>
    </row>
    <row r="44" ht="15" customHeight="1">
      <c r="B44" s="21" t="s">
        <v>84</v>
      </c>
      <c r="C44" s="46">
        <f>(C42-Inputs!G158/Inputs!G162)*10000</f>
        <v>-33.339859203569894</v>
      </c>
      <c r="D44" s="48">
        <f t="shared" si="7"/>
        <v>-17.497677587432552</v>
      </c>
      <c r="E44" s="48"/>
      <c r="F44" s="48">
        <f t="shared" si="10"/>
        <v>17.415841296337526</v>
      </c>
      <c r="G44" s="48">
        <f t="shared" si="7"/>
        <v>2.1360694111598884</v>
      </c>
      <c r="H44" s="47">
        <f t="shared" si="7"/>
        <v>4.379623813674377</v>
      </c>
    </row>
    <row r="45" ht="15" customHeight="1">
      <c r="B45" s="45" t="s">
        <v>87</v>
      </c>
      <c r="C45" s="22">
        <f t="shared" si="12" ref="C45:H45">C22/C31</f>
        <v>0.0906326514493326</v>
      </c>
      <c r="D45" s="22">
        <f t="shared" si="12"/>
        <v>0.09224188359169348</v>
      </c>
      <c r="E45" s="22">
        <f t="shared" si="12"/>
        <v>0.09580859611077536</v>
      </c>
      <c r="F45" s="22">
        <f t="shared" si="12"/>
        <v>0.10998868372388286</v>
      </c>
      <c r="G45" s="22">
        <f t="shared" si="12"/>
        <v>0.08937068561088399</v>
      </c>
      <c r="H45" s="41">
        <f t="shared" si="12"/>
        <v>0.09176494579070794</v>
      </c>
    </row>
    <row r="46" ht="15" customHeight="1">
      <c r="B46" s="21" t="s">
        <v>83</v>
      </c>
      <c r="C46" s="46">
        <f>(C45-Inputs!C159/Inputs!C162)*10000</f>
        <v>-2.4751822192933814</v>
      </c>
      <c r="D46" s="46">
        <f>(D45-Inputs!D159/Inputs!D162)*10000</f>
        <v>-65.3080981692511</v>
      </c>
      <c r="E46" s="46">
        <f>(E45-Inputs!E159/Inputs!E162)*10000</f>
        <v>20.209000914750003</v>
      </c>
      <c r="F46" s="46">
        <f>(F45-Inputs!F159/Inputs!F162)*10000</f>
        <v>124.6785598940288</v>
      </c>
      <c r="G46" s="46">
        <f>(G45-Inputs!G159/Inputs!G162)*10000</f>
        <v>-126.21504474495588</v>
      </c>
      <c r="H46" s="47">
        <f t="shared" si="9"/>
        <v>11.322943413753507</v>
      </c>
    </row>
    <row r="47" ht="15" customHeight="1">
      <c r="B47" s="21" t="s">
        <v>84</v>
      </c>
      <c r="C47" s="46">
        <f>(C45-Inputs!G159/Inputs!G162)*10000</f>
        <v>-113.59538636046982</v>
      </c>
      <c r="D47" s="48">
        <f t="shared" si="7"/>
        <v>16.09232142360889</v>
      </c>
      <c r="E47" s="48"/>
      <c r="F47" s="48">
        <f t="shared" si="10"/>
        <v>177.46800132189378</v>
      </c>
      <c r="G47" s="48">
        <f t="shared" si="7"/>
        <v>-206.17998112998873</v>
      </c>
      <c r="H47" s="47">
        <f t="shared" si="7"/>
        <v>23.942601798239565</v>
      </c>
    </row>
    <row r="48" ht="15" customHeight="1">
      <c r="B48" s="45" t="s">
        <v>88</v>
      </c>
      <c r="C48" s="22">
        <f t="shared" si="13" ref="C48:H48">C25/C31</f>
        <v>0.06760919358660453</v>
      </c>
      <c r="D48" s="22">
        <f t="shared" si="13"/>
        <v>0.06533343082772741</v>
      </c>
      <c r="E48" s="22">
        <f t="shared" si="13"/>
        <v>0.06587507554481141</v>
      </c>
      <c r="F48" s="22">
        <f t="shared" si="13"/>
        <v>0.056360575198034835</v>
      </c>
      <c r="G48" s="22">
        <f t="shared" si="13"/>
        <v>0.06970042222371155</v>
      </c>
      <c r="H48" s="41">
        <f t="shared" si="13"/>
        <v>0.06797403391904293</v>
      </c>
    </row>
    <row r="49" ht="15" customHeight="1">
      <c r="B49" s="21" t="s">
        <v>83</v>
      </c>
      <c r="C49" s="46">
        <f>(C48-Inputs!C160/Inputs!C162)*10000</f>
        <v>105.5723176263846</v>
      </c>
      <c r="D49" s="46">
        <f>(D48-Inputs!D160/Inputs!D162)*10000</f>
        <v>-34.82002650686891</v>
      </c>
      <c r="E49" s="46">
        <f>(E48-Inputs!E160/Inputs!E162)*10000</f>
        <v>13.771865218922263</v>
      </c>
      <c r="F49" s="46">
        <f>(F48-Inputs!F160/Inputs!F162)*10000</f>
        <v>-94.14754014542434</v>
      </c>
      <c r="G49" s="46">
        <f>(G48-Inputs!G160/Inputs!G162)*10000</f>
        <v>47.06048009666938</v>
      </c>
      <c r="H49" s="47">
        <f t="shared" si="9"/>
        <v>3.648403324384014</v>
      </c>
    </row>
    <row r="50" ht="15" customHeight="1">
      <c r="B50" s="21" t="s">
        <v>84</v>
      </c>
      <c r="C50" s="46">
        <f>(C48-Inputs!G160/Inputs!G162)*10000</f>
        <v>26.148193725599178</v>
      </c>
      <c r="D50" s="48">
        <f t="shared" si="7"/>
        <v>-22.757627588771147</v>
      </c>
      <c r="E50" s="48"/>
      <c r="F50" s="48">
        <f t="shared" si="10"/>
        <v>-89.72855629692577</v>
      </c>
      <c r="G50" s="48">
        <f t="shared" si="7"/>
        <v>133.39847025676713</v>
      </c>
      <c r="H50" s="47">
        <f t="shared" si="7"/>
        <v>-17.26388304668619</v>
      </c>
    </row>
    <row r="51" ht="15" customHeight="1">
      <c r="B51" s="45" t="s">
        <v>89</v>
      </c>
      <c r="C51" s="22">
        <f t="shared" si="14" ref="C51:H51">C28/C31</f>
        <v>0.03258036490008688</v>
      </c>
      <c r="D51" s="22">
        <f t="shared" si="14"/>
        <v>0.05268353319684118</v>
      </c>
      <c r="E51" s="22">
        <f t="shared" si="14"/>
        <v>0.035123893490703544</v>
      </c>
      <c r="F51" s="22">
        <f t="shared" si="14"/>
        <v>0.04642433275371919</v>
      </c>
      <c r="G51" s="22">
        <f t="shared" si="14"/>
        <v>0.03153273909255412</v>
      </c>
      <c r="H51" s="41">
        <f t="shared" si="14"/>
        <v>0.03177786085715257</v>
      </c>
    </row>
    <row r="52" ht="15" customHeight="1">
      <c r="B52" s="21" t="s">
        <v>83</v>
      </c>
      <c r="C52" s="46">
        <f>(C51-Inputs!C161/Inputs!C162)*10000</f>
        <v>68.46890174035273</v>
      </c>
      <c r="D52" s="46">
        <f>(D51-Inputs!D161/Inputs!D162)*10000</f>
        <v>262.94480928480596</v>
      </c>
      <c r="E52" s="46">
        <f>(E51-Inputs!E161/Inputs!E162)*10000</f>
        <v>73.796232856372</v>
      </c>
      <c r="F52" s="46">
        <f>(F51-Inputs!F161/Inputs!F162)*10000</f>
        <v>218.3416881929296</v>
      </c>
      <c r="G52" s="46">
        <f>(G51-Inputs!G161/Inputs!G162)*10000</f>
        <v>3.2617346941559573</v>
      </c>
      <c r="H52" s="47">
        <f t="shared" si="9"/>
        <v>-8.025040429343115</v>
      </c>
    </row>
    <row r="53" ht="15" customHeight="1">
      <c r="B53" s="21" t="s">
        <v>84</v>
      </c>
      <c r="C53" s="46">
        <f>(C51-Inputs!G161/Inputs!G162)*10000</f>
        <v>13.73799276948355</v>
      </c>
      <c r="D53" s="48">
        <f t="shared" si="7"/>
        <v>201.031682967543</v>
      </c>
      <c r="E53" s="48"/>
      <c r="F53" s="48">
        <f t="shared" si="10"/>
        <v>-62.5920044312199</v>
      </c>
      <c r="G53" s="48">
        <f t="shared" si="7"/>
        <v>-148.9159366116507</v>
      </c>
      <c r="H53" s="47">
        <f t="shared" si="7"/>
        <v>2.45121764598448</v>
      </c>
    </row>
    <row r="54" ht="15" customHeight="1">
      <c r="B54" s="15" t="s">
        <v>90</v>
      </c>
      <c r="C54" s="34">
        <v>23418</v>
      </c>
      <c r="D54" s="34">
        <v>25542</v>
      </c>
      <c r="E54" s="34">
        <v>26163</v>
      </c>
      <c r="F54" s="34">
        <v>33633</v>
      </c>
      <c r="G54" s="34">
        <v>27935</v>
      </c>
      <c r="H54" s="49" t="s">
        <v>91</v>
      </c>
      <c r="I54" s="15" t="s">
        <v>92</v>
      </c>
    </row>
    <row r="55" ht="15" customHeight="1">
      <c r="B55" s="21" t="s">
        <v>71</v>
      </c>
      <c r="C55" s="40">
        <f>C54/Inputs!C164-1</f>
        <v>-0.10614908965991066</v>
      </c>
      <c r="D55" s="40">
        <f>D54/Inputs!D164-1</f>
        <v>0.07844958621854414</v>
      </c>
      <c r="E55" s="40">
        <f>E54/Inputs!E164-1</f>
        <v>0.06744186046511635</v>
      </c>
      <c r="F55" s="40">
        <f>F54/Inputs!F164-1</f>
        <v>0.21278667243617488</v>
      </c>
      <c r="G55" s="40">
        <f>G54/Inputs!G164-1</f>
        <v>-0.005765740114602957</v>
      </c>
      <c r="H55" s="41"/>
    </row>
    <row r="56" ht="15" customHeight="1">
      <c r="B56" s="37" t="s">
        <v>72</v>
      </c>
      <c r="C56" s="35">
        <f>(C54-Inputs!G164)</f>
        <v>-4679</v>
      </c>
      <c r="D56" s="38">
        <f t="shared" si="1"/>
        <v>2124</v>
      </c>
      <c r="E56" s="38"/>
      <c r="F56" s="38">
        <f t="shared" si="2"/>
        <v>8091</v>
      </c>
      <c r="G56" s="38">
        <f t="shared" si="1"/>
        <v>-5698</v>
      </c>
      <c r="H56" s="39"/>
    </row>
    <row r="57" ht="15" customHeight="1">
      <c r="B57" s="15" t="s">
        <v>93</v>
      </c>
      <c r="C57" s="34">
        <v>989</v>
      </c>
      <c r="D57" s="34">
        <v>816</v>
      </c>
      <c r="E57" s="34">
        <v>920</v>
      </c>
      <c r="F57" s="34">
        <v>1241</v>
      </c>
      <c r="G57" s="34">
        <v>830</v>
      </c>
      <c r="H57" s="49" t="s">
        <v>91</v>
      </c>
    </row>
    <row r="58" ht="15" customHeight="1">
      <c r="B58" s="21" t="s">
        <v>71</v>
      </c>
      <c r="C58" s="40">
        <f>C57/Inputs!C165-1</f>
        <v>-0.09762773722627738</v>
      </c>
      <c r="D58" s="40">
        <f>D57/Inputs!D165-1</f>
        <v>-0.037735849056603765</v>
      </c>
      <c r="E58" s="40">
        <f>E57/Inputs!E165-1</f>
        <v>-0.10068426197458458</v>
      </c>
      <c r="F58" s="40">
        <f>F57/Inputs!F165-1</f>
        <v>0.4086265607264472</v>
      </c>
      <c r="G58" s="40">
        <f>G57/Inputs!G165-1</f>
        <v>-0.16414904330312186</v>
      </c>
      <c r="H58" s="41"/>
    </row>
    <row r="59" ht="15" customHeight="1">
      <c r="B59" s="37" t="s">
        <v>72</v>
      </c>
      <c r="C59" s="35">
        <f>(C57-Inputs!G165)</f>
        <v>-4</v>
      </c>
      <c r="D59" s="38">
        <f t="shared" si="1"/>
        <v>-173</v>
      </c>
      <c r="E59" s="38"/>
      <c r="F59" s="38">
        <f t="shared" si="2"/>
        <v>425</v>
      </c>
      <c r="G59" s="38">
        <f t="shared" si="1"/>
        <v>-411</v>
      </c>
      <c r="H59" s="39"/>
    </row>
    <row r="60" ht="15" customHeight="1">
      <c r="B60" s="15" t="s">
        <v>94</v>
      </c>
      <c r="C60" s="34">
        <v>915</v>
      </c>
      <c r="D60" s="34">
        <v>995</v>
      </c>
      <c r="E60" s="34">
        <v>1046</v>
      </c>
      <c r="F60" s="34">
        <v>1357</v>
      </c>
      <c r="G60" s="34">
        <v>1078</v>
      </c>
      <c r="H60" s="49" t="s">
        <v>91</v>
      </c>
    </row>
    <row r="61" ht="15" customHeight="1">
      <c r="B61" s="21" t="s">
        <v>71</v>
      </c>
      <c r="C61" s="40">
        <f>C60/Inputs!C166-1</f>
        <v>-0.07947686116700203</v>
      </c>
      <c r="D61" s="40">
        <f>D60/Inputs!D166-1</f>
        <v>0.02471678681771361</v>
      </c>
      <c r="E61" s="40">
        <f>E60/Inputs!E166-1</f>
        <v>0.0512562814070352</v>
      </c>
      <c r="F61" s="40">
        <f>F60/Inputs!F166-1</f>
        <v>0.17590987868284236</v>
      </c>
      <c r="G61" s="40">
        <f>G60/Inputs!G166-1</f>
        <v>-0.04347826086956519</v>
      </c>
      <c r="H61" s="41"/>
    </row>
    <row r="62" ht="15" customHeight="1">
      <c r="B62" s="37" t="s">
        <v>72</v>
      </c>
      <c r="C62" s="35">
        <f>(C60-Inputs!G166)</f>
        <v>-212</v>
      </c>
      <c r="D62" s="38">
        <f t="shared" si="1"/>
        <v>80</v>
      </c>
      <c r="E62" s="38"/>
      <c r="F62" s="38">
        <f t="shared" si="2"/>
        <v>362</v>
      </c>
      <c r="G62" s="38">
        <f t="shared" si="1"/>
        <v>-279</v>
      </c>
      <c r="H62" s="39"/>
    </row>
    <row r="63" ht="15" customHeight="1">
      <c r="B63" s="45" t="s">
        <v>95</v>
      </c>
      <c r="C63" s="22">
        <f t="shared" si="15" ref="C63:G63">C54/C34</f>
        <v>0.9248084669457389</v>
      </c>
      <c r="D63" s="22">
        <f t="shared" si="15"/>
        <v>0.9337915402332468</v>
      </c>
      <c r="E63" s="22">
        <f t="shared" si="15"/>
        <v>0.9301077180134381</v>
      </c>
      <c r="F63" s="22">
        <f t="shared" si="15"/>
        <v>0.9282934503601888</v>
      </c>
      <c r="G63" s="22">
        <f t="shared" si="15"/>
        <v>0.9360654089736287</v>
      </c>
      <c r="H63" s="41"/>
    </row>
    <row r="64" ht="15" customHeight="1">
      <c r="B64" s="21" t="s">
        <v>83</v>
      </c>
      <c r="C64" s="46">
        <f>(C63-Inputs!C164/Inputs!C163)*10000</f>
        <v>-13.112262212163772</v>
      </c>
      <c r="D64" s="46">
        <f>(D63-Inputs!D164/Inputs!D163)*10000</f>
        <v>51.16482396913868</v>
      </c>
      <c r="E64" s="46">
        <f>(E63-Inputs!E164/Inputs!E163)*10000</f>
        <v>61.78284961568359</v>
      </c>
      <c r="F64" s="46">
        <f>(F63-Inputs!F164/Inputs!F163)*10000</f>
        <v>-33.10957057172104</v>
      </c>
      <c r="G64" s="46">
        <f>(G63-Inputs!G164/Inputs!G163)*10000</f>
        <v>62.245908910923966</v>
      </c>
      <c r="H64" s="47"/>
    </row>
    <row r="65" ht="15" customHeight="1">
      <c r="B65" s="21" t="s">
        <v>84</v>
      </c>
      <c r="C65" s="46">
        <f>(C63-Inputs!G164/Inputs!G163)*10000</f>
        <v>-50.32351136797342</v>
      </c>
      <c r="D65" s="48">
        <f t="shared" si="7"/>
        <v>89.83073287507915</v>
      </c>
      <c r="E65" s="48"/>
      <c r="F65" s="48">
        <f t="shared" si="10"/>
        <v>-54.98089873057999</v>
      </c>
      <c r="G65" s="48">
        <f t="shared" si="7"/>
        <v>77.71958613439823</v>
      </c>
      <c r="H65" s="47"/>
    </row>
    <row r="66" ht="15" customHeight="1">
      <c r="B66" s="15" t="s">
        <v>96</v>
      </c>
      <c r="C66" s="16" t="s">
        <v>91</v>
      </c>
      <c r="D66" s="34">
        <v>8300</v>
      </c>
      <c r="E66" s="16" t="s">
        <v>91</v>
      </c>
      <c r="F66" s="34">
        <v>11400</v>
      </c>
      <c r="G66" s="34">
        <v>9100</v>
      </c>
      <c r="H66" s="36">
        <v>9000</v>
      </c>
      <c r="I66" s="15" t="s">
        <v>97</v>
      </c>
    </row>
    <row r="67" ht="15" customHeight="1">
      <c r="B67" s="37" t="s">
        <v>72</v>
      </c>
      <c r="C67" s="38"/>
      <c r="D67" s="38"/>
      <c r="E67" s="38"/>
      <c r="F67" s="38">
        <f>F66-D66</f>
        <v>3100</v>
      </c>
      <c r="G67" s="38">
        <f t="shared" si="16" ref="G67:H240">G66-F66</f>
        <v>-2300</v>
      </c>
      <c r="H67" s="39">
        <f t="shared" si="16"/>
        <v>-100</v>
      </c>
    </row>
    <row r="68" ht="15" customHeight="1">
      <c r="B68" s="21" t="s">
        <v>98</v>
      </c>
      <c r="C68" s="22"/>
      <c r="D68" s="50">
        <v>0.09</v>
      </c>
      <c r="E68" s="22"/>
      <c r="F68" s="50">
        <v>0.3</v>
      </c>
      <c r="G68" s="51" t="s">
        <v>91</v>
      </c>
      <c r="H68" s="52">
        <v>0.22</v>
      </c>
      <c r="I68" s="15" t="s">
        <v>99</v>
      </c>
    </row>
    <row r="69" ht="15" customHeight="1">
      <c r="B69" s="21" t="s">
        <v>100</v>
      </c>
      <c r="C69" s="22"/>
      <c r="D69" s="22">
        <f t="shared" si="17" ref="D69:H69">D66/D34</f>
        <v>0.3034402076554674</v>
      </c>
      <c r="E69" s="22"/>
      <c r="F69" s="22">
        <f t="shared" si="17"/>
        <v>0.31464767740332866</v>
      </c>
      <c r="G69" s="22">
        <f t="shared" si="17"/>
        <v>0.30492912910900377</v>
      </c>
      <c r="H69" s="41">
        <f t="shared" si="17"/>
        <v>0.30612244897959184</v>
      </c>
    </row>
    <row r="70" ht="15" customHeight="1">
      <c r="B70" s="53" t="s">
        <v>84</v>
      </c>
      <c r="C70" s="48"/>
      <c r="D70" s="48"/>
      <c r="E70" s="48"/>
      <c r="F70" s="48">
        <f>(F69-D69)*10000</f>
        <v>112.07469747861242</v>
      </c>
      <c r="G70" s="48">
        <f t="shared" si="18" ref="G70:H70">(G69-F69)*10000</f>
        <v>-97.18548294324891</v>
      </c>
      <c r="H70" s="47">
        <f t="shared" si="18"/>
        <v>11.93319870588072</v>
      </c>
    </row>
    <row r="72" ht="15" customHeight="1">
      <c r="B72" s="17" t="s">
        <v>101</v>
      </c>
    </row>
    <row r="73" ht="15" customHeight="1">
      <c r="B73" s="15" t="s">
        <v>102</v>
      </c>
      <c r="C73" s="20">
        <f t="shared" si="19" ref="C73:H73">C13*C10/1000</f>
        <v>856.192</v>
      </c>
      <c r="D73" s="20">
        <f t="shared" si="19"/>
        <v>832.64</v>
      </c>
      <c r="E73" s="20">
        <f t="shared" si="19"/>
        <v>3564.953</v>
      </c>
      <c r="F73" s="20">
        <f t="shared" si="19"/>
        <v>1139.114</v>
      </c>
      <c r="G73" s="20">
        <f t="shared" si="19"/>
        <v>900.984</v>
      </c>
      <c r="H73" s="54">
        <f t="shared" si="19"/>
        <v>966.4</v>
      </c>
    </row>
    <row r="74" ht="15" customHeight="1">
      <c r="B74" s="21" t="s">
        <v>71</v>
      </c>
      <c r="C74" s="40">
        <f>C73/(Inputs!C156*Inputs!C155/1000)-1</f>
        <v>-0.10100127679591431</v>
      </c>
      <c r="D74" s="40">
        <f>D73/(Inputs!D156*Inputs!D155/1000)-1</f>
        <v>-0.017668378133494422</v>
      </c>
      <c r="E74" s="22"/>
      <c r="F74" s="40">
        <f>F73/(Inputs!F156*Inputs!F155/1000)-1</f>
        <v>0.24253110652738052</v>
      </c>
      <c r="G74" s="40">
        <f>G73/(Inputs!G156*Inputs!G155/1000)-1</f>
        <v>-0.06075491209927608</v>
      </c>
      <c r="H74" s="41">
        <f t="shared" si="3"/>
        <v>0.12871879204664372</v>
      </c>
    </row>
    <row r="75" ht="15" customHeight="1">
      <c r="B75" s="37" t="s">
        <v>103</v>
      </c>
      <c r="C75" s="19">
        <f>C73-Inputs!G156*Inputs!G155/1000</f>
        <v>-103.072</v>
      </c>
      <c r="D75" s="20">
        <f t="shared" si="20" ref="D75:H254">D73-C73</f>
        <v>-23.55200000000002</v>
      </c>
      <c r="E75" s="20"/>
      <c r="F75" s="20">
        <f t="shared" si="22" ref="F75:F111">F73-D73</f>
        <v>306.47400000000005</v>
      </c>
      <c r="G75" s="20">
        <f t="shared" si="20"/>
        <v>-238.13</v>
      </c>
      <c r="H75" s="54">
        <f t="shared" si="20"/>
        <v>65.41599999999994</v>
      </c>
    </row>
    <row r="76" ht="15" customHeight="1">
      <c r="B76" s="15" t="s">
        <v>104</v>
      </c>
      <c r="C76" s="55">
        <v>48.7</v>
      </c>
      <c r="D76" s="55">
        <v>48.6</v>
      </c>
      <c r="E76" s="20">
        <f>E118/E73*100</f>
        <v>48.23626005728547</v>
      </c>
      <c r="F76" s="55">
        <v>45.7</v>
      </c>
      <c r="G76" s="55">
        <v>48</v>
      </c>
      <c r="H76" s="56">
        <v>48.4</v>
      </c>
      <c r="I76" s="15" t="s">
        <v>105</v>
      </c>
    </row>
    <row r="77" ht="15" customHeight="1">
      <c r="B77" s="21" t="s">
        <v>71</v>
      </c>
      <c r="C77" s="40">
        <f>C76/Inputs!C167-1</f>
        <v>0.040598290598290676</v>
      </c>
      <c r="D77" s="40">
        <f>D76/Inputs!D167-1</f>
        <v>0.0020618556701030855</v>
      </c>
      <c r="E77" s="22"/>
      <c r="F77" s="40">
        <f>F76/Inputs!F167-1</f>
        <v>-0.03991596638655459</v>
      </c>
      <c r="G77" s="40">
        <f>G76/Inputs!G167-1</f>
        <v>-0.0020790020790021346</v>
      </c>
      <c r="H77" s="41">
        <f t="shared" si="3"/>
        <v>-0.006160164271047264</v>
      </c>
    </row>
    <row r="78" ht="15" customHeight="1">
      <c r="B78" s="37" t="s">
        <v>106</v>
      </c>
      <c r="C78" s="19">
        <f>(C76-Inputs!G167)</f>
        <v>0.6000000000000014</v>
      </c>
      <c r="D78" s="20">
        <f t="shared" si="1"/>
        <v>-0.10000000000000142</v>
      </c>
      <c r="E78" s="20"/>
      <c r="F78" s="20">
        <f t="shared" si="2"/>
        <v>-2.8999999999999986</v>
      </c>
      <c r="G78" s="20">
        <f t="shared" si="1"/>
        <v>2.299999999999997</v>
      </c>
      <c r="H78" s="54">
        <f t="shared" si="1"/>
        <v>0.3999999999999986</v>
      </c>
    </row>
    <row r="79" ht="15" customHeight="1">
      <c r="B79" s="15" t="s">
        <v>107</v>
      </c>
      <c r="C79" s="20">
        <f t="shared" si="21" ref="C79:H79">C16*C10/1000</f>
        <v>401.792</v>
      </c>
      <c r="D79" s="20">
        <f t="shared" si="21"/>
        <v>495.232</v>
      </c>
      <c r="E79" s="20">
        <f t="shared" si="21"/>
        <v>1859.91</v>
      </c>
      <c r="F79" s="20">
        <f t="shared" si="21"/>
        <v>527.955</v>
      </c>
      <c r="G79" s="20">
        <f t="shared" si="21"/>
        <v>535.246</v>
      </c>
      <c r="H79" s="54">
        <f t="shared" si="21"/>
        <v>492.8</v>
      </c>
    </row>
    <row r="80" ht="15" customHeight="1">
      <c r="B80" s="21" t="s">
        <v>71</v>
      </c>
      <c r="C80" s="40">
        <f>C79/(Inputs!C157*Inputs!C155/1000)-1</f>
        <v>-0.15242338328608085</v>
      </c>
      <c r="D80" s="40">
        <f>D79/(Inputs!D157*Inputs!D155/1000)-1</f>
        <v>0.219927479110831</v>
      </c>
      <c r="E80" s="22"/>
      <c r="F80" s="40">
        <f>F79/(Inputs!F157*Inputs!F155/1000)-1</f>
        <v>0.08228085532074525</v>
      </c>
      <c r="G80" s="40">
        <f>G79/(Inputs!G157*Inputs!G155/1000)-1</f>
        <v>0.1268763868946612</v>
      </c>
      <c r="H80" s="41">
        <f t="shared" si="3"/>
        <v>0.2265052564510992</v>
      </c>
    </row>
    <row r="81" ht="15" customHeight="1">
      <c r="B81" s="37" t="s">
        <v>103</v>
      </c>
      <c r="C81" s="19">
        <f>C79-Inputs!G157*Inputs!G155/1000</f>
        <v>-73.19000000000005</v>
      </c>
      <c r="D81" s="20">
        <f t="shared" si="20"/>
        <v>93.44000000000005</v>
      </c>
      <c r="E81" s="20"/>
      <c r="F81" s="20">
        <f t="shared" si="22"/>
        <v>32.72300000000001</v>
      </c>
      <c r="G81" s="20">
        <f t="shared" si="20"/>
        <v>7.29099999999994</v>
      </c>
      <c r="H81" s="54">
        <f t="shared" si="20"/>
        <v>-42.44599999999997</v>
      </c>
    </row>
    <row r="82" ht="15" customHeight="1">
      <c r="B82" s="15" t="s">
        <v>108</v>
      </c>
      <c r="C82" s="55">
        <v>65.2</v>
      </c>
      <c r="D82" s="55">
        <v>61.1</v>
      </c>
      <c r="E82" s="20">
        <f>E126/E79*100</f>
        <v>62.927776075186436</v>
      </c>
      <c r="F82" s="55">
        <v>59.7</v>
      </c>
      <c r="G82" s="55">
        <v>60.5</v>
      </c>
      <c r="H82" s="56">
        <v>58.5</v>
      </c>
      <c r="I82" s="15" t="s">
        <v>109</v>
      </c>
    </row>
    <row r="83" ht="15" customHeight="1">
      <c r="B83" s="21" t="s">
        <v>71</v>
      </c>
      <c r="C83" s="40">
        <f>C82/Inputs!C168-1</f>
        <v>0.05844155844155852</v>
      </c>
      <c r="D83" s="40">
        <f>D82/Inputs!D168-1</f>
        <v>-0.0714285714285714</v>
      </c>
      <c r="E83" s="22"/>
      <c r="F83" s="40">
        <f>F82/Inputs!F168-1</f>
        <v>-0.043269230769230727</v>
      </c>
      <c r="G83" s="40">
        <f>G82/Inputs!G168-1</f>
        <v>-0.047244094488189003</v>
      </c>
      <c r="H83" s="41">
        <f t="shared" si="3"/>
        <v>-0.10276073619631909</v>
      </c>
    </row>
    <row r="84" ht="15" customHeight="1">
      <c r="B84" s="37" t="s">
        <v>106</v>
      </c>
      <c r="C84" s="19">
        <f>(C82-Inputs!G168)</f>
        <v>1.7000000000000028</v>
      </c>
      <c r="D84" s="20">
        <f t="shared" si="1"/>
        <v>-4.100000000000001</v>
      </c>
      <c r="E84" s="20"/>
      <c r="F84" s="20">
        <f t="shared" si="2"/>
        <v>-1.3999999999999986</v>
      </c>
      <c r="G84" s="20">
        <f t="shared" si="1"/>
        <v>0.7999999999999972</v>
      </c>
      <c r="H84" s="54">
        <f t="shared" si="1"/>
        <v>-2</v>
      </c>
    </row>
    <row r="85" ht="15" customHeight="1">
      <c r="B85" s="15" t="s">
        <v>110</v>
      </c>
      <c r="C85" s="20">
        <f t="shared" si="23" ref="C85:H85">C19*C10/1000</f>
        <v>53.376</v>
      </c>
      <c r="D85" s="20">
        <f t="shared" si="23"/>
        <v>54.592</v>
      </c>
      <c r="E85" s="20">
        <f t="shared" si="23"/>
        <v>245.98</v>
      </c>
      <c r="F85" s="20">
        <f t="shared" si="23"/>
        <v>72.773</v>
      </c>
      <c r="G85" s="20">
        <f t="shared" si="23"/>
        <v>61.318</v>
      </c>
      <c r="H85" s="54">
        <f t="shared" si="23"/>
        <v>63.232</v>
      </c>
    </row>
    <row r="86" ht="15" customHeight="1">
      <c r="B86" s="21" t="s">
        <v>71</v>
      </c>
      <c r="C86" s="40">
        <f>C85/(Inputs!C158*Inputs!C155/1000)-1</f>
        <v>-0.2341597796143251</v>
      </c>
      <c r="D86" s="40">
        <f>D85/(Inputs!D158*Inputs!D155/1000)-1</f>
        <v>-0.11971104231166152</v>
      </c>
      <c r="E86" s="22"/>
      <c r="F86" s="40">
        <f>F85/(Inputs!F158*Inputs!F155/1000)-1</f>
        <v>0.03829416884247161</v>
      </c>
      <c r="G86" s="40">
        <f>G85/(Inputs!G158*Inputs!G155/1000)-1</f>
        <v>-0.09762773722627738</v>
      </c>
      <c r="H86" s="41">
        <f t="shared" si="3"/>
        <v>0.184652278177458</v>
      </c>
    </row>
    <row r="87" ht="15" customHeight="1">
      <c r="B87" s="37" t="s">
        <v>103</v>
      </c>
      <c r="C87" s="19">
        <f>C85-Inputs!G158*Inputs!G155/1000</f>
        <v>-14.576</v>
      </c>
      <c r="D87" s="20">
        <f t="shared" si="20"/>
        <v>1.216000000000001</v>
      </c>
      <c r="E87" s="20"/>
      <c r="F87" s="20">
        <f t="shared" si="22"/>
        <v>18.180999999999997</v>
      </c>
      <c r="G87" s="20">
        <f t="shared" si="20"/>
        <v>-11.454999999999998</v>
      </c>
      <c r="H87" s="54">
        <f t="shared" si="20"/>
        <v>1.9140000000000015</v>
      </c>
    </row>
    <row r="88" ht="15" customHeight="1">
      <c r="B88" s="15" t="s">
        <v>111</v>
      </c>
      <c r="C88" s="55">
        <v>84.1</v>
      </c>
      <c r="D88" s="55">
        <v>84.7</v>
      </c>
      <c r="E88" s="20">
        <f>E134/E85*100</f>
        <v>80.08781201723718</v>
      </c>
      <c r="F88" s="55">
        <v>78</v>
      </c>
      <c r="G88" s="55">
        <v>81.3</v>
      </c>
      <c r="H88" s="56">
        <v>83.5</v>
      </c>
      <c r="I88" s="15" t="s">
        <v>112</v>
      </c>
    </row>
    <row r="89" ht="15" customHeight="1">
      <c r="B89" s="21" t="s">
        <v>71</v>
      </c>
      <c r="C89" s="40">
        <f>C88/Inputs!C169-1</f>
        <v>0.13037634408602128</v>
      </c>
      <c r="D89" s="40">
        <f>D88/Inputs!D169-1</f>
        <v>0.08868894601542432</v>
      </c>
      <c r="E89" s="22"/>
      <c r="F89" s="40">
        <f>F88/Inputs!F169-1</f>
        <v>0.023622047244094446</v>
      </c>
      <c r="G89" s="40">
        <f>G88/Inputs!G169-1</f>
        <v>0.05310880829015541</v>
      </c>
      <c r="H89" s="41">
        <f t="shared" si="3"/>
        <v>-0.007134363852556391</v>
      </c>
    </row>
    <row r="90" ht="15" customHeight="1">
      <c r="B90" s="37" t="s">
        <v>106</v>
      </c>
      <c r="C90" s="19">
        <f>(C88-Inputs!G169)</f>
        <v>6.8999999999999915</v>
      </c>
      <c r="D90" s="20">
        <f t="shared" si="1"/>
        <v>0.6000000000000085</v>
      </c>
      <c r="E90" s="20"/>
      <c r="F90" s="20">
        <f t="shared" si="2"/>
        <v>-6.700000000000003</v>
      </c>
      <c r="G90" s="20">
        <f t="shared" si="1"/>
        <v>3.299999999999997</v>
      </c>
      <c r="H90" s="54">
        <f t="shared" si="1"/>
        <v>2.200000000000003</v>
      </c>
    </row>
    <row r="91" ht="15" customHeight="1">
      <c r="B91" s="15" t="s">
        <v>113</v>
      </c>
      <c r="C91" s="20">
        <f t="shared" si="24" ref="C91:H91">C22*C10/1000</f>
        <v>146.88</v>
      </c>
      <c r="D91" s="20">
        <f t="shared" si="24"/>
        <v>161.472</v>
      </c>
      <c r="E91" s="20">
        <f t="shared" si="24"/>
        <v>676.445</v>
      </c>
      <c r="F91" s="20">
        <f t="shared" si="24"/>
        <v>243.085</v>
      </c>
      <c r="G91" s="20">
        <f t="shared" si="24"/>
        <v>165.354</v>
      </c>
      <c r="H91" s="54">
        <f t="shared" si="24"/>
        <v>172.8</v>
      </c>
    </row>
    <row r="92" ht="15" customHeight="1">
      <c r="B92" s="21" t="s">
        <v>71</v>
      </c>
      <c r="C92" s="40">
        <f>C91/(Inputs!C159*Inputs!C155/1000)-1</f>
        <v>-0.10735122520420082</v>
      </c>
      <c r="D92" s="40">
        <f>D91/(Inputs!D159*Inputs!D155/1000)-1</f>
        <v>0.0015879317189360087</v>
      </c>
      <c r="E92" s="22"/>
      <c r="F92" s="40">
        <f>F91/(Inputs!F159*Inputs!F155/1000)-1</f>
        <v>0.37271787805718226</v>
      </c>
      <c r="G92" s="40">
        <f>G91/(Inputs!G159*Inputs!G155/1000)-1</f>
        <v>-0.13465282284231017</v>
      </c>
      <c r="H92" s="41">
        <f t="shared" si="3"/>
        <v>0.17647058823529416</v>
      </c>
    </row>
    <row r="93" ht="15" customHeight="1">
      <c r="B93" s="37" t="s">
        <v>103</v>
      </c>
      <c r="C93" s="19">
        <f>C91-Inputs!G159*Inputs!G155/1000</f>
        <v>-44.20400000000001</v>
      </c>
      <c r="D93" s="20">
        <f t="shared" si="20"/>
        <v>14.592000000000013</v>
      </c>
      <c r="E93" s="20"/>
      <c r="F93" s="20">
        <f t="shared" si="22"/>
        <v>81.613</v>
      </c>
      <c r="G93" s="20">
        <f t="shared" si="20"/>
        <v>-77.731</v>
      </c>
      <c r="H93" s="54">
        <f t="shared" si="20"/>
        <v>7.445999999999998</v>
      </c>
    </row>
    <row r="94" ht="15" customHeight="1">
      <c r="B94" s="15" t="s">
        <v>114</v>
      </c>
      <c r="C94" s="55">
        <v>121.4</v>
      </c>
      <c r="D94" s="55">
        <v>124.5</v>
      </c>
      <c r="E94" s="20">
        <f>E142/E91*100</f>
        <v>120.21672124119478</v>
      </c>
      <c r="F94" s="55">
        <v>108.4</v>
      </c>
      <c r="G94" s="55">
        <v>113.1</v>
      </c>
      <c r="H94" s="56">
        <v>118</v>
      </c>
      <c r="I94" s="15" t="s">
        <v>115</v>
      </c>
    </row>
    <row r="95" ht="15" customHeight="1">
      <c r="B95" s="21" t="s">
        <v>71</v>
      </c>
      <c r="C95" s="40">
        <f>C94/Inputs!C170-1</f>
        <v>-0.025682182985553692</v>
      </c>
      <c r="D95" s="40">
        <f>D94/Inputs!D170-1</f>
        <v>0.006467259498787348</v>
      </c>
      <c r="E95" s="22"/>
      <c r="F95" s="40">
        <f>F94/Inputs!F170-1</f>
        <v>-0.11292962356792147</v>
      </c>
      <c r="G95" s="40">
        <f>G94/Inputs!G170-1</f>
        <v>-0.0061511423550087985</v>
      </c>
      <c r="H95" s="41">
        <f t="shared" si="3"/>
        <v>-0.028006589785832037</v>
      </c>
    </row>
    <row r="96" ht="15" customHeight="1">
      <c r="B96" s="37" t="s">
        <v>106</v>
      </c>
      <c r="C96" s="19">
        <f>(C94-Inputs!G170)</f>
        <v>7.6000000000000085</v>
      </c>
      <c r="D96" s="20">
        <f t="shared" si="1"/>
        <v>3.0999999999999943</v>
      </c>
      <c r="E96" s="20"/>
      <c r="F96" s="20">
        <f t="shared" si="2"/>
        <v>-16.099999999999994</v>
      </c>
      <c r="G96" s="20">
        <f t="shared" si="1"/>
        <v>4.699999999999989</v>
      </c>
      <c r="H96" s="54">
        <f t="shared" si="1"/>
        <v>4.900000000000006</v>
      </c>
    </row>
    <row r="97" ht="15" customHeight="1">
      <c r="B97" s="15" t="s">
        <v>116</v>
      </c>
      <c r="C97" s="20">
        <f t="shared" si="25" ref="C97:H97">C25*C10/1000</f>
        <v>109.568</v>
      </c>
      <c r="D97" s="20">
        <f t="shared" si="25"/>
        <v>114.368</v>
      </c>
      <c r="E97" s="20">
        <f t="shared" si="25"/>
        <v>465.103</v>
      </c>
      <c r="F97" s="20">
        <f t="shared" si="25"/>
        <v>124.562</v>
      </c>
      <c r="G97" s="20">
        <f t="shared" si="25"/>
        <v>128.96</v>
      </c>
      <c r="H97" s="54">
        <f t="shared" si="25"/>
        <v>128</v>
      </c>
    </row>
    <row r="98" ht="15" customHeight="1">
      <c r="B98" s="21" t="s">
        <v>71</v>
      </c>
      <c r="C98" s="40">
        <f>C97/(Inputs!C160*Inputs!C155/1000)-1</f>
        <v>0.060718711276332105</v>
      </c>
      <c r="D98" s="40">
        <f>D97/(Inputs!D160*Inputs!D155/1000)-1</f>
        <v>0.018233618233618243</v>
      </c>
      <c r="E98" s="22"/>
      <c r="F98" s="40">
        <f>F97/(Inputs!F160*Inputs!F155/1000)-1</f>
        <v>0.04290091930541373</v>
      </c>
      <c r="G98" s="40">
        <f>G97/(Inputs!G160*Inputs!G155/1000)-1</f>
        <v>0.05906313645621197</v>
      </c>
      <c r="H98" s="41">
        <f t="shared" si="3"/>
        <v>0.16822429906542058</v>
      </c>
    </row>
    <row r="99" ht="15" customHeight="1">
      <c r="B99" s="37" t="s">
        <v>103</v>
      </c>
      <c r="C99" s="19">
        <f>C97-Inputs!G160*Inputs!G155/1000</f>
        <v>-12.200000000000003</v>
      </c>
      <c r="D99" s="20">
        <f t="shared" si="20"/>
        <v>4.799999999999997</v>
      </c>
      <c r="E99" s="20"/>
      <c r="F99" s="20">
        <f t="shared" si="22"/>
        <v>10.194000000000003</v>
      </c>
      <c r="G99" s="20">
        <f t="shared" si="20"/>
        <v>4.39800000000001</v>
      </c>
      <c r="H99" s="54">
        <f t="shared" si="20"/>
        <v>-0.960000000000008</v>
      </c>
    </row>
    <row r="100" ht="15" customHeight="1">
      <c r="B100" s="15" t="s">
        <v>117</v>
      </c>
      <c r="C100" s="55">
        <v>142.3</v>
      </c>
      <c r="D100" s="55">
        <v>142.7</v>
      </c>
      <c r="E100" s="20">
        <f>E150/E97*100</f>
        <v>141.4955396976584</v>
      </c>
      <c r="F100" s="55">
        <v>134.4</v>
      </c>
      <c r="G100" s="55">
        <v>142.6</v>
      </c>
      <c r="H100" s="56">
        <v>141.5</v>
      </c>
      <c r="I100" s="15" t="s">
        <v>118</v>
      </c>
    </row>
    <row r="101" ht="15" customHeight="1">
      <c r="B101" s="21" t="s">
        <v>71</v>
      </c>
      <c r="C101" s="40">
        <f>C100/Inputs!C171-1</f>
        <v>0.057206537890044595</v>
      </c>
      <c r="D101" s="40">
        <f>D100/Inputs!D171-1</f>
        <v>0.05003679175864595</v>
      </c>
      <c r="E101" s="22"/>
      <c r="F101" s="40">
        <f>F100/Inputs!F171-1</f>
        <v>-0.023255813953488302</v>
      </c>
      <c r="G101" s="40">
        <f>G100/Inputs!G171-1</f>
        <v>-0.006271777003484358</v>
      </c>
      <c r="H101" s="41">
        <f t="shared" si="3"/>
        <v>-0.005621925509487036</v>
      </c>
    </row>
    <row r="102" ht="15" customHeight="1">
      <c r="B102" s="37" t="s">
        <v>106</v>
      </c>
      <c r="C102" s="19">
        <f>(C100-Inputs!G171)</f>
        <v>-1.1999999999999886</v>
      </c>
      <c r="D102" s="20">
        <f t="shared" si="1"/>
        <v>0.39999999999997726</v>
      </c>
      <c r="E102" s="20"/>
      <c r="F102" s="20">
        <f t="shared" si="2"/>
        <v>-8.299999999999983</v>
      </c>
      <c r="G102" s="20">
        <f t="shared" si="1"/>
        <v>8.199999999999989</v>
      </c>
      <c r="H102" s="54">
        <f t="shared" si="1"/>
        <v>-1.0999999999999943</v>
      </c>
    </row>
    <row r="103" ht="15" customHeight="1">
      <c r="B103" s="15" t="s">
        <v>119</v>
      </c>
      <c r="C103" s="20">
        <f t="shared" si="26" ref="C103:H103">C28*C10/1000</f>
        <v>52.8</v>
      </c>
      <c r="D103" s="20">
        <f t="shared" si="26"/>
        <v>92.224</v>
      </c>
      <c r="E103" s="20">
        <f t="shared" si="26"/>
        <v>247.988</v>
      </c>
      <c r="F103" s="20">
        <f t="shared" si="26"/>
        <v>102.602</v>
      </c>
      <c r="G103" s="20">
        <f t="shared" si="26"/>
        <v>58.342</v>
      </c>
      <c r="H103" s="54">
        <f t="shared" si="26"/>
        <v>59.84</v>
      </c>
    </row>
    <row r="104" ht="15" customHeight="1">
      <c r="B104" s="21" t="s">
        <v>71</v>
      </c>
      <c r="C104" s="40">
        <f>C103/(Inputs!C161*Inputs!C155/1000)-1</f>
        <v>0.1332417582417582</v>
      </c>
      <c r="D104" s="40">
        <f>D103/(Inputs!D161*Inputs!D155/1000)-1</f>
        <v>1.1411589895988112</v>
      </c>
      <c r="E104" s="22"/>
      <c r="F104" s="40">
        <f>F103/(Inputs!F161*Inputs!F155/1000)-1</f>
        <v>1.2978142076502732</v>
      </c>
      <c r="G104" s="40">
        <f>G103/(Inputs!G161*Inputs!G155/1000)-1</f>
        <v>-0.0021208907741251393</v>
      </c>
      <c r="H104" s="41">
        <f t="shared" si="3"/>
        <v>0.13333333333333353</v>
      </c>
    </row>
    <row r="105" ht="15" customHeight="1">
      <c r="B105" s="37" t="s">
        <v>103</v>
      </c>
      <c r="C105" s="19">
        <f>C103-Inputs!G161*Inputs!G155/1000</f>
        <v>-5.666000000000004</v>
      </c>
      <c r="D105" s="20">
        <f t="shared" si="20"/>
        <v>39.42400000000001</v>
      </c>
      <c r="E105" s="20"/>
      <c r="F105" s="20">
        <f t="shared" si="22"/>
        <v>10.378</v>
      </c>
      <c r="G105" s="20">
        <f t="shared" si="20"/>
        <v>-44.260000000000005</v>
      </c>
      <c r="H105" s="54">
        <f t="shared" si="20"/>
        <v>1.4980000000000047</v>
      </c>
    </row>
    <row r="106" ht="15" customHeight="1">
      <c r="B106" s="15" t="s">
        <v>120</v>
      </c>
      <c r="C106" s="55">
        <v>150.5</v>
      </c>
      <c r="D106" s="55">
        <v>129.5</v>
      </c>
      <c r="E106" s="20">
        <f>E158/E103*100</f>
        <v>143.0311144087617</v>
      </c>
      <c r="F106" s="55">
        <v>115.3</v>
      </c>
      <c r="G106" s="55">
        <v>131.5</v>
      </c>
      <c r="H106" s="56">
        <v>130.5</v>
      </c>
      <c r="I106" s="15" t="s">
        <v>121</v>
      </c>
    </row>
    <row r="107" ht="15" customHeight="1">
      <c r="B107" s="21" t="s">
        <v>71</v>
      </c>
      <c r="C107" s="40">
        <f>C106/Inputs!C172-1</f>
        <v>-0.022727272727272707</v>
      </c>
      <c r="D107" s="40">
        <f>D106/Inputs!D172-1</f>
        <v>-0.15359477124183007</v>
      </c>
      <c r="E107" s="22"/>
      <c r="F107" s="40">
        <f>F106/Inputs!F172-1</f>
        <v>-0.2739294710327457</v>
      </c>
      <c r="G107" s="40">
        <f>G106/Inputs!G172-1</f>
        <v>-0.09684065934065933</v>
      </c>
      <c r="H107" s="41">
        <f t="shared" si="3"/>
        <v>-0.13289036544850497</v>
      </c>
    </row>
    <row r="108" ht="15" customHeight="1">
      <c r="B108" s="37" t="s">
        <v>106</v>
      </c>
      <c r="C108" s="19">
        <f>(C106-Inputs!G172)</f>
        <v>4.900000000000006</v>
      </c>
      <c r="D108" s="20">
        <f t="shared" si="1"/>
        <v>-21</v>
      </c>
      <c r="E108" s="20"/>
      <c r="F108" s="20">
        <f t="shared" si="2"/>
        <v>-14.200000000000003</v>
      </c>
      <c r="G108" s="20">
        <f t="shared" si="1"/>
        <v>16.200000000000003</v>
      </c>
      <c r="H108" s="54">
        <f t="shared" si="1"/>
        <v>-1</v>
      </c>
    </row>
    <row r="109" ht="15" customHeight="1">
      <c r="B109" s="17" t="s">
        <v>122</v>
      </c>
      <c r="C109" s="57">
        <f t="shared" si="27" ref="C109:H109">SUM(C73,C79,C85,C91,C97,C103)</f>
        <v>1620.608</v>
      </c>
      <c r="D109" s="57">
        <f t="shared" si="27"/>
        <v>1750.528</v>
      </c>
      <c r="E109" s="57">
        <f t="shared" si="27"/>
        <v>7060.379</v>
      </c>
      <c r="F109" s="57">
        <f t="shared" si="27"/>
        <v>2210.091</v>
      </c>
      <c r="G109" s="57">
        <f t="shared" si="27"/>
        <v>1850.204</v>
      </c>
      <c r="H109" s="58">
        <f t="shared" si="27"/>
        <v>1883.0720000000001</v>
      </c>
    </row>
    <row r="110" ht="15" customHeight="1">
      <c r="B110" s="21" t="s">
        <v>71</v>
      </c>
      <c r="C110" s="40">
        <f>C109/(Inputs!C162*Inputs!C155/1000)-1</f>
        <v>-0.10491339696005653</v>
      </c>
      <c r="D110" s="40">
        <f>D109/(Inputs!D162*Inputs!D155/1000)-1</f>
        <v>0.07250127435987919</v>
      </c>
      <c r="E110" s="22"/>
      <c r="F110" s="40">
        <f>F109/(Inputs!F162*Inputs!F155/1000)-1</f>
        <v>0.21711233539371144</v>
      </c>
      <c r="G110" s="40">
        <f>G109/(Inputs!G162*Inputs!G155/1000)-1</f>
        <v>-0.012442914818982076</v>
      </c>
      <c r="H110" s="41">
        <f t="shared" si="3"/>
        <v>0.16195403206697745</v>
      </c>
    </row>
    <row r="111" ht="15" customHeight="1">
      <c r="B111" s="37" t="s">
        <v>103</v>
      </c>
      <c r="C111" s="19">
        <f>C109-Inputs!G162*Inputs!G155/1000</f>
        <v>-252.90800000000013</v>
      </c>
      <c r="D111" s="20">
        <f t="shared" si="20"/>
        <v>129.92000000000007</v>
      </c>
      <c r="E111" s="20"/>
      <c r="F111" s="20">
        <f t="shared" si="22"/>
        <v>459.5629999999999</v>
      </c>
      <c r="G111" s="20">
        <f t="shared" si="20"/>
        <v>-359.88699999999994</v>
      </c>
      <c r="H111" s="54">
        <f t="shared" si="20"/>
        <v>32.868000000000166</v>
      </c>
    </row>
    <row r="112" ht="15" customHeight="1">
      <c r="B112" s="17" t="s">
        <v>123</v>
      </c>
      <c r="C112" s="59">
        <f t="shared" si="28" ref="C112:H112">C166/C109*100</f>
        <v>70.19587710291447</v>
      </c>
      <c r="D112" s="59">
        <f t="shared" si="28"/>
        <v>70.67010639075752</v>
      </c>
      <c r="E112" s="59">
        <f t="shared" si="28"/>
        <v>69.58549958861981</v>
      </c>
      <c r="F112" s="59">
        <f t="shared" si="28"/>
        <v>65.30047857757893</v>
      </c>
      <c r="G112" s="59">
        <f t="shared" si="28"/>
        <v>67.79252450000108</v>
      </c>
      <c r="H112" s="60">
        <f t="shared" si="28"/>
        <v>67.54598443394623</v>
      </c>
    </row>
    <row r="113" ht="15" customHeight="1">
      <c r="B113" s="21" t="s">
        <v>71</v>
      </c>
      <c r="C113" s="40">
        <f>C112/Inputs!C174-1</f>
        <v>0.05445820333072904</v>
      </c>
      <c r="D113" s="40">
        <f>D112/Inputs!D174-1</f>
        <v>0.00827956547328057</v>
      </c>
      <c r="E113" s="22"/>
      <c r="F113" s="40">
        <f>F112/Inputs!F174-1</f>
        <v>-0.0479667328451262</v>
      </c>
      <c r="G113" s="40">
        <f>G112/Inputs!G174-1</f>
        <v>-0.017555852945977724</v>
      </c>
      <c r="H113" s="41">
        <f t="shared" si="3"/>
        <v>-0.03774997590076712</v>
      </c>
    </row>
    <row r="114" ht="15" customHeight="1">
      <c r="B114" s="37" t="s">
        <v>106</v>
      </c>
      <c r="C114" s="19">
        <f>(C112-Inputs!G174)</f>
        <v>1.1919294451415823</v>
      </c>
      <c r="D114" s="20">
        <f t="shared" si="1"/>
        <v>0.47422928784305896</v>
      </c>
      <c r="E114" s="20"/>
      <c r="F114" s="20">
        <f t="shared" si="2"/>
        <v>-5.369627813178596</v>
      </c>
      <c r="G114" s="20">
        <f t="shared" si="1"/>
        <v>2.4920459224221503</v>
      </c>
      <c r="H114" s="54">
        <f t="shared" si="1"/>
        <v>-0.24654006605484824</v>
      </c>
    </row>
    <row r="115" ht="15" customHeight="1">
      <c r="B115" s="44" t="s">
        <v>124</v>
      </c>
      <c r="C115" s="55">
        <v>70.2</v>
      </c>
      <c r="D115" s="55">
        <v>70.7</v>
      </c>
      <c r="E115" s="55">
        <v>69.6</v>
      </c>
      <c r="F115" s="55">
        <v>65.2</v>
      </c>
      <c r="G115" s="55">
        <v>67.8</v>
      </c>
      <c r="H115" s="54"/>
      <c r="I115" s="15" t="s">
        <v>125</v>
      </c>
    </row>
    <row r="117" ht="15" customHeight="1">
      <c r="B117" s="17" t="s">
        <v>126</v>
      </c>
      <c r="I117" s="33" t="s">
        <v>127</v>
      </c>
    </row>
    <row r="118" ht="15" customHeight="1">
      <c r="B118" s="44" t="s">
        <v>128</v>
      </c>
      <c r="C118" s="55">
        <v>417.2</v>
      </c>
      <c r="D118" s="19">
        <f>E118-Inputs!F140-Inputs!G140-C118</f>
        <v>404.49999999999994</v>
      </c>
      <c r="E118" s="55">
        <v>1719.6</v>
      </c>
      <c r="F118" s="55">
        <v>521.2</v>
      </c>
      <c r="G118" s="55">
        <v>433</v>
      </c>
      <c r="H118" s="54">
        <f>H73*H76/100</f>
        <v>467.73759999999993</v>
      </c>
    </row>
    <row r="119" ht="15" customHeight="1">
      <c r="B119" s="21" t="s">
        <v>129</v>
      </c>
      <c r="C119" s="40">
        <f>C118/Inputs!C140-1</f>
        <v>-0.06415432929564835</v>
      </c>
      <c r="D119" s="40">
        <f>D118/Inputs!D140-1</f>
        <v>-0.014616321559074441</v>
      </c>
      <c r="E119" s="40">
        <f>E118/Inputs!E140-1</f>
        <v>0.03615328994938549</v>
      </c>
      <c r="F119" s="40">
        <f>F118/Inputs!F140-1</f>
        <v>0.1945908778363512</v>
      </c>
      <c r="G119" s="40">
        <f>G118/Inputs!G140-1</f>
        <v>-0.06195840554592724</v>
      </c>
      <c r="H119" s="41">
        <f t="shared" si="3"/>
        <v>0.12113518696069026</v>
      </c>
    </row>
    <row r="120" ht="15" customHeight="1">
      <c r="B120" s="21" t="s">
        <v>130</v>
      </c>
      <c r="C120" s="40">
        <f>C118/Inputs!G140-1</f>
        <v>-0.09618717504332763</v>
      </c>
      <c r="D120" s="22">
        <f t="shared" si="29" ref="D120:H268">D118/C118-1</f>
        <v>-0.030441035474592648</v>
      </c>
      <c r="E120" s="22"/>
      <c r="F120" s="22">
        <f t="shared" si="31" ref="F120:F268">F118/D118-1</f>
        <v>0.2885043263288012</v>
      </c>
      <c r="G120" s="22">
        <f t="shared" si="29"/>
        <v>-0.16922486569455109</v>
      </c>
      <c r="H120" s="41">
        <f t="shared" si="29"/>
        <v>0.08022540415704382</v>
      </c>
    </row>
    <row r="121" ht="15" customHeight="1">
      <c r="B121" s="21" t="s">
        <v>131</v>
      </c>
      <c r="C121" s="22">
        <f t="shared" si="30" ref="C121:H121">C118/C266</f>
        <v>0.2713319458896982</v>
      </c>
      <c r="D121" s="22">
        <f t="shared" si="30"/>
        <v>0.2453448171286468</v>
      </c>
      <c r="E121" s="22">
        <f t="shared" si="30"/>
        <v>0.2637180627549612</v>
      </c>
      <c r="F121" s="22">
        <f t="shared" si="30"/>
        <v>0.27721929684591246</v>
      </c>
      <c r="G121" s="22">
        <f t="shared" si="30"/>
        <v>0.2537803305591373</v>
      </c>
      <c r="H121" s="41">
        <f t="shared" si="30"/>
        <v>0.27153989732279427</v>
      </c>
    </row>
    <row r="122" ht="15" customHeight="1">
      <c r="B122" s="21" t="s">
        <v>132</v>
      </c>
      <c r="C122" s="40">
        <f>C118/Inputs!C140-1</f>
        <v>-0.06415432929564835</v>
      </c>
      <c r="D122" s="40">
        <f>D118/Inputs!D140-1</f>
        <v>-0.014616321559074441</v>
      </c>
      <c r="E122" s="40">
        <f>E118/Inputs!E140-1</f>
        <v>0.03615328994938549</v>
      </c>
      <c r="F122" s="40">
        <f>F118/Inputs!F140-1</f>
        <v>0.1945908778363512</v>
      </c>
      <c r="G122" s="40">
        <f>G118/Inputs!G140-1</f>
        <v>-0.06195840554592724</v>
      </c>
      <c r="H122" s="41">
        <f t="shared" si="33" ref="H122:H260">H118/C118-1</f>
        <v>0.12113518696069026</v>
      </c>
    </row>
    <row r="123" ht="15" customHeight="1">
      <c r="B123" s="53" t="s">
        <v>133</v>
      </c>
      <c r="C123" s="51" t="s">
        <v>91</v>
      </c>
      <c r="D123" s="51" t="s">
        <v>91</v>
      </c>
      <c r="E123" s="51" t="s">
        <v>91</v>
      </c>
      <c r="F123" s="51" t="s">
        <v>91</v>
      </c>
      <c r="G123" s="51" t="s">
        <v>91</v>
      </c>
      <c r="H123" s="61" t="s">
        <v>91</v>
      </c>
      <c r="I123" s="15" t="s">
        <v>134</v>
      </c>
    </row>
    <row r="124" ht="15" customHeight="1">
      <c r="B124" s="53" t="s">
        <v>135</v>
      </c>
      <c r="C124" s="51" t="s">
        <v>91</v>
      </c>
      <c r="D124" s="51" t="s">
        <v>91</v>
      </c>
      <c r="E124" s="51" t="s">
        <v>91</v>
      </c>
      <c r="F124" s="51" t="s">
        <v>91</v>
      </c>
      <c r="G124" s="51" t="s">
        <v>91</v>
      </c>
      <c r="H124" s="61" t="s">
        <v>91</v>
      </c>
      <c r="I124" s="15" t="s">
        <v>136</v>
      </c>
    </row>
    <row r="125" ht="15" customHeight="1">
      <c r="B125" s="53" t="s">
        <v>137</v>
      </c>
      <c r="C125" s="51" t="s">
        <v>91</v>
      </c>
      <c r="D125" s="51" t="s">
        <v>91</v>
      </c>
      <c r="E125" s="51" t="s">
        <v>91</v>
      </c>
      <c r="F125" s="51" t="s">
        <v>91</v>
      </c>
      <c r="G125" s="51" t="s">
        <v>91</v>
      </c>
      <c r="H125" s="61" t="s">
        <v>91</v>
      </c>
      <c r="I125" s="15" t="s">
        <v>138</v>
      </c>
    </row>
    <row r="126" ht="15" customHeight="1">
      <c r="B126" s="44" t="s">
        <v>139</v>
      </c>
      <c r="C126" s="55">
        <v>261.9</v>
      </c>
      <c r="D126" s="19">
        <f>E126-Inputs!F141-Inputs!G141-C126</f>
        <v>302.70000000000005</v>
      </c>
      <c r="E126" s="55">
        <v>1170.4</v>
      </c>
      <c r="F126" s="55">
        <v>315.6</v>
      </c>
      <c r="G126" s="55">
        <v>324</v>
      </c>
      <c r="H126" s="54">
        <f>H79*H82/100</f>
        <v>288.288</v>
      </c>
    </row>
    <row r="127" ht="15" customHeight="1">
      <c r="B127" s="21" t="s">
        <v>129</v>
      </c>
      <c r="C127" s="40">
        <f>C126/Inputs!C141-1</f>
        <v>-0.10246744345442094</v>
      </c>
      <c r="D127" s="40">
        <f>D126/Inputs!D141-1</f>
        <v>0.1328592814371261</v>
      </c>
      <c r="E127" s="40">
        <f>E126/Inputs!E141-1</f>
        <v>0.06856568976536126</v>
      </c>
      <c r="F127" s="40">
        <f>F126/Inputs!F141-1</f>
        <v>0.03747534516765305</v>
      </c>
      <c r="G127" s="40">
        <f>G126/Inputs!G141-1</f>
        <v>0.07427055702917773</v>
      </c>
      <c r="H127" s="41">
        <f t="shared" si="3"/>
        <v>0.10075601374570464</v>
      </c>
    </row>
    <row r="128" ht="15" customHeight="1">
      <c r="B128" s="21" t="s">
        <v>130</v>
      </c>
      <c r="C128" s="40">
        <f>C126/Inputs!G141-1</f>
        <v>-0.1316312997347482</v>
      </c>
      <c r="D128" s="22">
        <f t="shared" si="29"/>
        <v>0.1557846506300118</v>
      </c>
      <c r="E128" s="22"/>
      <c r="F128" s="22">
        <f t="shared" si="31"/>
        <v>0.042616451932606436</v>
      </c>
      <c r="G128" s="22">
        <f t="shared" si="29"/>
        <v>0.026615969581748944</v>
      </c>
      <c r="H128" s="41">
        <f t="shared" si="29"/>
        <v>-0.11022222222222222</v>
      </c>
    </row>
    <row r="129" ht="15" customHeight="1">
      <c r="B129" s="21" t="s">
        <v>131</v>
      </c>
      <c r="C129" s="22">
        <f t="shared" si="32" ref="C129:H129">C126/C266</f>
        <v>0.17033038501560874</v>
      </c>
      <c r="D129" s="22">
        <f t="shared" si="32"/>
        <v>0.18359919936920002</v>
      </c>
      <c r="E129" s="22">
        <f t="shared" si="32"/>
        <v>0.17949268472226482</v>
      </c>
      <c r="F129" s="22">
        <f t="shared" si="32"/>
        <v>0.1678634115206638</v>
      </c>
      <c r="G129" s="22">
        <f t="shared" si="32"/>
        <v>0.18989567459852305</v>
      </c>
      <c r="H129" s="41">
        <f t="shared" si="32"/>
        <v>0.16736241413859765</v>
      </c>
    </row>
    <row r="130" ht="15" customHeight="1">
      <c r="B130" s="21" t="s">
        <v>132</v>
      </c>
      <c r="C130" s="40">
        <f>C126/Inputs!C141-1</f>
        <v>-0.10246744345442094</v>
      </c>
      <c r="D130" s="40">
        <f>D126/Inputs!D141-1</f>
        <v>0.1328592814371261</v>
      </c>
      <c r="E130" s="40">
        <f>E126/Inputs!E141-1</f>
        <v>0.06856568976536126</v>
      </c>
      <c r="F130" s="40">
        <f>F126/Inputs!F141-1</f>
        <v>0.03747534516765305</v>
      </c>
      <c r="G130" s="40">
        <f>G126/Inputs!G141-1</f>
        <v>0.07427055702917773</v>
      </c>
      <c r="H130" s="41">
        <f t="shared" si="33"/>
        <v>0.10075601374570464</v>
      </c>
    </row>
    <row r="131" ht="15" customHeight="1">
      <c r="B131" s="53" t="s">
        <v>133</v>
      </c>
      <c r="C131" s="51" t="s">
        <v>91</v>
      </c>
      <c r="D131" s="51" t="s">
        <v>91</v>
      </c>
      <c r="E131" s="51" t="s">
        <v>91</v>
      </c>
      <c r="F131" s="51" t="s">
        <v>91</v>
      </c>
      <c r="G131" s="51" t="s">
        <v>91</v>
      </c>
      <c r="H131" s="61" t="s">
        <v>91</v>
      </c>
      <c r="I131" s="15" t="s">
        <v>134</v>
      </c>
    </row>
    <row r="132" ht="15" customHeight="1">
      <c r="B132" s="53" t="s">
        <v>135</v>
      </c>
      <c r="C132" s="51" t="s">
        <v>91</v>
      </c>
      <c r="D132" s="51" t="s">
        <v>91</v>
      </c>
      <c r="E132" s="51" t="s">
        <v>91</v>
      </c>
      <c r="F132" s="51" t="s">
        <v>91</v>
      </c>
      <c r="G132" s="51" t="s">
        <v>91</v>
      </c>
      <c r="H132" s="61" t="s">
        <v>91</v>
      </c>
      <c r="I132" s="15" t="s">
        <v>136</v>
      </c>
    </row>
    <row r="133" ht="15" customHeight="1">
      <c r="B133" s="53" t="s">
        <v>137</v>
      </c>
      <c r="C133" s="51" t="s">
        <v>91</v>
      </c>
      <c r="D133" s="51" t="s">
        <v>91</v>
      </c>
      <c r="E133" s="51" t="s">
        <v>91</v>
      </c>
      <c r="F133" s="51" t="s">
        <v>91</v>
      </c>
      <c r="G133" s="51" t="s">
        <v>91</v>
      </c>
      <c r="H133" s="61" t="s">
        <v>91</v>
      </c>
      <c r="I133" s="15" t="s">
        <v>138</v>
      </c>
    </row>
    <row r="134" ht="15" customHeight="1">
      <c r="B134" s="44" t="s">
        <v>140</v>
      </c>
      <c r="C134" s="55">
        <v>44.9</v>
      </c>
      <c r="D134" s="19">
        <f>E134-Inputs!F142-Inputs!G142-C134</f>
        <v>46.29999999999999</v>
      </c>
      <c r="E134" s="55">
        <v>197</v>
      </c>
      <c r="F134" s="55">
        <v>56.8</v>
      </c>
      <c r="G134" s="55">
        <v>49.8</v>
      </c>
      <c r="H134" s="54">
        <f>H85*H88/100</f>
        <v>52.79872</v>
      </c>
    </row>
    <row r="135" ht="15" customHeight="1">
      <c r="B135" s="21" t="s">
        <v>129</v>
      </c>
      <c r="C135" s="40">
        <f>C134/Inputs!C142-1</f>
        <v>-0.1348747591522158</v>
      </c>
      <c r="D135" s="40">
        <f>D134/Inputs!D142-1</f>
        <v>-0.0414078674948245</v>
      </c>
      <c r="E135" s="40">
        <f>E134/Inputs!E142-1</f>
        <v>-0.007556675062972307</v>
      </c>
      <c r="F135" s="40">
        <f>F134/Inputs!F142-1</f>
        <v>0.06367041198501866</v>
      </c>
      <c r="G135" s="40">
        <f>G134/Inputs!G142-1</f>
        <v>-0.04961832061068705</v>
      </c>
      <c r="H135" s="41">
        <f t="shared" si="3"/>
        <v>0.17591804008908696</v>
      </c>
    </row>
    <row r="136" ht="15" customHeight="1">
      <c r="B136" s="21" t="s">
        <v>130</v>
      </c>
      <c r="C136" s="40">
        <f>C134/Inputs!G142-1</f>
        <v>-0.14312977099236646</v>
      </c>
      <c r="D136" s="22">
        <f t="shared" si="29"/>
        <v>0.031180400890868487</v>
      </c>
      <c r="E136" s="22"/>
      <c r="F136" s="22">
        <f t="shared" si="31"/>
        <v>0.226781857451404</v>
      </c>
      <c r="G136" s="22">
        <f t="shared" si="29"/>
        <v>-0.12323943661971837</v>
      </c>
      <c r="H136" s="41">
        <f t="shared" si="29"/>
        <v>0.06021526104417685</v>
      </c>
    </row>
    <row r="137" ht="15" customHeight="1">
      <c r="B137" s="21" t="s">
        <v>131</v>
      </c>
      <c r="C137" s="22">
        <f t="shared" si="34" ref="C137:H137">C134/C266</f>
        <v>0.029201352757544225</v>
      </c>
      <c r="D137" s="22">
        <f t="shared" si="34"/>
        <v>0.028082731849335837</v>
      </c>
      <c r="E137" s="22">
        <f t="shared" si="34"/>
        <v>0.03021194368616385</v>
      </c>
      <c r="F137" s="22">
        <f t="shared" si="34"/>
        <v>0.03021115898090527</v>
      </c>
      <c r="G137" s="22">
        <f t="shared" si="34"/>
        <v>0.02918766850310632</v>
      </c>
      <c r="H137" s="41">
        <f t="shared" si="34"/>
        <v>0.030651713712079094</v>
      </c>
    </row>
    <row r="138" ht="15" customHeight="1">
      <c r="B138" s="21" t="s">
        <v>132</v>
      </c>
      <c r="C138" s="40">
        <f>C134/Inputs!C142-1</f>
        <v>-0.1348747591522158</v>
      </c>
      <c r="D138" s="40">
        <f>D134/Inputs!D142-1</f>
        <v>-0.0414078674948245</v>
      </c>
      <c r="E138" s="40">
        <f>E134/Inputs!E142-1</f>
        <v>-0.007556675062972307</v>
      </c>
      <c r="F138" s="40">
        <f>F134/Inputs!F142-1</f>
        <v>0.06367041198501866</v>
      </c>
      <c r="G138" s="40">
        <f>G134/Inputs!G142-1</f>
        <v>-0.04961832061068705</v>
      </c>
      <c r="H138" s="41">
        <f t="shared" si="33"/>
        <v>0.17591804008908696</v>
      </c>
    </row>
    <row r="139" ht="15" customHeight="1">
      <c r="B139" s="53" t="s">
        <v>133</v>
      </c>
      <c r="C139" s="51" t="s">
        <v>91</v>
      </c>
      <c r="D139" s="51" t="s">
        <v>91</v>
      </c>
      <c r="E139" s="51" t="s">
        <v>91</v>
      </c>
      <c r="F139" s="51" t="s">
        <v>91</v>
      </c>
      <c r="G139" s="51" t="s">
        <v>91</v>
      </c>
      <c r="H139" s="61" t="s">
        <v>91</v>
      </c>
      <c r="I139" s="15" t="s">
        <v>134</v>
      </c>
    </row>
    <row r="140" ht="15" customHeight="1">
      <c r="B140" s="53" t="s">
        <v>135</v>
      </c>
      <c r="C140" s="51" t="s">
        <v>91</v>
      </c>
      <c r="D140" s="51" t="s">
        <v>91</v>
      </c>
      <c r="E140" s="51" t="s">
        <v>91</v>
      </c>
      <c r="F140" s="51" t="s">
        <v>91</v>
      </c>
      <c r="G140" s="51" t="s">
        <v>91</v>
      </c>
      <c r="H140" s="61" t="s">
        <v>91</v>
      </c>
      <c r="I140" s="15" t="s">
        <v>136</v>
      </c>
    </row>
    <row r="141" ht="15" customHeight="1">
      <c r="B141" s="53" t="s">
        <v>137</v>
      </c>
      <c r="C141" s="51" t="s">
        <v>91</v>
      </c>
      <c r="D141" s="51" t="s">
        <v>91</v>
      </c>
      <c r="E141" s="51" t="s">
        <v>91</v>
      </c>
      <c r="F141" s="51" t="s">
        <v>91</v>
      </c>
      <c r="G141" s="51" t="s">
        <v>91</v>
      </c>
      <c r="H141" s="61" t="s">
        <v>91</v>
      </c>
      <c r="I141" s="15" t="s">
        <v>138</v>
      </c>
    </row>
    <row r="142" ht="15" customHeight="1">
      <c r="B142" s="44" t="s">
        <v>141</v>
      </c>
      <c r="C142" s="55">
        <v>178.3</v>
      </c>
      <c r="D142" s="19">
        <f>E142-Inputs!F143-Inputs!G143-C142</f>
        <v>201.10000000000008</v>
      </c>
      <c r="E142" s="55">
        <v>813.2</v>
      </c>
      <c r="F142" s="55">
        <v>263.7</v>
      </c>
      <c r="G142" s="55">
        <v>187</v>
      </c>
      <c r="H142" s="54">
        <f>H91*H94/100</f>
        <v>203.90400000000002</v>
      </c>
    </row>
    <row r="143" ht="15" customHeight="1">
      <c r="B143" s="21" t="s">
        <v>129</v>
      </c>
      <c r="C143" s="40">
        <f>C142/Inputs!C143-1</f>
        <v>-0.12981942410932157</v>
      </c>
      <c r="D143" s="40">
        <f>D142/Inputs!D143-1</f>
        <v>0.008020050125313594</v>
      </c>
      <c r="E143" s="40">
        <f>E142/Inputs!E143-1</f>
        <v>0.015865084322298717</v>
      </c>
      <c r="F143" s="40">
        <f>F142/Inputs!F143-1</f>
        <v>0.21857670979667265</v>
      </c>
      <c r="G143" s="40">
        <f>G142/Inputs!G143-1</f>
        <v>-0.13983440662373503</v>
      </c>
      <c r="H143" s="41">
        <f t="shared" si="3"/>
        <v>0.14360067302299506</v>
      </c>
    </row>
    <row r="144" ht="15" customHeight="1">
      <c r="B144" s="21" t="s">
        <v>130</v>
      </c>
      <c r="C144" s="40">
        <f>C142/Inputs!G143-1</f>
        <v>-0.17985280588776442</v>
      </c>
      <c r="D144" s="22">
        <f t="shared" si="29"/>
        <v>0.12787436904094251</v>
      </c>
      <c r="E144" s="22"/>
      <c r="F144" s="22">
        <f t="shared" si="31"/>
        <v>0.3112879164594724</v>
      </c>
      <c r="G144" s="22">
        <f t="shared" si="29"/>
        <v>-0.2908608266970042</v>
      </c>
      <c r="H144" s="41">
        <f t="shared" si="29"/>
        <v>0.0903957219251339</v>
      </c>
    </row>
    <row r="145" ht="15" customHeight="1">
      <c r="B145" s="21" t="s">
        <v>131</v>
      </c>
      <c r="C145" s="22">
        <f t="shared" si="35" ref="C145:H145">C142/C266</f>
        <v>0.11595993756503643</v>
      </c>
      <c r="D145" s="22">
        <f t="shared" si="35"/>
        <v>0.12197488930672658</v>
      </c>
      <c r="E145" s="22">
        <f t="shared" si="35"/>
        <v>0.12471244977456063</v>
      </c>
      <c r="F145" s="22">
        <f t="shared" si="35"/>
        <v>0.14025849688846337</v>
      </c>
      <c r="G145" s="22">
        <f t="shared" si="35"/>
        <v>0.10960028132692534</v>
      </c>
      <c r="H145" s="41">
        <f t="shared" si="35"/>
        <v>0.11837421499513201</v>
      </c>
    </row>
    <row r="146" ht="15" customHeight="1">
      <c r="B146" s="21" t="s">
        <v>132</v>
      </c>
      <c r="C146" s="40">
        <f>C142/Inputs!C143-1</f>
        <v>-0.12981942410932157</v>
      </c>
      <c r="D146" s="40">
        <f>D142/Inputs!D143-1</f>
        <v>0.008020050125313594</v>
      </c>
      <c r="E146" s="40">
        <f>E142/Inputs!E143-1</f>
        <v>0.015865084322298717</v>
      </c>
      <c r="F146" s="40">
        <f>F142/Inputs!F143-1</f>
        <v>0.21857670979667265</v>
      </c>
      <c r="G146" s="40">
        <f>G142/Inputs!G143-1</f>
        <v>-0.13983440662373503</v>
      </c>
      <c r="H146" s="41">
        <f t="shared" si="33"/>
        <v>0.14360067302299506</v>
      </c>
    </row>
    <row r="147" ht="15" customHeight="1">
      <c r="B147" s="53" t="s">
        <v>133</v>
      </c>
      <c r="C147" s="51" t="s">
        <v>91</v>
      </c>
      <c r="D147" s="51" t="s">
        <v>91</v>
      </c>
      <c r="E147" s="51" t="s">
        <v>91</v>
      </c>
      <c r="F147" s="51" t="s">
        <v>91</v>
      </c>
      <c r="G147" s="51" t="s">
        <v>91</v>
      </c>
      <c r="H147" s="61" t="s">
        <v>91</v>
      </c>
      <c r="I147" s="15" t="s">
        <v>134</v>
      </c>
    </row>
    <row r="148" ht="15" customHeight="1">
      <c r="B148" s="53" t="s">
        <v>135</v>
      </c>
      <c r="C148" s="51" t="s">
        <v>91</v>
      </c>
      <c r="D148" s="51" t="s">
        <v>91</v>
      </c>
      <c r="E148" s="51" t="s">
        <v>91</v>
      </c>
      <c r="F148" s="51" t="s">
        <v>91</v>
      </c>
      <c r="G148" s="51" t="s">
        <v>91</v>
      </c>
      <c r="H148" s="61" t="s">
        <v>91</v>
      </c>
      <c r="I148" s="15" t="s">
        <v>136</v>
      </c>
    </row>
    <row r="149" ht="15" customHeight="1">
      <c r="B149" s="53" t="s">
        <v>137</v>
      </c>
      <c r="C149" s="51" t="s">
        <v>91</v>
      </c>
      <c r="D149" s="51" t="s">
        <v>91</v>
      </c>
      <c r="E149" s="51" t="s">
        <v>91</v>
      </c>
      <c r="F149" s="51" t="s">
        <v>91</v>
      </c>
      <c r="G149" s="51" t="s">
        <v>91</v>
      </c>
      <c r="H149" s="61" t="s">
        <v>91</v>
      </c>
      <c r="I149" s="15" t="s">
        <v>138</v>
      </c>
    </row>
    <row r="150" ht="15" customHeight="1">
      <c r="B150" s="44" t="s">
        <v>142</v>
      </c>
      <c r="C150" s="55">
        <v>155.9</v>
      </c>
      <c r="D150" s="19">
        <f>E150-Inputs!F144-Inputs!G144-C150</f>
        <v>163.20000000000002</v>
      </c>
      <c r="E150" s="55">
        <v>658.1</v>
      </c>
      <c r="F150" s="55">
        <v>167.5</v>
      </c>
      <c r="G150" s="55">
        <v>183.8</v>
      </c>
      <c r="H150" s="54">
        <f>H97*H100/100</f>
        <v>181.12</v>
      </c>
    </row>
    <row r="151" ht="15" customHeight="1">
      <c r="B151" s="21" t="s">
        <v>129</v>
      </c>
      <c r="C151" s="40">
        <f>C150/Inputs!C144-1</f>
        <v>0.1207764198418404</v>
      </c>
      <c r="D151" s="40">
        <f>D150/Inputs!D144-1</f>
        <v>0.06946264744429875</v>
      </c>
      <c r="E151" s="40">
        <f>E150/Inputs!E144-1</f>
        <v>0.12476499743633562</v>
      </c>
      <c r="F151" s="40">
        <f>F150/Inputs!F144-1</f>
        <v>0.019476567255021227</v>
      </c>
      <c r="G151" s="40">
        <f>G150/Inputs!G144-1</f>
        <v>0.05208929593589029</v>
      </c>
      <c r="H151" s="41">
        <f t="shared" si="3"/>
        <v>0.1617703656189866</v>
      </c>
    </row>
    <row r="152" ht="15" customHeight="1">
      <c r="B152" s="21" t="s">
        <v>130</v>
      </c>
      <c r="C152" s="40">
        <f>C150/Inputs!G144-1</f>
        <v>-0.10761305094447615</v>
      </c>
      <c r="D152" s="22">
        <f t="shared" si="29"/>
        <v>0.046824887748556865</v>
      </c>
      <c r="E152" s="22"/>
      <c r="F152" s="22">
        <f t="shared" si="31"/>
        <v>0.02634803921568607</v>
      </c>
      <c r="G152" s="22">
        <f t="shared" si="29"/>
        <v>0.09731343283582095</v>
      </c>
      <c r="H152" s="41">
        <f t="shared" si="29"/>
        <v>-0.014581066376496254</v>
      </c>
    </row>
    <row r="153" ht="15" customHeight="1">
      <c r="B153" s="21" t="s">
        <v>131</v>
      </c>
      <c r="C153" s="22">
        <f t="shared" si="36" ref="C153:H153">C150/C266</f>
        <v>0.10139177939646203</v>
      </c>
      <c r="D153" s="22">
        <f t="shared" si="36"/>
        <v>0.09898708073027236</v>
      </c>
      <c r="E153" s="22">
        <f t="shared" si="36"/>
        <v>0.10092629512621537</v>
      </c>
      <c r="F153" s="22">
        <f t="shared" si="36"/>
        <v>0.08909100579756395</v>
      </c>
      <c r="G153" s="22">
        <f t="shared" si="36"/>
        <v>0.10772476849138438</v>
      </c>
      <c r="H153" s="41">
        <f t="shared" si="36"/>
        <v>0.10514721545393081</v>
      </c>
    </row>
    <row r="154" ht="15" customHeight="1">
      <c r="B154" s="21" t="s">
        <v>132</v>
      </c>
      <c r="C154" s="40">
        <f>C150/Inputs!C144-1</f>
        <v>0.1207764198418404</v>
      </c>
      <c r="D154" s="40">
        <f>D150/Inputs!D144-1</f>
        <v>0.06946264744429875</v>
      </c>
      <c r="E154" s="40">
        <f>E150/Inputs!E144-1</f>
        <v>0.12476499743633562</v>
      </c>
      <c r="F154" s="40">
        <f>F150/Inputs!F144-1</f>
        <v>0.019476567255021227</v>
      </c>
      <c r="G154" s="40">
        <f>G150/Inputs!G144-1</f>
        <v>0.05208929593589029</v>
      </c>
      <c r="H154" s="41">
        <f t="shared" si="33"/>
        <v>0.1617703656189866</v>
      </c>
    </row>
    <row r="155" ht="15" customHeight="1">
      <c r="B155" s="53" t="s">
        <v>133</v>
      </c>
      <c r="C155" s="51" t="s">
        <v>91</v>
      </c>
      <c r="D155" s="51" t="s">
        <v>91</v>
      </c>
      <c r="E155" s="51" t="s">
        <v>91</v>
      </c>
      <c r="F155" s="51" t="s">
        <v>91</v>
      </c>
      <c r="G155" s="51" t="s">
        <v>91</v>
      </c>
      <c r="H155" s="61" t="s">
        <v>91</v>
      </c>
      <c r="I155" s="15" t="s">
        <v>134</v>
      </c>
    </row>
    <row r="156" ht="15" customHeight="1">
      <c r="B156" s="53" t="s">
        <v>135</v>
      </c>
      <c r="C156" s="51" t="s">
        <v>91</v>
      </c>
      <c r="D156" s="51" t="s">
        <v>91</v>
      </c>
      <c r="E156" s="51" t="s">
        <v>91</v>
      </c>
      <c r="F156" s="51" t="s">
        <v>91</v>
      </c>
      <c r="G156" s="51" t="s">
        <v>91</v>
      </c>
      <c r="H156" s="61" t="s">
        <v>91</v>
      </c>
      <c r="I156" s="15" t="s">
        <v>136</v>
      </c>
    </row>
    <row r="157" ht="15" customHeight="1">
      <c r="B157" s="53" t="s">
        <v>137</v>
      </c>
      <c r="C157" s="51" t="s">
        <v>91</v>
      </c>
      <c r="D157" s="51" t="s">
        <v>91</v>
      </c>
      <c r="E157" s="51" t="s">
        <v>91</v>
      </c>
      <c r="F157" s="51" t="s">
        <v>91</v>
      </c>
      <c r="G157" s="51" t="s">
        <v>91</v>
      </c>
      <c r="H157" s="61" t="s">
        <v>91</v>
      </c>
      <c r="I157" s="15" t="s">
        <v>138</v>
      </c>
    </row>
    <row r="158" ht="15" customHeight="1">
      <c r="B158" s="44" t="s">
        <v>143</v>
      </c>
      <c r="C158" s="55">
        <v>79.4</v>
      </c>
      <c r="D158" s="19">
        <f>E158-Inputs!F145-Inputs!G145-C158</f>
        <v>119.29999999999995</v>
      </c>
      <c r="E158" s="55">
        <v>354.7</v>
      </c>
      <c r="F158" s="55">
        <v>118.4</v>
      </c>
      <c r="G158" s="55">
        <v>76.7</v>
      </c>
      <c r="H158" s="54">
        <f>H103*H106/100</f>
        <v>78.09120000000001</v>
      </c>
    </row>
    <row r="159" ht="15" customHeight="1">
      <c r="B159" s="21" t="s">
        <v>129</v>
      </c>
      <c r="C159" s="40">
        <f>C158/Inputs!C145-1</f>
        <v>0.10584958217270213</v>
      </c>
      <c r="D159" s="40">
        <f>D158/Inputs!D145-1</f>
        <v>0.8103186646433982</v>
      </c>
      <c r="E159" s="40">
        <f>E158/Inputs!E145-1</f>
        <v>0.24762574744987687</v>
      </c>
      <c r="F159" s="40">
        <f>F158/Inputs!F145-1</f>
        <v>0.6699576868829336</v>
      </c>
      <c r="G159" s="40">
        <f>G158/Inputs!G145-1</f>
        <v>-0.09870740305522907</v>
      </c>
      <c r="H159" s="41">
        <f t="shared" si="3"/>
        <v>-0.01648362720403007</v>
      </c>
    </row>
    <row r="160" ht="15" customHeight="1">
      <c r="B160" s="21" t="s">
        <v>130</v>
      </c>
      <c r="C160" s="40">
        <f>C158/Inputs!G145-1</f>
        <v>-0.06698002350176246</v>
      </c>
      <c r="D160" s="22">
        <f t="shared" si="29"/>
        <v>0.5025188916876568</v>
      </c>
      <c r="E160" s="22"/>
      <c r="F160" s="22">
        <f t="shared" si="31"/>
        <v>-0.007544006705783257</v>
      </c>
      <c r="G160" s="22">
        <f t="shared" si="29"/>
        <v>-0.35219594594594594</v>
      </c>
      <c r="H160" s="41">
        <f t="shared" si="29"/>
        <v>0.0181382007822688</v>
      </c>
    </row>
    <row r="161" ht="15" customHeight="1">
      <c r="B161" s="21" t="s">
        <v>131</v>
      </c>
      <c r="C161" s="22">
        <f t="shared" si="37" ref="C161:H161">C158/C266</f>
        <v>0.05163891779396463</v>
      </c>
      <c r="D161" s="22">
        <f t="shared" si="37"/>
        <v>0.07236004124461695</v>
      </c>
      <c r="E161" s="22">
        <f t="shared" si="37"/>
        <v>0.05439683464711836</v>
      </c>
      <c r="F161" s="22">
        <f t="shared" si="37"/>
        <v>0.06297537365033774</v>
      </c>
      <c r="G161" s="22">
        <f t="shared" si="37"/>
        <v>0.04495369827687259</v>
      </c>
      <c r="H161" s="41">
        <f t="shared" si="37"/>
        <v>0.045334983610070684</v>
      </c>
    </row>
    <row r="162" ht="15" customHeight="1">
      <c r="B162" s="21" t="s">
        <v>132</v>
      </c>
      <c r="C162" s="40">
        <f>C158/Inputs!C145-1</f>
        <v>0.10584958217270213</v>
      </c>
      <c r="D162" s="40">
        <f>D158/Inputs!D145-1</f>
        <v>0.8103186646433982</v>
      </c>
      <c r="E162" s="40">
        <f>E158/Inputs!E145-1</f>
        <v>0.24762574744987687</v>
      </c>
      <c r="F162" s="40">
        <f>F158/Inputs!F145-1</f>
        <v>0.6699576868829336</v>
      </c>
      <c r="G162" s="40">
        <f>G158/Inputs!G145-1</f>
        <v>-0.09870740305522907</v>
      </c>
      <c r="H162" s="41">
        <f t="shared" si="33"/>
        <v>-0.01648362720403007</v>
      </c>
    </row>
    <row r="163" ht="15" customHeight="1">
      <c r="B163" s="53" t="s">
        <v>133</v>
      </c>
      <c r="C163" s="51" t="s">
        <v>91</v>
      </c>
      <c r="D163" s="51" t="s">
        <v>91</v>
      </c>
      <c r="E163" s="51" t="s">
        <v>91</v>
      </c>
      <c r="F163" s="51" t="s">
        <v>91</v>
      </c>
      <c r="G163" s="51" t="s">
        <v>91</v>
      </c>
      <c r="H163" s="61" t="s">
        <v>91</v>
      </c>
      <c r="I163" s="15" t="s">
        <v>134</v>
      </c>
    </row>
    <row r="164" ht="15" customHeight="1">
      <c r="B164" s="53" t="s">
        <v>135</v>
      </c>
      <c r="C164" s="51" t="s">
        <v>91</v>
      </c>
      <c r="D164" s="51" t="s">
        <v>91</v>
      </c>
      <c r="E164" s="51" t="s">
        <v>91</v>
      </c>
      <c r="F164" s="51" t="s">
        <v>91</v>
      </c>
      <c r="G164" s="51" t="s">
        <v>91</v>
      </c>
      <c r="H164" s="61" t="s">
        <v>91</v>
      </c>
      <c r="I164" s="15" t="s">
        <v>136</v>
      </c>
    </row>
    <row r="165" ht="15" customHeight="1">
      <c r="B165" s="53" t="s">
        <v>137</v>
      </c>
      <c r="C165" s="51" t="s">
        <v>91</v>
      </c>
      <c r="D165" s="51" t="s">
        <v>91</v>
      </c>
      <c r="E165" s="51" t="s">
        <v>91</v>
      </c>
      <c r="F165" s="51" t="s">
        <v>91</v>
      </c>
      <c r="G165" s="51" t="s">
        <v>91</v>
      </c>
      <c r="H165" s="61" t="s">
        <v>91</v>
      </c>
      <c r="I165" s="15" t="s">
        <v>138</v>
      </c>
    </row>
    <row r="166" ht="15" customHeight="1">
      <c r="B166" s="17" t="s">
        <v>144</v>
      </c>
      <c r="C166" s="57">
        <f t="shared" si="38" ref="C166:H166">SUM(C118,C126,C134,C142,C150,C158)</f>
        <v>1137.6</v>
      </c>
      <c r="D166" s="57">
        <f t="shared" si="38"/>
        <v>1237.1</v>
      </c>
      <c r="E166" s="57">
        <f t="shared" si="38"/>
        <v>4913</v>
      </c>
      <c r="F166" s="57">
        <f t="shared" si="38"/>
        <v>1443.2</v>
      </c>
      <c r="G166" s="57">
        <f t="shared" si="38"/>
        <v>1254.3</v>
      </c>
      <c r="H166" s="58">
        <f t="shared" si="38"/>
        <v>1271.93952</v>
      </c>
    </row>
    <row r="167" ht="15" customHeight="1">
      <c r="B167" s="21" t="s">
        <v>129</v>
      </c>
      <c r="C167" s="40">
        <f>C166/Inputs!C151-1</f>
        <v>-0.056168588733095715</v>
      </c>
      <c r="D167" s="40">
        <f>D166/Inputs!D151-1</f>
        <v>0.08138111888111887</v>
      </c>
      <c r="E167" s="40">
        <f>E166/Inputs!E151-1</f>
        <v>0.06266086994138398</v>
      </c>
      <c r="F167" s="40">
        <f>F166/Inputs!F151-1</f>
        <v>0.15873143315937388</v>
      </c>
      <c r="G167" s="40">
        <f>G166/Inputs!G151-1</f>
        <v>-0.029780321782178376</v>
      </c>
      <c r="H167" s="41">
        <f t="shared" si="3"/>
        <v>0.11809029535864979</v>
      </c>
    </row>
    <row r="168" ht="15" customHeight="1">
      <c r="B168" s="21" t="s">
        <v>130</v>
      </c>
      <c r="C168" s="40">
        <f>C166/Inputs!G151-1</f>
        <v>-0.12004950495049527</v>
      </c>
      <c r="D168" s="22">
        <f t="shared" si="29"/>
        <v>0.0874648382559775</v>
      </c>
      <c r="E168" s="22"/>
      <c r="F168" s="22">
        <f t="shared" si="31"/>
        <v>0.16659930482580232</v>
      </c>
      <c r="G168" s="22">
        <f t="shared" si="29"/>
        <v>-0.13088968957871405</v>
      </c>
      <c r="H168" s="41">
        <f t="shared" si="29"/>
        <v>0.01406323845969859</v>
      </c>
    </row>
    <row r="169" ht="15" customHeight="1">
      <c r="B169" s="21" t="s">
        <v>131</v>
      </c>
      <c r="C169" s="22">
        <f t="shared" si="39" ref="C169:H169">C166/C266</f>
        <v>0.7398543184183143</v>
      </c>
      <c r="D169" s="22">
        <f t="shared" si="39"/>
        <v>0.7503487596287984</v>
      </c>
      <c r="E169" s="22">
        <f t="shared" si="39"/>
        <v>0.7534582707112842</v>
      </c>
      <c r="F169" s="22">
        <f t="shared" si="39"/>
        <v>0.7676187436838465</v>
      </c>
      <c r="G169" s="22">
        <f t="shared" si="39"/>
        <v>0.7351424217559489</v>
      </c>
      <c r="H169" s="41">
        <f t="shared" si="39"/>
        <v>0.7384104392326044</v>
      </c>
    </row>
    <row r="170" ht="15" customHeight="1">
      <c r="B170" s="21" t="s">
        <v>132</v>
      </c>
      <c r="C170" s="40">
        <f>C166/Inputs!C151-1</f>
        <v>-0.056168588733095715</v>
      </c>
      <c r="D170" s="40">
        <f>D166/Inputs!D151-1</f>
        <v>0.08138111888111887</v>
      </c>
      <c r="E170" s="40">
        <f>E166/Inputs!E151-1</f>
        <v>0.06266086994138398</v>
      </c>
      <c r="F170" s="40">
        <f>F166/Inputs!F151-1</f>
        <v>0.15873143315937388</v>
      </c>
      <c r="G170" s="40">
        <f>G166/Inputs!G151-1</f>
        <v>-0.029780321782178376</v>
      </c>
      <c r="H170" s="41">
        <f t="shared" si="33"/>
        <v>0.11809029535864979</v>
      </c>
    </row>
    <row r="171" ht="15" customHeight="1">
      <c r="B171" s="53" t="s">
        <v>133</v>
      </c>
      <c r="C171" s="51" t="s">
        <v>91</v>
      </c>
      <c r="D171" s="51" t="s">
        <v>91</v>
      </c>
      <c r="E171" s="51" t="s">
        <v>91</v>
      </c>
      <c r="F171" s="51" t="s">
        <v>91</v>
      </c>
      <c r="G171" s="51" t="s">
        <v>91</v>
      </c>
      <c r="H171" s="61" t="s">
        <v>91</v>
      </c>
      <c r="I171" s="15" t="s">
        <v>134</v>
      </c>
    </row>
    <row r="172" ht="15" customHeight="1">
      <c r="B172" s="53" t="s">
        <v>135</v>
      </c>
      <c r="C172" s="51" t="s">
        <v>91</v>
      </c>
      <c r="D172" s="51" t="s">
        <v>91</v>
      </c>
      <c r="E172" s="51" t="s">
        <v>91</v>
      </c>
      <c r="F172" s="51" t="s">
        <v>91</v>
      </c>
      <c r="G172" s="51" t="s">
        <v>91</v>
      </c>
      <c r="H172" s="61" t="s">
        <v>91</v>
      </c>
      <c r="I172" s="15" t="s">
        <v>136</v>
      </c>
    </row>
    <row r="173" ht="15" customHeight="1">
      <c r="B173" s="53" t="s">
        <v>137</v>
      </c>
      <c r="C173" s="51" t="s">
        <v>91</v>
      </c>
      <c r="D173" s="51" t="s">
        <v>91</v>
      </c>
      <c r="E173" s="51" t="s">
        <v>91</v>
      </c>
      <c r="F173" s="51" t="s">
        <v>91</v>
      </c>
      <c r="G173" s="51" t="s">
        <v>91</v>
      </c>
      <c r="H173" s="61" t="s">
        <v>91</v>
      </c>
      <c r="I173" s="15" t="s">
        <v>138</v>
      </c>
    </row>
    <row r="175" ht="15" customHeight="1">
      <c r="B175" s="17" t="s">
        <v>145</v>
      </c>
      <c r="I175" s="33" t="s">
        <v>146</v>
      </c>
    </row>
    <row r="176" ht="15" customHeight="1">
      <c r="B176" s="44" t="s">
        <v>147</v>
      </c>
      <c r="C176" s="55">
        <v>379.4</v>
      </c>
      <c r="D176" s="16" t="s">
        <v>91</v>
      </c>
      <c r="E176" s="16" t="s">
        <v>91</v>
      </c>
      <c r="F176" s="55">
        <v>393.2</v>
      </c>
      <c r="G176" s="55">
        <v>397.3</v>
      </c>
      <c r="H176" s="49" t="s">
        <v>91</v>
      </c>
    </row>
    <row r="177" ht="15" customHeight="1">
      <c r="B177" s="21" t="s">
        <v>71</v>
      </c>
      <c r="C177" s="40">
        <f>C176/Inputs!C175-1</f>
        <v>0.27658142664872143</v>
      </c>
      <c r="D177" s="22"/>
      <c r="E177" s="22"/>
      <c r="F177" s="40">
        <f>F176/Inputs!F175-1</f>
        <v>0.1861236802413273</v>
      </c>
      <c r="G177" s="40">
        <f>G176/Inputs!G175-1</f>
        <v>0.09479195370625537</v>
      </c>
      <c r="H177" s="41"/>
    </row>
    <row r="178" ht="15" customHeight="1">
      <c r="B178" s="37" t="s">
        <v>148</v>
      </c>
      <c r="C178" s="20"/>
      <c r="D178" s="20"/>
      <c r="E178" s="20"/>
      <c r="F178" s="20"/>
      <c r="G178" s="20">
        <f t="shared" si="20"/>
        <v>4.100000000000023</v>
      </c>
      <c r="H178" s="54"/>
    </row>
    <row r="179" ht="15" customHeight="1">
      <c r="B179" s="44" t="s">
        <v>149</v>
      </c>
      <c r="C179" s="55">
        <v>292.1</v>
      </c>
      <c r="D179" s="16" t="s">
        <v>91</v>
      </c>
      <c r="E179" s="16" t="s">
        <v>91</v>
      </c>
      <c r="F179" s="55">
        <v>368.2</v>
      </c>
      <c r="G179" s="55">
        <v>364</v>
      </c>
      <c r="H179" s="49" t="s">
        <v>91</v>
      </c>
    </row>
    <row r="180" ht="15" customHeight="1">
      <c r="B180" s="21" t="s">
        <v>71</v>
      </c>
      <c r="C180" s="40">
        <f>C179/Inputs!C176-1</f>
        <v>0.021685904162294767</v>
      </c>
      <c r="D180" s="22"/>
      <c r="E180" s="22"/>
      <c r="F180" s="40">
        <f>F179/Inputs!F176-1</f>
        <v>0.13014119091467147</v>
      </c>
      <c r="G180" s="40">
        <f>G179/Inputs!G176-1</f>
        <v>0.17079446767449347</v>
      </c>
      <c r="H180" s="41"/>
    </row>
    <row r="181" ht="15" customHeight="1">
      <c r="B181" s="37" t="s">
        <v>150</v>
      </c>
      <c r="C181" s="20"/>
      <c r="D181" s="20"/>
      <c r="E181" s="20"/>
      <c r="F181" s="20"/>
      <c r="G181" s="20">
        <f t="shared" si="20"/>
        <v>-4.199999999999989</v>
      </c>
      <c r="H181" s="54"/>
    </row>
    <row r="182" ht="15" customHeight="1">
      <c r="B182" s="44" t="s">
        <v>151</v>
      </c>
      <c r="C182" s="55">
        <v>83.8</v>
      </c>
      <c r="D182" s="16" t="s">
        <v>91</v>
      </c>
      <c r="E182" s="16" t="s">
        <v>91</v>
      </c>
      <c r="F182" s="55">
        <v>107.9</v>
      </c>
      <c r="G182" s="55">
        <v>91.4</v>
      </c>
      <c r="H182" s="49" t="s">
        <v>91</v>
      </c>
    </row>
    <row r="183" ht="15" customHeight="1">
      <c r="B183" s="21" t="s">
        <v>71</v>
      </c>
      <c r="C183" s="40">
        <f>C182/Inputs!C177-1</f>
        <v>-0.23330283623055814</v>
      </c>
      <c r="D183" s="22"/>
      <c r="E183" s="22"/>
      <c r="F183" s="40">
        <f>F182/Inputs!F177-1</f>
        <v>-0.0340196956132498</v>
      </c>
      <c r="G183" s="40">
        <f>G182/Inputs!G177-1</f>
        <v>-0.19894829097283073</v>
      </c>
      <c r="H183" s="41"/>
    </row>
    <row r="184" ht="15" customHeight="1">
      <c r="B184" s="37" t="s">
        <v>148</v>
      </c>
      <c r="C184" s="20"/>
      <c r="D184" s="20"/>
      <c r="E184" s="20"/>
      <c r="F184" s="20"/>
      <c r="G184" s="20">
        <f t="shared" si="20"/>
        <v>-16.5</v>
      </c>
      <c r="H184" s="54"/>
    </row>
    <row r="185" ht="15" customHeight="1">
      <c r="B185" s="45" t="s">
        <v>152</v>
      </c>
      <c r="C185" s="22"/>
      <c r="D185" s="22"/>
      <c r="E185" s="22"/>
      <c r="F185" s="22"/>
      <c r="G185" s="22"/>
      <c r="H185" s="52">
        <v>0</v>
      </c>
      <c r="I185" s="15" t="s">
        <v>153</v>
      </c>
    </row>
    <row r="186" ht="15" customHeight="1">
      <c r="B186" s="44" t="s">
        <v>154</v>
      </c>
      <c r="C186" s="55">
        <v>39.3</v>
      </c>
      <c r="D186" s="19">
        <f>E186-Inputs!F146-Inputs!G146-C186</f>
        <v>38.8</v>
      </c>
      <c r="E186" s="55">
        <v>151.1</v>
      </c>
      <c r="F186" s="55">
        <v>40.2</v>
      </c>
      <c r="G186" s="55">
        <v>40.1</v>
      </c>
      <c r="H186" s="54">
        <f>G186*(1+H185)*H10/G10</f>
        <v>41.39354838709678</v>
      </c>
    </row>
    <row r="187" ht="15" customHeight="1">
      <c r="B187" s="21" t="s">
        <v>129</v>
      </c>
      <c r="C187" s="40">
        <f>C186/Inputs!C146-1</f>
        <v>0.18018018018018012</v>
      </c>
      <c r="D187" s="40">
        <f>D186/Inputs!D146-1</f>
        <v>0.07182320441988965</v>
      </c>
      <c r="E187" s="40">
        <f>E186/Inputs!E146-1</f>
        <v>0.04135079255685725</v>
      </c>
      <c r="F187" s="40">
        <f>F186/Inputs!F146-1</f>
        <v>0.11977715877437345</v>
      </c>
      <c r="G187" s="40">
        <f>G186/Inputs!G146-1</f>
        <v>0.08086253369272245</v>
      </c>
      <c r="H187" s="41">
        <f t="shared" si="3"/>
        <v>0.053270951325617766</v>
      </c>
    </row>
    <row r="188" ht="15" customHeight="1">
      <c r="B188" s="21" t="s">
        <v>130</v>
      </c>
      <c r="C188" s="40">
        <f>C186/Inputs!G146-1</f>
        <v>0.059299191374662996</v>
      </c>
      <c r="D188" s="22">
        <f t="shared" si="29"/>
        <v>-0.012722646310432517</v>
      </c>
      <c r="E188" s="22"/>
      <c r="F188" s="22">
        <f t="shared" si="31"/>
        <v>0.03608247422680422</v>
      </c>
      <c r="G188" s="22">
        <f t="shared" si="29"/>
        <v>-0.0024875621890547706</v>
      </c>
      <c r="H188" s="41">
        <f t="shared" si="29"/>
        <v>0.032258064516129004</v>
      </c>
    </row>
    <row r="189" ht="15" customHeight="1">
      <c r="B189" s="21" t="s">
        <v>131</v>
      </c>
      <c r="C189" s="22">
        <f t="shared" si="40" ref="C189:H189">C186/C266</f>
        <v>0.025559313215400625</v>
      </c>
      <c r="D189" s="22">
        <f t="shared" si="40"/>
        <v>0.023533693212834356</v>
      </c>
      <c r="E189" s="22">
        <f t="shared" si="40"/>
        <v>0.023172714167407904</v>
      </c>
      <c r="F189" s="22">
        <f t="shared" si="40"/>
        <v>0.02138184139141535</v>
      </c>
      <c r="G189" s="22">
        <f t="shared" si="40"/>
        <v>0.02350252022037276</v>
      </c>
      <c r="H189" s="41">
        <f t="shared" si="40"/>
        <v>0.024030567307093503</v>
      </c>
    </row>
    <row r="190" ht="15" customHeight="1">
      <c r="B190" s="21" t="s">
        <v>132</v>
      </c>
      <c r="C190" s="40">
        <f>C186/Inputs!C146-1</f>
        <v>0.18018018018018012</v>
      </c>
      <c r="D190" s="40">
        <f>D186/Inputs!D146-1</f>
        <v>0.07182320441988965</v>
      </c>
      <c r="E190" s="40">
        <f>E186/Inputs!E146-1</f>
        <v>0.04135079255685725</v>
      </c>
      <c r="F190" s="40">
        <f>F186/Inputs!F146-1</f>
        <v>0.11977715877437345</v>
      </c>
      <c r="G190" s="40">
        <f>G186/Inputs!G146-1</f>
        <v>0.08086253369272245</v>
      </c>
      <c r="H190" s="41">
        <f t="shared" si="33"/>
        <v>0.053270951325617766</v>
      </c>
    </row>
    <row r="191" ht="15" customHeight="1">
      <c r="B191" s="53" t="s">
        <v>133</v>
      </c>
      <c r="C191" s="51" t="s">
        <v>91</v>
      </c>
      <c r="D191" s="51" t="s">
        <v>91</v>
      </c>
      <c r="E191" s="51" t="s">
        <v>91</v>
      </c>
      <c r="F191" s="51" t="s">
        <v>91</v>
      </c>
      <c r="G191" s="51" t="s">
        <v>91</v>
      </c>
      <c r="H191" s="61" t="s">
        <v>91</v>
      </c>
      <c r="I191" s="15" t="s">
        <v>134</v>
      </c>
    </row>
    <row r="192" ht="15" customHeight="1">
      <c r="B192" s="53" t="s">
        <v>135</v>
      </c>
      <c r="C192" s="51" t="s">
        <v>91</v>
      </c>
      <c r="D192" s="51" t="s">
        <v>91</v>
      </c>
      <c r="E192" s="51" t="s">
        <v>91</v>
      </c>
      <c r="F192" s="51" t="s">
        <v>91</v>
      </c>
      <c r="G192" s="51" t="s">
        <v>91</v>
      </c>
      <c r="H192" s="61" t="s">
        <v>91</v>
      </c>
      <c r="I192" s="15" t="s">
        <v>136</v>
      </c>
    </row>
    <row r="193" ht="15" customHeight="1">
      <c r="B193" s="53" t="s">
        <v>137</v>
      </c>
      <c r="C193" s="51" t="s">
        <v>91</v>
      </c>
      <c r="D193" s="51" t="s">
        <v>91</v>
      </c>
      <c r="E193" s="51" t="s">
        <v>91</v>
      </c>
      <c r="F193" s="51" t="s">
        <v>91</v>
      </c>
      <c r="G193" s="51" t="s">
        <v>91</v>
      </c>
      <c r="H193" s="61" t="s">
        <v>91</v>
      </c>
      <c r="I193" s="15" t="s">
        <v>138</v>
      </c>
    </row>
    <row r="194" ht="15" customHeight="1">
      <c r="B194" s="44" t="s">
        <v>155</v>
      </c>
      <c r="C194" s="55">
        <v>56.6</v>
      </c>
      <c r="D194" s="16" t="s">
        <v>91</v>
      </c>
      <c r="E194" s="16" t="s">
        <v>91</v>
      </c>
      <c r="F194" s="55">
        <v>76.8</v>
      </c>
      <c r="G194" s="55">
        <v>67.2</v>
      </c>
      <c r="H194" s="49" t="s">
        <v>91</v>
      </c>
    </row>
    <row r="195" ht="15" customHeight="1">
      <c r="B195" s="21" t="s">
        <v>71</v>
      </c>
      <c r="C195" s="40">
        <f>C194/Inputs!C178-1</f>
        <v>-0.15522388059701486</v>
      </c>
      <c r="D195" s="22"/>
      <c r="E195" s="22"/>
      <c r="F195" s="40">
        <f>F194/Inputs!F178-1</f>
        <v>0.08321579689703795</v>
      </c>
      <c r="G195" s="40">
        <f>G194/Inputs!G178-1</f>
        <v>-0.08819538670284943</v>
      </c>
      <c r="H195" s="41"/>
    </row>
    <row r="196" ht="15" customHeight="1">
      <c r="B196" s="37" t="s">
        <v>148</v>
      </c>
      <c r="C196" s="20"/>
      <c r="D196" s="20"/>
      <c r="E196" s="20"/>
      <c r="F196" s="20"/>
      <c r="G196" s="20">
        <f t="shared" si="20"/>
        <v>-9.599999999999994</v>
      </c>
      <c r="H196" s="54"/>
    </row>
    <row r="197" ht="15" customHeight="1">
      <c r="B197" s="45" t="s">
        <v>156</v>
      </c>
      <c r="C197" s="22"/>
      <c r="D197" s="22"/>
      <c r="E197" s="22"/>
      <c r="F197" s="22"/>
      <c r="G197" s="22"/>
      <c r="H197" s="52">
        <v>-0.01</v>
      </c>
      <c r="I197" s="15" t="s">
        <v>157</v>
      </c>
    </row>
    <row r="198" ht="15" customHeight="1">
      <c r="B198" s="44" t="s">
        <v>158</v>
      </c>
      <c r="C198" s="55">
        <v>30.5</v>
      </c>
      <c r="D198" s="19">
        <f>E198-Inputs!F147-Inputs!G147-C198</f>
        <v>29.5</v>
      </c>
      <c r="E198" s="55">
        <v>132.6</v>
      </c>
      <c r="F198" s="55">
        <v>36.4</v>
      </c>
      <c r="G198" s="55">
        <v>33.8</v>
      </c>
      <c r="H198" s="54">
        <f>G198*(1+H197)*H10/G10</f>
        <v>34.54141935483871</v>
      </c>
    </row>
    <row r="199" ht="15" customHeight="1">
      <c r="B199" s="21" t="s">
        <v>129</v>
      </c>
      <c r="C199" s="40">
        <f>C198/Inputs!C147-1</f>
        <v>-0.1335227272727273</v>
      </c>
      <c r="D199" s="40">
        <f>D198/Inputs!D147-1</f>
        <v>-0.0950920245398772</v>
      </c>
      <c r="E199" s="40">
        <f>E198/Inputs!E147-1</f>
        <v>0.0075987841945288626</v>
      </c>
      <c r="F199" s="40">
        <f>F198/Inputs!F147-1</f>
        <v>0.03703703703703698</v>
      </c>
      <c r="G199" s="40">
        <f>G198/Inputs!G147-1</f>
        <v>-0.09866666666666679</v>
      </c>
      <c r="H199" s="41">
        <f t="shared" si="3"/>
        <v>0.13250555261766261</v>
      </c>
    </row>
    <row r="200" ht="15" customHeight="1">
      <c r="B200" s="21" t="s">
        <v>130</v>
      </c>
      <c r="C200" s="40">
        <f>C198/Inputs!G147-1</f>
        <v>-0.18666666666666665</v>
      </c>
      <c r="D200" s="22">
        <f t="shared" si="29"/>
        <v>-0.032786885245901676</v>
      </c>
      <c r="E200" s="22"/>
      <c r="F200" s="22">
        <f t="shared" si="31"/>
        <v>0.23389830508474563</v>
      </c>
      <c r="G200" s="22">
        <f t="shared" si="29"/>
        <v>-0.07142857142857151</v>
      </c>
      <c r="H200" s="41">
        <f t="shared" si="29"/>
        <v>0.021935483870967776</v>
      </c>
    </row>
    <row r="201" ht="15" customHeight="1">
      <c r="B201" s="21" t="s">
        <v>131</v>
      </c>
      <c r="C201" s="22">
        <f t="shared" si="41" ref="C201:H201">C198/C266</f>
        <v>0.01983610822060354</v>
      </c>
      <c r="D201" s="22">
        <f t="shared" si="41"/>
        <v>0.017892885303572515</v>
      </c>
      <c r="E201" s="22">
        <f t="shared" si="41"/>
        <v>0.02033555194307272</v>
      </c>
      <c r="F201" s="22">
        <f t="shared" si="41"/>
        <v>0.019360672304664643</v>
      </c>
      <c r="G201" s="22">
        <f t="shared" si="41"/>
        <v>0.01981010432540148</v>
      </c>
      <c r="H201" s="41">
        <f t="shared" si="41"/>
        <v>0.020052639482043957</v>
      </c>
    </row>
    <row r="202" ht="15" customHeight="1">
      <c r="B202" s="21" t="s">
        <v>132</v>
      </c>
      <c r="C202" s="40">
        <f>C198/Inputs!C147-1</f>
        <v>-0.1335227272727273</v>
      </c>
      <c r="D202" s="40">
        <f>D198/Inputs!D147-1</f>
        <v>-0.0950920245398772</v>
      </c>
      <c r="E202" s="40">
        <f>E198/Inputs!E147-1</f>
        <v>0.0075987841945288626</v>
      </c>
      <c r="F202" s="40">
        <f>F198/Inputs!F147-1</f>
        <v>0.03703703703703698</v>
      </c>
      <c r="G202" s="40">
        <f>G198/Inputs!G147-1</f>
        <v>-0.09866666666666679</v>
      </c>
      <c r="H202" s="41">
        <f t="shared" si="33"/>
        <v>0.13250555261766261</v>
      </c>
    </row>
    <row r="203" ht="15" customHeight="1">
      <c r="B203" s="53" t="s">
        <v>133</v>
      </c>
      <c r="C203" s="51" t="s">
        <v>91</v>
      </c>
      <c r="D203" s="51" t="s">
        <v>91</v>
      </c>
      <c r="E203" s="51" t="s">
        <v>91</v>
      </c>
      <c r="F203" s="51" t="s">
        <v>91</v>
      </c>
      <c r="G203" s="51" t="s">
        <v>91</v>
      </c>
      <c r="H203" s="61" t="s">
        <v>91</v>
      </c>
      <c r="I203" s="15" t="s">
        <v>134</v>
      </c>
    </row>
    <row r="204" ht="15" customHeight="1">
      <c r="B204" s="53" t="s">
        <v>135</v>
      </c>
      <c r="C204" s="51" t="s">
        <v>91</v>
      </c>
      <c r="D204" s="51" t="s">
        <v>91</v>
      </c>
      <c r="E204" s="51" t="s">
        <v>91</v>
      </c>
      <c r="F204" s="51" t="s">
        <v>91</v>
      </c>
      <c r="G204" s="51" t="s">
        <v>91</v>
      </c>
      <c r="H204" s="61" t="s">
        <v>91</v>
      </c>
      <c r="I204" s="15" t="s">
        <v>136</v>
      </c>
    </row>
    <row r="205" ht="15" customHeight="1">
      <c r="B205" s="53" t="s">
        <v>137</v>
      </c>
      <c r="C205" s="51" t="s">
        <v>91</v>
      </c>
      <c r="D205" s="51" t="s">
        <v>91</v>
      </c>
      <c r="E205" s="51" t="s">
        <v>91</v>
      </c>
      <c r="F205" s="51" t="s">
        <v>91</v>
      </c>
      <c r="G205" s="51" t="s">
        <v>91</v>
      </c>
      <c r="H205" s="61" t="s">
        <v>91</v>
      </c>
      <c r="I205" s="15" t="s">
        <v>138</v>
      </c>
    </row>
    <row r="206" ht="15" customHeight="1">
      <c r="B206" s="45" t="s">
        <v>159</v>
      </c>
      <c r="C206" s="22"/>
      <c r="D206" s="22"/>
      <c r="E206" s="22"/>
      <c r="F206" s="22"/>
      <c r="G206" s="22"/>
      <c r="H206" s="52">
        <v>-0.12</v>
      </c>
      <c r="I206" s="15" t="s">
        <v>160</v>
      </c>
    </row>
    <row r="207" ht="15" customHeight="1">
      <c r="B207" s="44" t="s">
        <v>161</v>
      </c>
      <c r="C207" s="55">
        <v>20.5</v>
      </c>
      <c r="D207" s="19">
        <f>E207-Inputs!F148-Inputs!G148-C207</f>
        <v>22.500000000000007</v>
      </c>
      <c r="E207" s="55">
        <v>84.4</v>
      </c>
      <c r="F207" s="55">
        <v>22.8</v>
      </c>
      <c r="G207" s="55">
        <v>24.3</v>
      </c>
      <c r="H207" s="54">
        <f>G207*(1+H206)*H10/G10</f>
        <v>22.073806451612903</v>
      </c>
    </row>
    <row r="208" ht="15" customHeight="1">
      <c r="B208" s="21" t="s">
        <v>129</v>
      </c>
      <c r="C208" s="40">
        <f>C207/Inputs!C148-1</f>
        <v>-0.12017167381974247</v>
      </c>
      <c r="D208" s="40">
        <f>D207/Inputs!D148-1</f>
        <v>0.1538461538461542</v>
      </c>
      <c r="E208" s="40">
        <f>E207/Inputs!E148-1</f>
        <v>-0.04308390022675734</v>
      </c>
      <c r="F208" s="40">
        <f>F207/Inputs!F148-1</f>
        <v>0.09615384615384626</v>
      </c>
      <c r="G208" s="40">
        <f>G207/Inputs!G148-1</f>
        <v>0.1796116504854368</v>
      </c>
      <c r="H208" s="41">
        <f t="shared" si="3"/>
        <v>0.07677104642014165</v>
      </c>
    </row>
    <row r="209" ht="15" customHeight="1">
      <c r="B209" s="21" t="s">
        <v>130</v>
      </c>
      <c r="C209" s="40">
        <f>C207/Inputs!G148-1</f>
        <v>-0.004854368932038944</v>
      </c>
      <c r="D209" s="22">
        <f t="shared" si="29"/>
        <v>0.0975609756097564</v>
      </c>
      <c r="E209" s="22"/>
      <c r="F209" s="22">
        <f t="shared" si="31"/>
        <v>0.013333333333332975</v>
      </c>
      <c r="G209" s="22">
        <f t="shared" si="29"/>
        <v>0.06578947368421062</v>
      </c>
      <c r="H209" s="41">
        <f t="shared" si="29"/>
        <v>-0.09161290322580651</v>
      </c>
    </row>
    <row r="210" ht="15" customHeight="1">
      <c r="B210" s="21" t="s">
        <v>131</v>
      </c>
      <c r="C210" s="22">
        <f t="shared" si="42" ref="C210:H210">C207/C266</f>
        <v>0.013332466181061394</v>
      </c>
      <c r="D210" s="22">
        <f t="shared" si="42"/>
        <v>0.013647115909504464</v>
      </c>
      <c r="E210" s="22">
        <f t="shared" si="42"/>
        <v>0.012943594147777812</v>
      </c>
      <c r="F210" s="22">
        <f t="shared" si="42"/>
        <v>0.012127014520504228</v>
      </c>
      <c r="G210" s="22">
        <f t="shared" si="42"/>
        <v>0.01424217559488923</v>
      </c>
      <c r="H210" s="41">
        <f t="shared" si="42"/>
        <v>0.01281470452106951</v>
      </c>
    </row>
    <row r="211" ht="15" customHeight="1">
      <c r="B211" s="21" t="s">
        <v>132</v>
      </c>
      <c r="C211" s="40">
        <f>C207/Inputs!C148-1</f>
        <v>-0.12017167381974247</v>
      </c>
      <c r="D211" s="40">
        <f>D207/Inputs!D148-1</f>
        <v>0.1538461538461542</v>
      </c>
      <c r="E211" s="40">
        <f>E207/Inputs!E148-1</f>
        <v>-0.04308390022675734</v>
      </c>
      <c r="F211" s="40">
        <f>F207/Inputs!F148-1</f>
        <v>0.09615384615384626</v>
      </c>
      <c r="G211" s="40">
        <f>G207/Inputs!G148-1</f>
        <v>0.1796116504854368</v>
      </c>
      <c r="H211" s="41">
        <f t="shared" si="33"/>
        <v>0.07677104642014165</v>
      </c>
    </row>
    <row r="212" ht="15" customHeight="1">
      <c r="B212" s="53" t="s">
        <v>133</v>
      </c>
      <c r="C212" s="51" t="s">
        <v>91</v>
      </c>
      <c r="D212" s="51" t="s">
        <v>91</v>
      </c>
      <c r="E212" s="51" t="s">
        <v>91</v>
      </c>
      <c r="F212" s="51" t="s">
        <v>91</v>
      </c>
      <c r="G212" s="51" t="s">
        <v>91</v>
      </c>
      <c r="H212" s="61" t="s">
        <v>91</v>
      </c>
      <c r="I212" s="15" t="s">
        <v>134</v>
      </c>
    </row>
    <row r="213" ht="15" customHeight="1">
      <c r="B213" s="53" t="s">
        <v>135</v>
      </c>
      <c r="C213" s="51" t="s">
        <v>91</v>
      </c>
      <c r="D213" s="51" t="s">
        <v>91</v>
      </c>
      <c r="E213" s="51" t="s">
        <v>91</v>
      </c>
      <c r="F213" s="51" t="s">
        <v>91</v>
      </c>
      <c r="G213" s="51" t="s">
        <v>91</v>
      </c>
      <c r="H213" s="61" t="s">
        <v>91</v>
      </c>
      <c r="I213" s="15" t="s">
        <v>136</v>
      </c>
    </row>
    <row r="214" ht="15" customHeight="1">
      <c r="B214" s="53" t="s">
        <v>137</v>
      </c>
      <c r="C214" s="51" t="s">
        <v>91</v>
      </c>
      <c r="D214" s="51" t="s">
        <v>91</v>
      </c>
      <c r="E214" s="51" t="s">
        <v>91</v>
      </c>
      <c r="F214" s="51" t="s">
        <v>91</v>
      </c>
      <c r="G214" s="51" t="s">
        <v>91</v>
      </c>
      <c r="H214" s="61" t="s">
        <v>91</v>
      </c>
      <c r="I214" s="15" t="s">
        <v>138</v>
      </c>
    </row>
    <row r="215" ht="15" customHeight="1">
      <c r="B215" s="17" t="s">
        <v>162</v>
      </c>
      <c r="C215" s="57">
        <f t="shared" si="43" ref="C215:H215">C186+C198+C207</f>
        <v>90.3</v>
      </c>
      <c r="D215" s="57">
        <f t="shared" si="43"/>
        <v>90.80000000000001</v>
      </c>
      <c r="E215" s="57">
        <f t="shared" si="43"/>
        <v>368.1</v>
      </c>
      <c r="F215" s="57">
        <f t="shared" si="43"/>
        <v>99.39999999999999</v>
      </c>
      <c r="G215" s="57">
        <f t="shared" si="43"/>
        <v>98.2</v>
      </c>
      <c r="H215" s="58">
        <f t="shared" si="43"/>
        <v>98.00877419354839</v>
      </c>
    </row>
    <row r="216" ht="15" customHeight="1">
      <c r="B216" s="21" t="s">
        <v>129</v>
      </c>
      <c r="C216" s="40">
        <f>C215/Inputs!C150-1</f>
        <v>-0.016339869281045805</v>
      </c>
      <c r="D216" s="40">
        <f>D215/Inputs!D150-1</f>
        <v>0.02831257078142735</v>
      </c>
      <c r="E216" s="40">
        <f>E215/Inputs!E150-1</f>
        <v>0.008769525897506236</v>
      </c>
      <c r="F216" s="40">
        <f>F215/Inputs!F150-1</f>
        <v>0.08278867102396514</v>
      </c>
      <c r="G216" s="40">
        <f>G215/Inputs!G150-1</f>
        <v>0.03151260504201692</v>
      </c>
      <c r="H216" s="41">
        <f t="shared" si="3"/>
        <v>0.08536848497838756</v>
      </c>
    </row>
    <row r="217" ht="15" customHeight="1">
      <c r="B217" s="21" t="s">
        <v>130</v>
      </c>
      <c r="C217" s="40">
        <f>C215/Inputs!G150-1</f>
        <v>-0.051470588235294046</v>
      </c>
      <c r="D217" s="22">
        <f t="shared" si="29"/>
        <v>0.005537098560354448</v>
      </c>
      <c r="E217" s="22"/>
      <c r="F217" s="22">
        <f t="shared" si="31"/>
        <v>0.09471365638766494</v>
      </c>
      <c r="G217" s="22">
        <f t="shared" si="29"/>
        <v>-0.012072434607645732</v>
      </c>
      <c r="H217" s="41">
        <f t="shared" si="29"/>
        <v>-0.0019473096380001609</v>
      </c>
    </row>
    <row r="218" ht="15" customHeight="1">
      <c r="B218" s="21" t="s">
        <v>131</v>
      </c>
      <c r="C218" s="22">
        <f t="shared" si="44" ref="C218:H218">C215/C266</f>
        <v>0.05872788761706556</v>
      </c>
      <c r="D218" s="22">
        <f t="shared" si="44"/>
        <v>0.05507369442591134</v>
      </c>
      <c r="E218" s="22">
        <f t="shared" si="44"/>
        <v>0.05645186025825844</v>
      </c>
      <c r="F218" s="22">
        <f t="shared" si="44"/>
        <v>0.052869528216584215</v>
      </c>
      <c r="G218" s="22">
        <f t="shared" si="44"/>
        <v>0.05755480014066347</v>
      </c>
      <c r="H218" s="41">
        <f t="shared" si="44"/>
        <v>0.05689791131020697</v>
      </c>
    </row>
    <row r="219" ht="15" customHeight="1">
      <c r="B219" s="21" t="s">
        <v>132</v>
      </c>
      <c r="C219" s="40">
        <f>C215/Inputs!C150-1</f>
        <v>-0.016339869281045805</v>
      </c>
      <c r="D219" s="40">
        <f>D215/Inputs!D150-1</f>
        <v>0.02831257078142735</v>
      </c>
      <c r="E219" s="40">
        <f>E215/Inputs!E150-1</f>
        <v>0.008769525897506236</v>
      </c>
      <c r="F219" s="40">
        <f>F215/Inputs!F150-1</f>
        <v>0.08278867102396514</v>
      </c>
      <c r="G219" s="40">
        <f>G215/Inputs!G150-1</f>
        <v>0.03151260504201692</v>
      </c>
      <c r="H219" s="41">
        <f t="shared" si="33"/>
        <v>0.08536848497838756</v>
      </c>
    </row>
    <row r="220" ht="15" customHeight="1">
      <c r="B220" s="53" t="s">
        <v>133</v>
      </c>
      <c r="C220" s="51" t="s">
        <v>91</v>
      </c>
      <c r="D220" s="51" t="s">
        <v>91</v>
      </c>
      <c r="E220" s="51" t="s">
        <v>91</v>
      </c>
      <c r="F220" s="51" t="s">
        <v>91</v>
      </c>
      <c r="G220" s="51" t="s">
        <v>91</v>
      </c>
      <c r="H220" s="61" t="s">
        <v>91</v>
      </c>
      <c r="I220" s="15" t="s">
        <v>134</v>
      </c>
    </row>
    <row r="221" ht="15" customHeight="1">
      <c r="B221" s="53" t="s">
        <v>135</v>
      </c>
      <c r="C221" s="51" t="s">
        <v>91</v>
      </c>
      <c r="D221" s="51" t="s">
        <v>91</v>
      </c>
      <c r="E221" s="51" t="s">
        <v>91</v>
      </c>
      <c r="F221" s="51" t="s">
        <v>91</v>
      </c>
      <c r="G221" s="51" t="s">
        <v>91</v>
      </c>
      <c r="H221" s="61" t="s">
        <v>91</v>
      </c>
      <c r="I221" s="15" t="s">
        <v>136</v>
      </c>
    </row>
    <row r="222" ht="15" customHeight="1">
      <c r="B222" s="53" t="s">
        <v>137</v>
      </c>
      <c r="C222" s="51" t="s">
        <v>91</v>
      </c>
      <c r="D222" s="51" t="s">
        <v>91</v>
      </c>
      <c r="E222" s="51" t="s">
        <v>91</v>
      </c>
      <c r="F222" s="51" t="s">
        <v>91</v>
      </c>
      <c r="G222" s="51" t="s">
        <v>91</v>
      </c>
      <c r="H222" s="61" t="s">
        <v>91</v>
      </c>
      <c r="I222" s="15" t="s">
        <v>138</v>
      </c>
    </row>
    <row r="223" ht="15" customHeight="1">
      <c r="B223" s="44" t="s">
        <v>163</v>
      </c>
      <c r="C223" s="55">
        <v>69.8</v>
      </c>
      <c r="D223" s="20"/>
      <c r="E223" s="55">
        <v>283.7</v>
      </c>
      <c r="F223" s="55">
        <v>76.6</v>
      </c>
      <c r="G223" s="55">
        <v>73.9</v>
      </c>
      <c r="H223" s="54"/>
      <c r="I223" s="15" t="s">
        <v>164</v>
      </c>
    </row>
    <row r="224" ht="15" customHeight="1">
      <c r="B224" s="37" t="s">
        <v>165</v>
      </c>
      <c r="C224" s="20">
        <f t="shared" si="45" ref="C224:G224">C223-C186-C198</f>
        <v>0</v>
      </c>
      <c r="D224" s="20"/>
      <c r="E224" s="20">
        <f t="shared" si="45"/>
        <v>0</v>
      </c>
      <c r="F224" s="20">
        <f t="shared" si="45"/>
        <v>0</v>
      </c>
      <c r="G224" s="20">
        <f t="shared" si="45"/>
        <v>0</v>
      </c>
      <c r="H224" s="54"/>
    </row>
    <row r="226" ht="15" customHeight="1">
      <c r="B226" s="17" t="s">
        <v>166</v>
      </c>
      <c r="C226" s="57">
        <f t="shared" si="46" ref="C226:H226">C166+C215</f>
        <v>1227.8999999999999</v>
      </c>
      <c r="D226" s="57">
        <f t="shared" si="46"/>
        <v>1327.8999999999999</v>
      </c>
      <c r="E226" s="57">
        <f t="shared" si="46"/>
        <v>5281.1</v>
      </c>
      <c r="F226" s="57">
        <f t="shared" si="46"/>
        <v>1542.6000000000001</v>
      </c>
      <c r="G226" s="57">
        <f t="shared" si="46"/>
        <v>1352.5</v>
      </c>
      <c r="H226" s="58">
        <f t="shared" si="46"/>
        <v>1369.9482941935482</v>
      </c>
    </row>
    <row r="227" ht="15" customHeight="1">
      <c r="B227" s="21" t="s">
        <v>129</v>
      </c>
      <c r="C227" s="40">
        <f>C226/Inputs!C149-1</f>
        <v>-0.053349780279084325</v>
      </c>
      <c r="D227" s="40">
        <f>D226/Inputs!D149-1</f>
        <v>0.07757851172604058</v>
      </c>
      <c r="E227" s="40">
        <f>E226/Inputs!E149-1</f>
        <v>0.0587185758389801</v>
      </c>
      <c r="F227" s="40">
        <f>F226/Inputs!F149-1</f>
        <v>0.15351828310775462</v>
      </c>
      <c r="G227" s="40">
        <f>G226/Inputs!G149-1</f>
        <v>-0.025576368876080724</v>
      </c>
      <c r="H227" s="41">
        <f t="shared" si="3"/>
        <v>0.11568392718751386</v>
      </c>
    </row>
    <row r="228" ht="15" customHeight="1">
      <c r="B228" s="21" t="s">
        <v>130</v>
      </c>
      <c r="C228" s="40">
        <f>C226/Inputs!G149-1</f>
        <v>-0.11534582132564852</v>
      </c>
      <c r="D228" s="22">
        <f t="shared" si="29"/>
        <v>0.0814398566658523</v>
      </c>
      <c r="E228" s="22"/>
      <c r="F228" s="22">
        <f t="shared" si="31"/>
        <v>0.16168386173657678</v>
      </c>
      <c r="G228" s="22">
        <f t="shared" si="29"/>
        <v>-0.12323350187994309</v>
      </c>
      <c r="H228" s="41">
        <f t="shared" si="29"/>
        <v>0.012900772046985809</v>
      </c>
    </row>
    <row r="229" ht="15" customHeight="1">
      <c r="B229" s="21" t="s">
        <v>131</v>
      </c>
      <c r="C229" s="22">
        <f t="shared" si="47" ref="C229:H229">C226/C266</f>
        <v>0.7985822060353798</v>
      </c>
      <c r="D229" s="22">
        <f t="shared" si="47"/>
        <v>0.8054224540547098</v>
      </c>
      <c r="E229" s="22">
        <f t="shared" si="47"/>
        <v>0.8099101309695427</v>
      </c>
      <c r="F229" s="22">
        <f t="shared" si="47"/>
        <v>0.8204882719004308</v>
      </c>
      <c r="G229" s="22">
        <f t="shared" si="47"/>
        <v>0.7926972218966124</v>
      </c>
      <c r="H229" s="41">
        <f t="shared" si="47"/>
        <v>0.7953083505428113</v>
      </c>
    </row>
    <row r="230" ht="15" customHeight="1">
      <c r="B230" s="21" t="s">
        <v>132</v>
      </c>
      <c r="C230" s="40">
        <f>C226/Inputs!C149-1</f>
        <v>-0.053349780279084325</v>
      </c>
      <c r="D230" s="40">
        <f>D226/Inputs!D149-1</f>
        <v>0.07757851172604058</v>
      </c>
      <c r="E230" s="40">
        <f>E226/Inputs!E149-1</f>
        <v>0.0587185758389801</v>
      </c>
      <c r="F230" s="40">
        <f>F226/Inputs!F149-1</f>
        <v>0.15351828310775462</v>
      </c>
      <c r="G230" s="40">
        <f>G226/Inputs!G149-1</f>
        <v>-0.025576368876080724</v>
      </c>
      <c r="H230" s="41">
        <f t="shared" si="33"/>
        <v>0.11568392718751386</v>
      </c>
    </row>
    <row r="231" ht="15" customHeight="1">
      <c r="B231" s="53" t="s">
        <v>133</v>
      </c>
      <c r="C231" s="51" t="s">
        <v>91</v>
      </c>
      <c r="D231" s="51" t="s">
        <v>91</v>
      </c>
      <c r="E231" s="51" t="s">
        <v>91</v>
      </c>
      <c r="F231" s="51" t="s">
        <v>91</v>
      </c>
      <c r="G231" s="51" t="s">
        <v>91</v>
      </c>
      <c r="H231" s="61" t="s">
        <v>91</v>
      </c>
      <c r="I231" s="15" t="s">
        <v>134</v>
      </c>
    </row>
    <row r="232" ht="15" customHeight="1">
      <c r="B232" s="53" t="s">
        <v>135</v>
      </c>
      <c r="C232" s="51" t="s">
        <v>91</v>
      </c>
      <c r="D232" s="51" t="s">
        <v>91</v>
      </c>
      <c r="E232" s="51" t="s">
        <v>91</v>
      </c>
      <c r="F232" s="51" t="s">
        <v>91</v>
      </c>
      <c r="G232" s="51" t="s">
        <v>91</v>
      </c>
      <c r="H232" s="61" t="s">
        <v>91</v>
      </c>
      <c r="I232" s="15" t="s">
        <v>136</v>
      </c>
    </row>
    <row r="233" ht="15" customHeight="1">
      <c r="B233" s="53" t="s">
        <v>137</v>
      </c>
      <c r="C233" s="51" t="s">
        <v>91</v>
      </c>
      <c r="D233" s="51" t="s">
        <v>91</v>
      </c>
      <c r="E233" s="51" t="s">
        <v>91</v>
      </c>
      <c r="F233" s="51" t="s">
        <v>91</v>
      </c>
      <c r="G233" s="51" t="s">
        <v>91</v>
      </c>
      <c r="H233" s="61" t="s">
        <v>91</v>
      </c>
      <c r="I233" s="15" t="s">
        <v>138</v>
      </c>
    </row>
    <row r="234" ht="15" customHeight="1">
      <c r="B234" s="44" t="s">
        <v>167</v>
      </c>
      <c r="C234" s="55">
        <v>1227.9</v>
      </c>
      <c r="D234" s="55">
        <v>1327.9</v>
      </c>
      <c r="E234" s="55">
        <v>5281.1</v>
      </c>
      <c r="F234" s="55">
        <v>1542.6</v>
      </c>
      <c r="G234" s="55">
        <v>1352.5</v>
      </c>
      <c r="H234" s="54"/>
      <c r="I234" s="15" t="s">
        <v>168</v>
      </c>
    </row>
    <row r="235" ht="15" customHeight="1">
      <c r="B235" s="37" t="s">
        <v>169</v>
      </c>
      <c r="C235" s="16" t="b">
        <f t="shared" si="48" ref="C235:G235">ABS(C226-C234)&lt;0.15</f>
        <v>1</v>
      </c>
      <c r="D235" s="16" t="b">
        <f t="shared" si="48"/>
        <v>1</v>
      </c>
      <c r="E235" s="16" t="b">
        <f t="shared" si="48"/>
        <v>1</v>
      </c>
      <c r="F235" s="16" t="b">
        <f t="shared" si="48"/>
        <v>1</v>
      </c>
      <c r="G235" s="16" t="b">
        <f t="shared" si="48"/>
        <v>1</v>
      </c>
      <c r="H235" s="49"/>
    </row>
    <row r="237" ht="15" customHeight="1">
      <c r="B237" s="17" t="s">
        <v>170</v>
      </c>
    </row>
    <row r="238" ht="15" customHeight="1">
      <c r="B238" s="44" t="s">
        <v>171</v>
      </c>
      <c r="C238" s="16" t="s">
        <v>91</v>
      </c>
      <c r="D238" s="16" t="s">
        <v>91</v>
      </c>
      <c r="E238" s="16" t="s">
        <v>91</v>
      </c>
      <c r="F238" s="55">
        <v>3.8</v>
      </c>
      <c r="G238" s="55">
        <v>7</v>
      </c>
      <c r="H238" s="56">
        <v>3</v>
      </c>
      <c r="I238" s="15" t="s">
        <v>172</v>
      </c>
    </row>
    <row r="239" ht="15" customHeight="1">
      <c r="B239" s="44" t="s">
        <v>173</v>
      </c>
      <c r="C239" s="20"/>
      <c r="D239" s="20"/>
      <c r="E239" s="20"/>
      <c r="F239" s="20">
        <f t="shared" si="49" ref="F239:H239">F242-F238</f>
        <v>220.29999999999998</v>
      </c>
      <c r="G239" s="20">
        <f t="shared" si="49"/>
        <v>231.1</v>
      </c>
      <c r="H239" s="54">
        <f t="shared" si="49"/>
        <v>233.411</v>
      </c>
    </row>
    <row r="240" ht="15" customHeight="1">
      <c r="B240" s="37" t="s">
        <v>174</v>
      </c>
      <c r="C240" s="20"/>
      <c r="D240" s="20"/>
      <c r="E240" s="20"/>
      <c r="F240" s="20"/>
      <c r="G240" s="20">
        <f t="shared" si="16"/>
        <v>10.800000000000011</v>
      </c>
      <c r="H240" s="54">
        <f t="shared" si="16"/>
        <v>2.311000000000007</v>
      </c>
    </row>
    <row r="241" ht="15" customHeight="1">
      <c r="B241" s="45" t="s">
        <v>175</v>
      </c>
      <c r="C241" s="22"/>
      <c r="D241" s="22"/>
      <c r="E241" s="22"/>
      <c r="F241" s="22"/>
      <c r="G241" s="22"/>
      <c r="H241" s="52">
        <v>0.01</v>
      </c>
      <c r="I241" s="15" t="s">
        <v>176</v>
      </c>
    </row>
    <row r="242" ht="15" customHeight="1">
      <c r="B242" s="17" t="s">
        <v>170</v>
      </c>
      <c r="C242" s="62">
        <v>202.5</v>
      </c>
      <c r="D242" s="62">
        <v>208</v>
      </c>
      <c r="E242" s="63">
        <f>Inputs!F152+Inputs!G152+C242+D242</f>
        <v>803.1</v>
      </c>
      <c r="F242" s="62">
        <v>224.1</v>
      </c>
      <c r="G242" s="62">
        <v>238.1</v>
      </c>
      <c r="H242" s="58">
        <f>G239*(1+H241)+H238</f>
        <v>236.411</v>
      </c>
      <c r="I242" s="15" t="s">
        <v>177</v>
      </c>
    </row>
    <row r="243" ht="15" customHeight="1">
      <c r="B243" s="21" t="s">
        <v>129</v>
      </c>
      <c r="C243" s="40">
        <f>C242/Inputs!C152-1</f>
        <v>0.13636363636363646</v>
      </c>
      <c r="D243" s="40">
        <f>D242/Inputs!D152-1</f>
        <v>0.14537444933920707</v>
      </c>
      <c r="E243" s="40">
        <f>E242/Inputs!E152-1</f>
        <v>0.13080822303576456</v>
      </c>
      <c r="F243" s="40">
        <f>F242/Inputs!F152-1</f>
        <v>0.15218508997429292</v>
      </c>
      <c r="G243" s="40">
        <f>G242/Inputs!G152-1</f>
        <v>0.2019182231196366</v>
      </c>
      <c r="H243" s="41">
        <f t="shared" si="3"/>
        <v>0.16746172839506168</v>
      </c>
    </row>
    <row r="244" ht="15" customHeight="1">
      <c r="B244" s="21" t="s">
        <v>130</v>
      </c>
      <c r="C244" s="40">
        <f>C242/Inputs!G152-1</f>
        <v>0.02221100454316005</v>
      </c>
      <c r="D244" s="22">
        <f t="shared" si="29"/>
        <v>0.02716049382716057</v>
      </c>
      <c r="E244" s="22"/>
      <c r="F244" s="22">
        <f t="shared" si="31"/>
        <v>0.07740384615384621</v>
      </c>
      <c r="G244" s="22">
        <f t="shared" si="29"/>
        <v>0.062472110664881786</v>
      </c>
      <c r="H244" s="41">
        <f t="shared" si="29"/>
        <v>-0.007093658126837488</v>
      </c>
    </row>
    <row r="245" ht="15" customHeight="1">
      <c r="B245" s="21" t="s">
        <v>131</v>
      </c>
      <c r="C245" s="22">
        <f t="shared" si="50" ref="C245:H245">C242/C266</f>
        <v>0.13169875130072842</v>
      </c>
      <c r="D245" s="22">
        <f t="shared" si="50"/>
        <v>0.12616000485230788</v>
      </c>
      <c r="E245" s="22">
        <f t="shared" si="50"/>
        <v>0.12316351256019384</v>
      </c>
      <c r="F245" s="22">
        <f t="shared" si="50"/>
        <v>0.11919578745811392</v>
      </c>
      <c r="G245" s="22">
        <f t="shared" si="50"/>
        <v>0.13954987691947018</v>
      </c>
      <c r="H245" s="41">
        <f t="shared" si="50"/>
        <v>0.13724579479173607</v>
      </c>
    </row>
    <row r="246" ht="15" customHeight="1">
      <c r="B246" s="21" t="s">
        <v>132</v>
      </c>
      <c r="C246" s="40">
        <f>C242/Inputs!C152-1</f>
        <v>0.13636363636363646</v>
      </c>
      <c r="D246" s="40">
        <f>D242/Inputs!D152-1</f>
        <v>0.14537444933920707</v>
      </c>
      <c r="E246" s="40">
        <f>E242/Inputs!E152-1</f>
        <v>0.13080822303576456</v>
      </c>
      <c r="F246" s="40">
        <f>F242/Inputs!F152-1</f>
        <v>0.15218508997429292</v>
      </c>
      <c r="G246" s="40">
        <f>G242/Inputs!G152-1</f>
        <v>0.2019182231196366</v>
      </c>
      <c r="H246" s="41">
        <f t="shared" si="33"/>
        <v>0.16746172839506168</v>
      </c>
    </row>
    <row r="247" ht="15" customHeight="1">
      <c r="B247" s="53" t="s">
        <v>133</v>
      </c>
      <c r="C247" s="51" t="s">
        <v>91</v>
      </c>
      <c r="D247" s="51" t="s">
        <v>91</v>
      </c>
      <c r="E247" s="51" t="s">
        <v>91</v>
      </c>
      <c r="F247" s="51" t="s">
        <v>91</v>
      </c>
      <c r="G247" s="51" t="s">
        <v>91</v>
      </c>
      <c r="H247" s="61" t="s">
        <v>91</v>
      </c>
      <c r="I247" s="15" t="s">
        <v>134</v>
      </c>
    </row>
    <row r="248" ht="15" customHeight="1">
      <c r="B248" s="53" t="s">
        <v>135</v>
      </c>
      <c r="C248" s="51" t="s">
        <v>91</v>
      </c>
      <c r="D248" s="51" t="s">
        <v>91</v>
      </c>
      <c r="E248" s="51" t="s">
        <v>91</v>
      </c>
      <c r="F248" s="51" t="s">
        <v>91</v>
      </c>
      <c r="G248" s="51" t="s">
        <v>91</v>
      </c>
      <c r="H248" s="61" t="s">
        <v>91</v>
      </c>
      <c r="I248" s="15" t="s">
        <v>136</v>
      </c>
    </row>
    <row r="249" ht="15" customHeight="1">
      <c r="B249" s="53" t="s">
        <v>137</v>
      </c>
      <c r="C249" s="51" t="s">
        <v>91</v>
      </c>
      <c r="D249" s="51" t="s">
        <v>91</v>
      </c>
      <c r="E249" s="51" t="s">
        <v>91</v>
      </c>
      <c r="F249" s="51" t="s">
        <v>91</v>
      </c>
      <c r="G249" s="51" t="s">
        <v>91</v>
      </c>
      <c r="H249" s="61" t="s">
        <v>91</v>
      </c>
      <c r="I249" s="15" t="s">
        <v>138</v>
      </c>
    </row>
    <row r="251" ht="15" customHeight="1">
      <c r="B251" s="17" t="s">
        <v>178</v>
      </c>
      <c r="I251" s="33" t="s">
        <v>179</v>
      </c>
    </row>
    <row r="252" ht="15" customHeight="1">
      <c r="B252" s="44" t="s">
        <v>180</v>
      </c>
      <c r="C252" s="55">
        <v>156.2</v>
      </c>
      <c r="D252" s="16" t="s">
        <v>91</v>
      </c>
      <c r="E252" s="16" t="s">
        <v>91</v>
      </c>
      <c r="F252" s="55">
        <v>170.9</v>
      </c>
      <c r="G252" s="55">
        <v>170.4</v>
      </c>
      <c r="H252" s="56">
        <v>165.7</v>
      </c>
      <c r="I252" s="15" t="s">
        <v>181</v>
      </c>
    </row>
    <row r="253" ht="15" customHeight="1">
      <c r="B253" s="37" t="s">
        <v>182</v>
      </c>
      <c r="C253" s="20"/>
      <c r="D253" s="20"/>
      <c r="E253" s="20"/>
      <c r="F253" s="20"/>
      <c r="G253" s="20"/>
      <c r="H253" s="54">
        <f>H252-C252</f>
        <v>9.5</v>
      </c>
    </row>
    <row r="254" ht="15" customHeight="1">
      <c r="B254" s="37" t="s">
        <v>148</v>
      </c>
      <c r="C254" s="20"/>
      <c r="D254" s="20"/>
      <c r="E254" s="20"/>
      <c r="F254" s="20"/>
      <c r="G254" s="20">
        <f t="shared" si="20"/>
        <v>-0.5</v>
      </c>
      <c r="H254" s="54">
        <f t="shared" si="20"/>
        <v>-4.700000000000017</v>
      </c>
    </row>
    <row r="255" ht="15" customHeight="1">
      <c r="B255" s="45" t="s">
        <v>183</v>
      </c>
      <c r="C255" s="22"/>
      <c r="D255" s="22"/>
      <c r="E255" s="22"/>
      <c r="F255" s="22"/>
      <c r="G255" s="22"/>
      <c r="H255" s="52">
        <v>0.005</v>
      </c>
      <c r="I255" s="15" t="s">
        <v>184</v>
      </c>
    </row>
    <row r="256" ht="15" customHeight="1">
      <c r="B256" s="17" t="s">
        <v>178</v>
      </c>
      <c r="C256" s="62">
        <v>107.2</v>
      </c>
      <c r="D256" s="62">
        <v>112.8</v>
      </c>
      <c r="E256" s="63">
        <f>Inputs!F153+Inputs!G153+C256+D256</f>
        <v>436.40000000000003</v>
      </c>
      <c r="F256" s="62">
        <v>113.4</v>
      </c>
      <c r="G256" s="62">
        <v>115.6</v>
      </c>
      <c r="H256" s="58">
        <f>G256*(1+H255)</f>
        <v>116.17799999999998</v>
      </c>
    </row>
    <row r="257" ht="15" customHeight="1">
      <c r="B257" s="21" t="s">
        <v>129</v>
      </c>
      <c r="C257" s="40">
        <f>C256/Inputs!C153-1</f>
        <v>-0.01741521539871671</v>
      </c>
      <c r="D257" s="40">
        <f>D256/Inputs!D153-1</f>
        <v>0.012567324955116588</v>
      </c>
      <c r="E257" s="40">
        <f>E256/Inputs!E153-1</f>
        <v>0.010887190178364703</v>
      </c>
      <c r="F257" s="40">
        <f>F256/Inputs!F153-1</f>
        <v>0.026244343891402844</v>
      </c>
      <c r="G257" s="40">
        <f>G256/Inputs!G153-1</f>
        <v>0.09159584513692143</v>
      </c>
      <c r="H257" s="41">
        <f t="shared" si="3"/>
        <v>0.08374999999999977</v>
      </c>
    </row>
    <row r="258" ht="15" customHeight="1">
      <c r="B258" s="21" t="s">
        <v>130</v>
      </c>
      <c r="C258" s="40">
        <f>C256/Inputs!G153-1</f>
        <v>0.01227573182247399</v>
      </c>
      <c r="D258" s="22">
        <f t="shared" si="29"/>
        <v>0.052238805970149294</v>
      </c>
      <c r="E258" s="22"/>
      <c r="F258" s="22">
        <f t="shared" si="31"/>
        <v>0.005319148936170359</v>
      </c>
      <c r="G258" s="22">
        <f t="shared" si="29"/>
        <v>0.0194003527336859</v>
      </c>
      <c r="H258" s="41">
        <f t="shared" si="29"/>
        <v>0.004999999999999893</v>
      </c>
    </row>
    <row r="259" ht="15" customHeight="1">
      <c r="B259" s="21" t="s">
        <v>131</v>
      </c>
      <c r="C259" s="22">
        <f t="shared" si="51" ref="C259:H259">C256/C266</f>
        <v>0.06971904266389178</v>
      </c>
      <c r="D259" s="22">
        <f t="shared" si="51"/>
        <v>0.06841754109298236</v>
      </c>
      <c r="E259" s="22">
        <f t="shared" si="51"/>
        <v>0.06692635647026347</v>
      </c>
      <c r="F259" s="22">
        <f t="shared" si="51"/>
        <v>0.06031594064145524</v>
      </c>
      <c r="G259" s="22">
        <f t="shared" si="51"/>
        <v>0.06775290118391748</v>
      </c>
      <c r="H259" s="41">
        <f t="shared" si="51"/>
        <v>0.06744585466545258</v>
      </c>
    </row>
    <row r="260" ht="15" customHeight="1">
      <c r="B260" s="21" t="s">
        <v>132</v>
      </c>
      <c r="C260" s="40">
        <f>C256/Inputs!C153-1</f>
        <v>-0.01741521539871671</v>
      </c>
      <c r="D260" s="40">
        <f>D256/Inputs!D153-1</f>
        <v>0.012567324955116588</v>
      </c>
      <c r="E260" s="40">
        <f>E256/Inputs!E153-1</f>
        <v>0.010887190178364703</v>
      </c>
      <c r="F260" s="40">
        <f>F256/Inputs!F153-1</f>
        <v>0.026244343891402844</v>
      </c>
      <c r="G260" s="40">
        <f>G256/Inputs!G153-1</f>
        <v>0.09159584513692143</v>
      </c>
      <c r="H260" s="41">
        <f t="shared" si="33"/>
        <v>0.08374999999999977</v>
      </c>
    </row>
    <row r="261" ht="15" customHeight="1">
      <c r="B261" s="53" t="s">
        <v>133</v>
      </c>
      <c r="C261" s="51" t="s">
        <v>91</v>
      </c>
      <c r="D261" s="51" t="s">
        <v>91</v>
      </c>
      <c r="E261" s="51" t="s">
        <v>91</v>
      </c>
      <c r="F261" s="51" t="s">
        <v>91</v>
      </c>
      <c r="G261" s="51" t="s">
        <v>91</v>
      </c>
      <c r="H261" s="61" t="s">
        <v>91</v>
      </c>
      <c r="I261" s="15" t="s">
        <v>134</v>
      </c>
    </row>
    <row r="262" ht="15" customHeight="1">
      <c r="B262" s="53" t="s">
        <v>135</v>
      </c>
      <c r="C262" s="51" t="s">
        <v>91</v>
      </c>
      <c r="D262" s="51" t="s">
        <v>91</v>
      </c>
      <c r="E262" s="51" t="s">
        <v>91</v>
      </c>
      <c r="F262" s="51" t="s">
        <v>91</v>
      </c>
      <c r="G262" s="51" t="s">
        <v>91</v>
      </c>
      <c r="H262" s="61" t="s">
        <v>91</v>
      </c>
      <c r="I262" s="15" t="s">
        <v>136</v>
      </c>
    </row>
    <row r="263" ht="15" customHeight="1">
      <c r="B263" s="53" t="s">
        <v>137</v>
      </c>
      <c r="C263" s="51" t="s">
        <v>91</v>
      </c>
      <c r="D263" s="51" t="s">
        <v>91</v>
      </c>
      <c r="E263" s="51" t="s">
        <v>91</v>
      </c>
      <c r="F263" s="51" t="s">
        <v>91</v>
      </c>
      <c r="G263" s="51" t="s">
        <v>91</v>
      </c>
      <c r="H263" s="61" t="s">
        <v>91</v>
      </c>
      <c r="I263" s="15" t="s">
        <v>138</v>
      </c>
    </row>
    <row r="265" ht="15" customHeight="1">
      <c r="B265" s="17" t="s">
        <v>185</v>
      </c>
    </row>
    <row r="266" ht="15" customHeight="1">
      <c r="B266" s="17" t="s">
        <v>185</v>
      </c>
      <c r="C266" s="57">
        <f t="shared" si="52" ref="C266:H266">C226+C242+C256</f>
        <v>1537.6</v>
      </c>
      <c r="D266" s="57">
        <f t="shared" si="52"/>
        <v>1648.6999999999998</v>
      </c>
      <c r="E266" s="57">
        <f t="shared" si="52"/>
        <v>6520.6</v>
      </c>
      <c r="F266" s="57">
        <f t="shared" si="52"/>
        <v>1880.1000000000001</v>
      </c>
      <c r="G266" s="57">
        <f t="shared" si="52"/>
        <v>1706.1999999999998</v>
      </c>
      <c r="H266" s="58">
        <f t="shared" si="52"/>
        <v>1722.5372941935482</v>
      </c>
    </row>
    <row r="267" ht="15" customHeight="1">
      <c r="B267" s="21" t="s">
        <v>129</v>
      </c>
      <c r="C267" s="40">
        <f>C266/Inputs!C154-1</f>
        <v>-0.029537995455693133</v>
      </c>
      <c r="D267" s="40">
        <f>D266/Inputs!D154-1</f>
        <v>0.08090211761620658</v>
      </c>
      <c r="E267" s="40">
        <f>E266/Inputs!E154-1</f>
        <v>0.06370206032528025</v>
      </c>
      <c r="F267" s="40">
        <f>F266/Inputs!F154-1</f>
        <v>0.14479693113316694</v>
      </c>
      <c r="G267" s="40">
        <f>G266/Inputs!G154-1</f>
        <v>0.008392434988179653</v>
      </c>
      <c r="H267" s="41">
        <f t="shared" si="3"/>
        <v>0.12027659611963348</v>
      </c>
    </row>
    <row r="268" ht="15" customHeight="1">
      <c r="B268" s="21" t="s">
        <v>130</v>
      </c>
      <c r="C268" s="40">
        <f>C266/Inputs!G154-1</f>
        <v>-0.09125295508274234</v>
      </c>
      <c r="D268" s="22">
        <f t="shared" si="29"/>
        <v>0.07225546305931307</v>
      </c>
      <c r="E268" s="22"/>
      <c r="F268" s="22">
        <f t="shared" si="31"/>
        <v>0.14035300539819273</v>
      </c>
      <c r="G268" s="22">
        <f t="shared" si="29"/>
        <v>-0.0924950800489337</v>
      </c>
      <c r="H268" s="41">
        <f t="shared" si="29"/>
        <v>0.009575251549377883</v>
      </c>
    </row>
    <row r="269" ht="15" customHeight="1">
      <c r="B269" s="21" t="s">
        <v>132</v>
      </c>
      <c r="C269" s="40">
        <f>C266/Inputs!C154-1</f>
        <v>-0.029537995455693133</v>
      </c>
      <c r="D269" s="40">
        <f>D266/Inputs!D154-1</f>
        <v>0.08090211761620658</v>
      </c>
      <c r="E269" s="40">
        <f>E266/Inputs!E154-1</f>
        <v>0.06370206032528025</v>
      </c>
      <c r="F269" s="40">
        <f>F266/Inputs!F154-1</f>
        <v>0.14479693113316694</v>
      </c>
      <c r="G269" s="40">
        <f>G266/Inputs!G154-1</f>
        <v>0.008392434988179653</v>
      </c>
      <c r="H269" s="41">
        <f>H266/C266-1</f>
        <v>0.12027659611963348</v>
      </c>
    </row>
    <row r="270" ht="15" customHeight="1">
      <c r="B270" s="53" t="s">
        <v>133</v>
      </c>
      <c r="C270" s="51" t="s">
        <v>91</v>
      </c>
      <c r="D270" s="51" t="s">
        <v>91</v>
      </c>
      <c r="E270" s="51" t="s">
        <v>91</v>
      </c>
      <c r="F270" s="51" t="s">
        <v>91</v>
      </c>
      <c r="G270" s="51" t="s">
        <v>91</v>
      </c>
      <c r="H270" s="61" t="s">
        <v>91</v>
      </c>
      <c r="I270" s="15" t="s">
        <v>134</v>
      </c>
    </row>
    <row r="271" ht="15" customHeight="1">
      <c r="B271" s="53" t="s">
        <v>135</v>
      </c>
      <c r="C271" s="51" t="s">
        <v>91</v>
      </c>
      <c r="D271" s="51" t="s">
        <v>91</v>
      </c>
      <c r="E271" s="51" t="s">
        <v>91</v>
      </c>
      <c r="F271" s="51" t="s">
        <v>91</v>
      </c>
      <c r="G271" s="51" t="s">
        <v>91</v>
      </c>
      <c r="H271" s="61" t="s">
        <v>91</v>
      </c>
      <c r="I271" s="15" t="s">
        <v>136</v>
      </c>
    </row>
    <row r="272" ht="15" customHeight="1">
      <c r="B272" s="53" t="s">
        <v>137</v>
      </c>
      <c r="C272" s="51" t="s">
        <v>91</v>
      </c>
      <c r="D272" s="51" t="s">
        <v>91</v>
      </c>
      <c r="E272" s="51" t="s">
        <v>91</v>
      </c>
      <c r="F272" s="51" t="s">
        <v>91</v>
      </c>
      <c r="G272" s="51" t="s">
        <v>91</v>
      </c>
      <c r="H272" s="61" t="s">
        <v>91</v>
      </c>
      <c r="I272" s="15" t="s">
        <v>138</v>
      </c>
    </row>
    <row r="273" ht="15" customHeight="1">
      <c r="B273" s="44" t="s">
        <v>186</v>
      </c>
      <c r="C273" s="55">
        <v>1537.6</v>
      </c>
      <c r="D273" s="55">
        <v>1648.7</v>
      </c>
      <c r="E273" s="55">
        <v>6520.6</v>
      </c>
      <c r="F273" s="55">
        <v>1880.1</v>
      </c>
      <c r="G273" s="55">
        <v>1706.2</v>
      </c>
      <c r="H273" s="54"/>
      <c r="I273" s="15" t="s">
        <v>187</v>
      </c>
    </row>
    <row r="274" ht="15" customHeight="1">
      <c r="B274" s="37" t="s">
        <v>188</v>
      </c>
      <c r="C274" s="16" t="b">
        <f t="shared" si="53" ref="C274:G274">AND(ABS(C266-C226-C242-C256)&lt;0.001,ABS(C266-C273)&lt;0.15)</f>
        <v>1</v>
      </c>
      <c r="D274" s="16" t="b">
        <f t="shared" si="53"/>
        <v>1</v>
      </c>
      <c r="E274" s="16" t="b">
        <f t="shared" si="53"/>
        <v>1</v>
      </c>
      <c r="F274" s="16" t="b">
        <f t="shared" si="53"/>
        <v>1</v>
      </c>
      <c r="G274" s="16" t="b">
        <f t="shared" si="53"/>
        <v>1</v>
      </c>
      <c r="H274" s="49" t="b">
        <f>AND(ABS(H266-H226-H242-H256)&lt;0.001,TRUE)</f>
        <v>1</v>
      </c>
      <c r="I274" s="15" t="s">
        <v>189</v>
      </c>
    </row>
    <row r="275" ht="15" customHeight="1">
      <c r="B275" s="17" t="s">
        <v>190</v>
      </c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4B5CC895-62B6-41F8-27E8-C09D18FA9C2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8" width="12.00390625" customWidth="1"/>
    <col min="9" max="9" width="60.00390625" customWidth="1"/>
  </cols>
  <sheetData>
    <row r="2" ht="15" customHeight="1">
      <c r="B2" s="2" t="s">
        <v>1</v>
      </c>
    </row>
    <row r="3" ht="15" customHeight="1">
      <c r="B3" s="3" t="s">
        <v>191</v>
      </c>
    </row>
    <row r="4" ht="15" customHeight="1">
      <c r="B4" s="4" t="s">
        <v>3</v>
      </c>
    </row>
    <row r="5" ht="15" customHeight="1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7" t="s">
        <v>10</v>
      </c>
      <c r="I5" s="8" t="s">
        <v>11</v>
      </c>
    </row>
    <row r="6" ht="15" customHeight="1">
      <c r="B6" s="9" t="s">
        <v>12</v>
      </c>
      <c r="C6" s="10">
        <f>DATE(2025,9,30)</f>
        <v>45930</v>
      </c>
      <c r="D6" s="10">
        <f t="shared" si="0" ref="D6:E6">DATE(2025,12,31)</f>
        <v>46022</v>
      </c>
      <c r="E6" s="10">
        <f t="shared" si="0"/>
        <v>46022</v>
      </c>
      <c r="F6" s="10">
        <f>DATE(2026,3,31)</f>
        <v>46112</v>
      </c>
      <c r="G6" s="10">
        <f>DATE(2026,6,30)</f>
        <v>46203</v>
      </c>
      <c r="H6" s="11">
        <f>DATE(2026,9,30)</f>
        <v>46295</v>
      </c>
      <c r="I6" s="9"/>
    </row>
    <row r="7" ht="15" customHeight="1">
      <c r="B7" s="12" t="s">
        <v>13</v>
      </c>
      <c r="C7" s="13">
        <f>C6-DATE(2025,6,30)</f>
        <v>92</v>
      </c>
      <c r="D7" s="13">
        <f>D6-DATE(2025,9,30)</f>
        <v>92</v>
      </c>
      <c r="E7" s="13">
        <f>E6-DATE(2024,12,31)</f>
        <v>365</v>
      </c>
      <c r="F7" s="13">
        <f>F6-DATE(2025,12,31)</f>
        <v>90</v>
      </c>
      <c r="G7" s="13">
        <f>G6-DATE(2026,3,31)</f>
        <v>91</v>
      </c>
      <c r="H7" s="14">
        <f>H6-DATE(2026,6,30)</f>
        <v>92</v>
      </c>
      <c r="I7" s="12"/>
    </row>
    <row r="9" ht="15" customHeight="1">
      <c r="B9" s="17" t="s">
        <v>192</v>
      </c>
      <c r="I9" s="33" t="s">
        <v>193</v>
      </c>
    </row>
    <row r="10" ht="15" customHeight="1">
      <c r="B10" s="44" t="s">
        <v>194</v>
      </c>
      <c r="C10" s="19">
        <f>'Revenue summary'!C226</f>
        <v>1227.8999999999999</v>
      </c>
      <c r="D10" s="19">
        <f>'Revenue summary'!D226</f>
        <v>1327.8999999999999</v>
      </c>
      <c r="E10" s="19">
        <f>'Revenue summary'!E226</f>
        <v>5281.1</v>
      </c>
      <c r="F10" s="19">
        <f>'Revenue summary'!F226</f>
        <v>1542.6000000000001</v>
      </c>
      <c r="G10" s="19">
        <f>'Revenue summary'!G226</f>
        <v>1352.5</v>
      </c>
      <c r="H10" s="64">
        <f>'Revenue summary'!H226</f>
        <v>1369.9482941935482</v>
      </c>
    </row>
    <row r="11" ht="15" customHeight="1">
      <c r="B11" s="21" t="s">
        <v>129</v>
      </c>
      <c r="C11" s="40">
        <f>C10/Inputs!C149-1</f>
        <v>-0.053349780279084325</v>
      </c>
      <c r="D11" s="40">
        <f>D10/Inputs!D149-1</f>
        <v>0.07757851172604058</v>
      </c>
      <c r="E11" s="40">
        <f>E10/Inputs!E149-1</f>
        <v>0.0587185758389801</v>
      </c>
      <c r="F11" s="40">
        <f>F10/Inputs!F149-1</f>
        <v>0.15351828310775462</v>
      </c>
      <c r="G11" s="40">
        <f>G10/Inputs!G149-1</f>
        <v>-0.025576368876080724</v>
      </c>
      <c r="H11" s="41">
        <f t="shared" si="1" ref="H11:H148">H10/C10-1</f>
        <v>0.11568392718751386</v>
      </c>
    </row>
    <row r="12" ht="15" customHeight="1">
      <c r="B12" s="44" t="s">
        <v>195</v>
      </c>
      <c r="C12" s="19">
        <f>'Revenue summary'!C242</f>
        <v>202.5</v>
      </c>
      <c r="D12" s="19">
        <f>'Revenue summary'!D242</f>
        <v>208</v>
      </c>
      <c r="E12" s="19">
        <f>'Revenue summary'!E242</f>
        <v>803.1</v>
      </c>
      <c r="F12" s="19">
        <f>'Revenue summary'!F242</f>
        <v>224.1</v>
      </c>
      <c r="G12" s="19">
        <f>'Revenue summary'!G242</f>
        <v>238.1</v>
      </c>
      <c r="H12" s="64">
        <f>'Revenue summary'!H242</f>
        <v>236.411</v>
      </c>
    </row>
    <row r="13" ht="15" customHeight="1">
      <c r="B13" s="21" t="s">
        <v>129</v>
      </c>
      <c r="C13" s="40">
        <f>C12/Inputs!C152-1</f>
        <v>0.13636363636363646</v>
      </c>
      <c r="D13" s="40">
        <f>D12/Inputs!D152-1</f>
        <v>0.14537444933920707</v>
      </c>
      <c r="E13" s="40">
        <f>E12/Inputs!E152-1</f>
        <v>0.13080822303576456</v>
      </c>
      <c r="F13" s="40">
        <f>F12/Inputs!F152-1</f>
        <v>0.15218508997429292</v>
      </c>
      <c r="G13" s="40">
        <f>G12/Inputs!G152-1</f>
        <v>0.2019182231196366</v>
      </c>
      <c r="H13" s="41">
        <f t="shared" si="1"/>
        <v>0.16746172839506168</v>
      </c>
    </row>
    <row r="14" ht="15" customHeight="1">
      <c r="B14" s="44" t="s">
        <v>196</v>
      </c>
      <c r="C14" s="19">
        <f>'Revenue summary'!C256</f>
        <v>107.2</v>
      </c>
      <c r="D14" s="19">
        <f>'Revenue summary'!D256</f>
        <v>112.8</v>
      </c>
      <c r="E14" s="19">
        <f>'Revenue summary'!E256</f>
        <v>436.40000000000003</v>
      </c>
      <c r="F14" s="19">
        <f>'Revenue summary'!F256</f>
        <v>113.4</v>
      </c>
      <c r="G14" s="19">
        <f>'Revenue summary'!G256</f>
        <v>115.6</v>
      </c>
      <c r="H14" s="64">
        <f>'Revenue summary'!H256</f>
        <v>116.17799999999998</v>
      </c>
    </row>
    <row r="15" ht="15" customHeight="1">
      <c r="B15" s="21" t="s">
        <v>129</v>
      </c>
      <c r="C15" s="40">
        <f>C14/Inputs!C153-1</f>
        <v>-0.01741521539871671</v>
      </c>
      <c r="D15" s="40">
        <f>D14/Inputs!D153-1</f>
        <v>0.012567324955116588</v>
      </c>
      <c r="E15" s="40">
        <f>E14/Inputs!E153-1</f>
        <v>0.010887190178364703</v>
      </c>
      <c r="F15" s="40">
        <f>F14/Inputs!F153-1</f>
        <v>0.026244343891402844</v>
      </c>
      <c r="G15" s="40">
        <f>G14/Inputs!G153-1</f>
        <v>0.09159584513692143</v>
      </c>
      <c r="H15" s="41">
        <f t="shared" si="1"/>
        <v>0.08374999999999977</v>
      </c>
    </row>
    <row r="16" ht="15" customHeight="1">
      <c r="B16" s="17" t="s">
        <v>185</v>
      </c>
      <c r="C16" s="57">
        <f t="shared" si="2" ref="C16:H16">C10+C12+C14</f>
        <v>1537.6</v>
      </c>
      <c r="D16" s="57">
        <f t="shared" si="2"/>
        <v>1648.6999999999998</v>
      </c>
      <c r="E16" s="57">
        <f t="shared" si="2"/>
        <v>6520.6</v>
      </c>
      <c r="F16" s="57">
        <f t="shared" si="2"/>
        <v>1880.1000000000001</v>
      </c>
      <c r="G16" s="57">
        <f t="shared" si="2"/>
        <v>1706.1999999999998</v>
      </c>
      <c r="H16" s="58">
        <f t="shared" si="2"/>
        <v>1722.5372941935482</v>
      </c>
    </row>
    <row r="17" ht="15" customHeight="1">
      <c r="B17" s="21" t="s">
        <v>129</v>
      </c>
      <c r="C17" s="40">
        <f>C16/Inputs!C154-1</f>
        <v>-0.029537995455693133</v>
      </c>
      <c r="D17" s="40">
        <f>D16/Inputs!D154-1</f>
        <v>0.08090211761620658</v>
      </c>
      <c r="E17" s="40">
        <f>E16/Inputs!E154-1</f>
        <v>0.06370206032528025</v>
      </c>
      <c r="F17" s="40">
        <f>F16/Inputs!F154-1</f>
        <v>0.14479693113316694</v>
      </c>
      <c r="G17" s="40">
        <f>G16/Inputs!G154-1</f>
        <v>0.008392434988179653</v>
      </c>
      <c r="H17" s="41">
        <f t="shared" si="1"/>
        <v>0.12027659611963348</v>
      </c>
    </row>
    <row r="18" ht="15" customHeight="1">
      <c r="B18" s="21" t="s">
        <v>130</v>
      </c>
      <c r="C18" s="40">
        <f>C16/Inputs!G154-1</f>
        <v>-0.09125295508274234</v>
      </c>
      <c r="D18" s="22">
        <f t="shared" si="3" ref="D18:H18">D16/C16-1</f>
        <v>0.07225546305931307</v>
      </c>
      <c r="E18" s="22"/>
      <c r="F18" s="22">
        <f>F16/D16-1</f>
        <v>0.14035300539819273</v>
      </c>
      <c r="G18" s="22">
        <f t="shared" si="3"/>
        <v>-0.0924950800489337</v>
      </c>
      <c r="H18" s="41">
        <f t="shared" si="3"/>
        <v>0.009575251549377883</v>
      </c>
    </row>
    <row r="19" ht="15" customHeight="1">
      <c r="B19" s="17" t="s">
        <v>197</v>
      </c>
      <c r="I19" s="33" t="s">
        <v>198</v>
      </c>
    </row>
    <row r="20" ht="15" customHeight="1">
      <c r="B20" s="44" t="s">
        <v>199</v>
      </c>
      <c r="C20" s="55">
        <v>237.6</v>
      </c>
      <c r="D20" s="55">
        <v>241.1</v>
      </c>
      <c r="E20" s="19">
        <f>Inputs!F179+Inputs!G179+C20+D20</f>
        <v>907</v>
      </c>
      <c r="F20" s="55">
        <v>223</v>
      </c>
      <c r="G20" s="55">
        <v>233.5</v>
      </c>
      <c r="H20" s="56">
        <v>221</v>
      </c>
      <c r="I20" s="15" t="s">
        <v>200</v>
      </c>
    </row>
    <row r="21" ht="15" customHeight="1">
      <c r="B21" s="21" t="s">
        <v>129</v>
      </c>
      <c r="C21" s="40">
        <f>C20/Inputs!C179-1</f>
        <v>0.08592321755027421</v>
      </c>
      <c r="D21" s="40">
        <f>D20/Inputs!D179-1</f>
        <v>0.09193840579710133</v>
      </c>
      <c r="E21" s="40">
        <f>E20/Inputs!E179-1</f>
        <v>0.06668234740679768</v>
      </c>
      <c r="F21" s="40">
        <f>F20/Inputs!F179-1</f>
        <v>0.07885824866956948</v>
      </c>
      <c r="G21" s="40">
        <f>G20/Inputs!G179-1</f>
        <v>0.05370036101083042</v>
      </c>
      <c r="H21" s="41">
        <f t="shared" si="1"/>
        <v>-0.06986531986531985</v>
      </c>
    </row>
    <row r="22" ht="15" customHeight="1">
      <c r="B22" s="44" t="s">
        <v>201</v>
      </c>
      <c r="C22" s="55">
        <v>71.4</v>
      </c>
      <c r="D22" s="55">
        <v>75.2</v>
      </c>
      <c r="E22" s="19">
        <f>Inputs!F180+Inputs!G180+C22+D22</f>
        <v>283.20000000000005</v>
      </c>
      <c r="F22" s="55">
        <v>76.6</v>
      </c>
      <c r="G22" s="55">
        <v>83.3</v>
      </c>
      <c r="H22" s="56">
        <v>85</v>
      </c>
      <c r="I22" s="15" t="s">
        <v>202</v>
      </c>
    </row>
    <row r="23" ht="15" customHeight="1">
      <c r="B23" s="21" t="s">
        <v>129</v>
      </c>
      <c r="C23" s="40">
        <f>C22/Inputs!C180-1</f>
        <v>0.07207207207207222</v>
      </c>
      <c r="D23" s="40">
        <f>D22/Inputs!D180-1</f>
        <v>0.14459665144596645</v>
      </c>
      <c r="E23" s="40">
        <f>E22/Inputs!E180-1</f>
        <v>0.10711493354182977</v>
      </c>
      <c r="F23" s="40">
        <f>F22/Inputs!F180-1</f>
        <v>0.16590563165905614</v>
      </c>
      <c r="G23" s="40">
        <f>G22/Inputs!G180-1</f>
        <v>0.17489421720733422</v>
      </c>
      <c r="H23" s="41">
        <f t="shared" si="1"/>
        <v>0.19047619047619047</v>
      </c>
    </row>
    <row r="24" ht="15" customHeight="1">
      <c r="B24" s="44" t="s">
        <v>203</v>
      </c>
      <c r="C24" s="55">
        <v>36.7</v>
      </c>
      <c r="D24" s="55">
        <v>47.9</v>
      </c>
      <c r="E24" s="19">
        <f>Inputs!F181+Inputs!G181+C24+D24</f>
        <v>150.5</v>
      </c>
      <c r="F24" s="55">
        <v>28.2</v>
      </c>
      <c r="G24" s="55">
        <v>29.1</v>
      </c>
      <c r="H24" s="56">
        <v>30</v>
      </c>
      <c r="I24" s="15" t="s">
        <v>204</v>
      </c>
    </row>
    <row r="25" ht="15" customHeight="1">
      <c r="B25" s="21" t="s">
        <v>129</v>
      </c>
      <c r="C25" s="40">
        <f>C24/Inputs!C181-1</f>
        <v>0.18387096774193568</v>
      </c>
      <c r="D25" s="40">
        <f>D24/Inputs!D181-1</f>
        <v>0.4129793510324484</v>
      </c>
      <c r="E25" s="40">
        <f>E24/Inputs!E181-1</f>
        <v>0.13413715146948002</v>
      </c>
      <c r="F25" s="40">
        <f>F24/Inputs!F181-1</f>
        <v>-0.010526315789473717</v>
      </c>
      <c r="G25" s="40">
        <f>G24/Inputs!G181-1</f>
        <v>-0.22192513368983946</v>
      </c>
      <c r="H25" s="41">
        <f t="shared" si="1"/>
        <v>-0.1825613079019074</v>
      </c>
    </row>
    <row r="26" ht="15" customHeight="1">
      <c r="B26" s="44" t="s">
        <v>205</v>
      </c>
      <c r="C26" s="55">
        <v>56.2</v>
      </c>
      <c r="D26" s="55">
        <v>55.9</v>
      </c>
      <c r="E26" s="19">
        <f>Inputs!F182+Inputs!G182+C26+D26</f>
        <v>223.4</v>
      </c>
      <c r="F26" s="55">
        <v>56.1</v>
      </c>
      <c r="G26" s="55">
        <v>56</v>
      </c>
      <c r="H26" s="56">
        <v>56</v>
      </c>
      <c r="I26" s="15" t="s">
        <v>206</v>
      </c>
    </row>
    <row r="27" ht="15" customHeight="1">
      <c r="B27" s="21" t="s">
        <v>129</v>
      </c>
      <c r="C27" s="40">
        <f>C26/Inputs!C182-1</f>
        <v>0.008976660682226134</v>
      </c>
      <c r="D27" s="40">
        <f>D26/Inputs!D182-1</f>
        <v>0.010849909584086825</v>
      </c>
      <c r="E27" s="40">
        <f>E26/Inputs!E182-1</f>
        <v>0.007668019846639673</v>
      </c>
      <c r="F27" s="40">
        <f>F26/Inputs!F182-1</f>
        <v>0.016304347826086918</v>
      </c>
      <c r="G27" s="40">
        <f>G26/Inputs!G182-1</f>
        <v>-0.0017825311942959443</v>
      </c>
      <c r="H27" s="41">
        <f t="shared" si="1"/>
        <v>-0.003558718861210064</v>
      </c>
    </row>
    <row r="28" ht="15" customHeight="1">
      <c r="B28" s="44" t="s">
        <v>207</v>
      </c>
      <c r="C28" s="55">
        <v>26.4</v>
      </c>
      <c r="D28" s="55">
        <v>26.5</v>
      </c>
      <c r="E28" s="19">
        <f>Inputs!F183+Inputs!G183+C28+D28</f>
        <v>107.5</v>
      </c>
      <c r="F28" s="55">
        <v>27.2</v>
      </c>
      <c r="G28" s="55">
        <v>28.2</v>
      </c>
      <c r="H28" s="56">
        <v>28</v>
      </c>
    </row>
    <row r="29" ht="15" customHeight="1">
      <c r="B29" s="21" t="s">
        <v>129</v>
      </c>
      <c r="C29" s="40">
        <f>C28/Inputs!C183-1</f>
        <v>-0.06382978723404253</v>
      </c>
      <c r="D29" s="40">
        <f>D28/Inputs!D183-1</f>
        <v>-0.05693950177935947</v>
      </c>
      <c r="E29" s="40">
        <f>E28/Inputs!E183-1</f>
        <v>-0.06602953953084267</v>
      </c>
      <c r="F29" s="40">
        <f>F28/Inputs!F183-1</f>
        <v>-0.003663003663003761</v>
      </c>
      <c r="G29" s="40">
        <f>G28/Inputs!G183-1</f>
        <v>0.03296703296703285</v>
      </c>
      <c r="H29" s="41">
        <f t="shared" si="1"/>
        <v>0.06060606060606055</v>
      </c>
    </row>
    <row r="30" ht="15" customHeight="1">
      <c r="B30" s="44" t="s">
        <v>208</v>
      </c>
      <c r="C30" s="19">
        <f>C33/'Revenue summary'!C79*100</f>
        <v>20.3090156100669</v>
      </c>
      <c r="D30" s="19">
        <f>D33/'Revenue summary'!D79*100</f>
        <v>19.5060093047299</v>
      </c>
      <c r="E30" s="19">
        <f>E33/'Revenue summary'!E79*100</f>
        <v>19.94720174632106</v>
      </c>
      <c r="F30" s="19">
        <f>F33/'Revenue summary'!F79*100</f>
        <v>20.228996789499103</v>
      </c>
      <c r="G30" s="19">
        <f>G33/'Revenue summary'!G79*100</f>
        <v>20.383150924995235</v>
      </c>
      <c r="H30" s="56">
        <v>20.35</v>
      </c>
      <c r="I30" s="15" t="s">
        <v>209</v>
      </c>
    </row>
    <row r="31" ht="15" customHeight="1">
      <c r="B31" s="37" t="s">
        <v>210</v>
      </c>
      <c r="C31" s="19">
        <f>C30-Inputs!C184/(Inputs!C157*Inputs!C155/1000)*100</f>
        <v>-0.2796167647137082</v>
      </c>
      <c r="D31" s="19">
        <f>D30-Inputs!D184/(Inputs!D157*Inputs!D155/1000)*100</f>
        <v>-1.1860922245149368</v>
      </c>
      <c r="E31" s="20"/>
      <c r="F31" s="19">
        <f>F30-Inputs!F184/(Inputs!F157*Inputs!F155/1000)*100</f>
        <v>0.4264888818206103</v>
      </c>
      <c r="G31" s="19">
        <f>G30-Inputs!G184/(Inputs!G157*Inputs!G155/1000)*100</f>
        <v>0.12975184881971558</v>
      </c>
      <c r="H31" s="54">
        <f t="shared" si="15" ref="H31:H70">H30-C30</f>
        <v>0.04098438993310083</v>
      </c>
    </row>
    <row r="32" ht="15" customHeight="1">
      <c r="B32" s="37" t="s">
        <v>106</v>
      </c>
      <c r="C32" s="19">
        <f>C30-Inputs!G184/(Inputs!G157*Inputs!G155/1000)*100</f>
        <v>0.05561653389138144</v>
      </c>
      <c r="D32" s="20">
        <f t="shared" si="4" ref="D32:H32">(D30-C30)</f>
        <v>-0.803006305337</v>
      </c>
      <c r="E32" s="20"/>
      <c r="F32" s="20">
        <f>(F30-D30)</f>
        <v>0.7229874847692024</v>
      </c>
      <c r="G32" s="20">
        <f t="shared" si="4"/>
        <v>0.15415413549613177</v>
      </c>
      <c r="H32" s="54">
        <f t="shared" si="4"/>
        <v>-0.03315092499523331</v>
      </c>
    </row>
    <row r="33" ht="15" customHeight="1">
      <c r="B33" s="44" t="s">
        <v>211</v>
      </c>
      <c r="C33" s="55">
        <v>81.6</v>
      </c>
      <c r="D33" s="55">
        <v>96.6</v>
      </c>
      <c r="E33" s="19">
        <f>Inputs!F184+Inputs!G184+C33+D33</f>
        <v>371</v>
      </c>
      <c r="F33" s="55">
        <v>106.8</v>
      </c>
      <c r="G33" s="55">
        <v>109.1</v>
      </c>
      <c r="H33" s="64">
        <f>H30*'Revenue summary'!H79/100</f>
        <v>100.28480000000002</v>
      </c>
    </row>
    <row r="34" ht="15" customHeight="1">
      <c r="B34" s="21" t="s">
        <v>129</v>
      </c>
      <c r="C34" s="40">
        <f>C33/Inputs!C184-1</f>
        <v>-0.16393442622950816</v>
      </c>
      <c r="D34" s="40">
        <f>D33/Inputs!D184-1</f>
        <v>0.1499999999999999</v>
      </c>
      <c r="E34" s="40">
        <f>E33/Inputs!E184-1</f>
        <v>0.043894203714125</v>
      </c>
      <c r="F34" s="40">
        <f>F33/Inputs!F184-1</f>
        <v>0.10559006211180133</v>
      </c>
      <c r="G34" s="40">
        <f>G33/Inputs!G184-1</f>
        <v>0.13409563409563408</v>
      </c>
      <c r="H34" s="41">
        <f t="shared" si="1"/>
        <v>0.22898039215686317</v>
      </c>
    </row>
    <row r="35" ht="15" customHeight="1">
      <c r="B35" s="44" t="s">
        <v>196</v>
      </c>
      <c r="C35" s="55">
        <v>55.1</v>
      </c>
      <c r="D35" s="55">
        <v>85.9</v>
      </c>
      <c r="E35" s="19">
        <f>Inputs!F185+Inputs!G185+C35+D35</f>
        <v>248.5</v>
      </c>
      <c r="F35" s="55">
        <v>52.5</v>
      </c>
      <c r="G35" s="55">
        <v>59.9</v>
      </c>
      <c r="H35" s="56">
        <v>57</v>
      </c>
      <c r="I35" s="15" t="s">
        <v>212</v>
      </c>
    </row>
    <row r="36" ht="15" customHeight="1">
      <c r="B36" s="21" t="s">
        <v>129</v>
      </c>
      <c r="C36" s="40">
        <f>C35/Inputs!C185-1</f>
        <v>-0.11556982343499189</v>
      </c>
      <c r="D36" s="40">
        <f>D35/Inputs!D185-1</f>
        <v>-0.0497787610619469</v>
      </c>
      <c r="E36" s="40">
        <f>E35/Inputs!E185-1</f>
        <v>-0.07137518684603894</v>
      </c>
      <c r="F36" s="40">
        <f>F35/Inputs!F185-1</f>
        <v>-0.03314917127071815</v>
      </c>
      <c r="G36" s="40">
        <f>G35/Inputs!G185-1</f>
        <v>0.12593984962406002</v>
      </c>
      <c r="H36" s="41">
        <f t="shared" si="1"/>
        <v>0.034482758620689724</v>
      </c>
    </row>
    <row r="37" ht="15" customHeight="1">
      <c r="B37" s="17" t="s">
        <v>213</v>
      </c>
      <c r="C37" s="57">
        <f t="shared" si="5" ref="C37:H37">SUM(C20,C22,C24,C26,C28,C33,C35)</f>
        <v>565</v>
      </c>
      <c r="D37" s="57">
        <f t="shared" si="5"/>
        <v>629.1</v>
      </c>
      <c r="E37" s="57">
        <f t="shared" si="5"/>
        <v>2291.1</v>
      </c>
      <c r="F37" s="57">
        <f t="shared" si="5"/>
        <v>570.4</v>
      </c>
      <c r="G37" s="57">
        <f t="shared" si="5"/>
        <v>599.1</v>
      </c>
      <c r="H37" s="58">
        <f t="shared" si="5"/>
        <v>577.2848</v>
      </c>
      <c r="I37" s="15" t="s">
        <v>214</v>
      </c>
    </row>
    <row r="38" ht="15" customHeight="1">
      <c r="B38" s="21" t="s">
        <v>129</v>
      </c>
      <c r="C38" s="40">
        <f>C37/Inputs!C186-1</f>
        <v>0.008568368439842766</v>
      </c>
      <c r="D38" s="40">
        <f>D37/Inputs!D186-1</f>
        <v>0.08803182289865097</v>
      </c>
      <c r="E38" s="40">
        <f>E37/Inputs!E186-1</f>
        <v>0.042072227781315474</v>
      </c>
      <c r="F38" s="40">
        <f>F37/Inputs!F186-1</f>
        <v>0.06756503836795802</v>
      </c>
      <c r="G38" s="40">
        <f>G37/Inputs!G186-1</f>
        <v>0.06468811089390436</v>
      </c>
      <c r="H38" s="41">
        <f t="shared" si="1"/>
        <v>0.0217430088495576</v>
      </c>
    </row>
    <row r="39" ht="15" customHeight="1">
      <c r="B39" s="21" t="s">
        <v>215</v>
      </c>
      <c r="C39" s="22">
        <f t="shared" si="6" ref="C39:H39">C37/C16</f>
        <v>0.36745577523413114</v>
      </c>
      <c r="D39" s="22">
        <f t="shared" si="6"/>
        <v>0.3815733608297447</v>
      </c>
      <c r="E39" s="22">
        <f t="shared" si="6"/>
        <v>0.3513633714688832</v>
      </c>
      <c r="F39" s="22">
        <f t="shared" si="6"/>
        <v>0.3033881176533163</v>
      </c>
      <c r="G39" s="22">
        <f t="shared" si="6"/>
        <v>0.3511311686789357</v>
      </c>
      <c r="H39" s="41">
        <f t="shared" si="6"/>
        <v>0.3351363142882032</v>
      </c>
    </row>
    <row r="40" ht="15" customHeight="1">
      <c r="B40" s="53" t="s">
        <v>83</v>
      </c>
      <c r="C40" s="46">
        <f>(C39-Inputs!C186/Inputs!C154)*10000</f>
        <v>138.83445014489627</v>
      </c>
      <c r="D40" s="46">
        <f>(D39-Inputs!D186/Inputs!D154)*10000</f>
        <v>25.00391577794192</v>
      </c>
      <c r="E40" s="46">
        <f>(E39-Inputs!E186/Inputs!E154)*10000</f>
        <v>-72.93094167892755</v>
      </c>
      <c r="F40" s="46">
        <f>(F39-Inputs!F186/Inputs!F154)*10000</f>
        <v>-219.4830078424076</v>
      </c>
      <c r="G40" s="46">
        <f>(G39-Inputs!G186/Inputs!G154)*10000</f>
        <v>185.66156858604688</v>
      </c>
      <c r="H40" s="47">
        <f t="shared" si="10" ref="H40:H152">(H39-C39)*10000</f>
        <v>-323.1946094592797</v>
      </c>
    </row>
    <row r="41" ht="15" customHeight="1">
      <c r="B41" s="53" t="s">
        <v>84</v>
      </c>
      <c r="C41" s="46">
        <f>(C39-Inputs!G186/Inputs!G154)*10000</f>
        <v>348.9076341380015</v>
      </c>
      <c r="D41" s="48">
        <f t="shared" si="7" ref="D41:H153">(D39-C39)*10000</f>
        <v>141.17585595613548</v>
      </c>
      <c r="E41" s="48"/>
      <c r="F41" s="48">
        <f t="shared" si="11" ref="F41:F153">(F39-D39)*10000</f>
        <v>-781.8524317642839</v>
      </c>
      <c r="G41" s="48">
        <f t="shared" si="7"/>
        <v>477.43051025619377</v>
      </c>
      <c r="H41" s="47">
        <f t="shared" si="7"/>
        <v>-159.94854390732505</v>
      </c>
    </row>
    <row r="42" ht="15" customHeight="1">
      <c r="B42" s="17" t="s">
        <v>216</v>
      </c>
      <c r="C42" s="57">
        <f t="shared" si="8" ref="C42:H42">C16-C37</f>
        <v>972.5999999999999</v>
      </c>
      <c r="D42" s="57">
        <f t="shared" si="8"/>
        <v>1019.5999999999998</v>
      </c>
      <c r="E42" s="57">
        <f t="shared" si="8"/>
        <v>4229.5</v>
      </c>
      <c r="F42" s="57">
        <f t="shared" si="8"/>
        <v>1309.7000000000003</v>
      </c>
      <c r="G42" s="57">
        <f t="shared" si="8"/>
        <v>1107.1</v>
      </c>
      <c r="H42" s="58">
        <f t="shared" si="8"/>
        <v>1145.252494193548</v>
      </c>
      <c r="I42" s="15" t="s">
        <v>217</v>
      </c>
    </row>
    <row r="43" ht="15" customHeight="1">
      <c r="B43" s="21" t="s">
        <v>129</v>
      </c>
      <c r="C43" s="40">
        <f>C42/Inputs!C187-1</f>
        <v>-0.050380785002929196</v>
      </c>
      <c r="D43" s="40">
        <f>D42/Inputs!D187-1</f>
        <v>0.07654946679336905</v>
      </c>
      <c r="E43" s="40">
        <f>E42/Inputs!E187-1</f>
        <v>0.07579804146000257</v>
      </c>
      <c r="F43" s="40">
        <f>F42/Inputs!F187-1</f>
        <v>0.18203971119133588</v>
      </c>
      <c r="G43" s="40">
        <f>G42/Inputs!G187-1</f>
        <v>-0.019658195342247442</v>
      </c>
      <c r="H43" s="41">
        <f t="shared" si="1"/>
        <v>0.17751644478053485</v>
      </c>
    </row>
    <row r="44" ht="15" customHeight="1">
      <c r="B44" s="45" t="s">
        <v>218</v>
      </c>
      <c r="C44" s="22">
        <f t="shared" si="9" ref="C44:H44">C42/C16</f>
        <v>0.6325442247658689</v>
      </c>
      <c r="D44" s="22">
        <f t="shared" si="9"/>
        <v>0.6184266391702553</v>
      </c>
      <c r="E44" s="22">
        <f t="shared" si="9"/>
        <v>0.6486366285311167</v>
      </c>
      <c r="F44" s="22">
        <f t="shared" si="9"/>
        <v>0.6966118823466838</v>
      </c>
      <c r="G44" s="22">
        <f t="shared" si="9"/>
        <v>0.6488688313210643</v>
      </c>
      <c r="H44" s="41">
        <f t="shared" si="9"/>
        <v>0.6648636857117968</v>
      </c>
    </row>
    <row r="45" ht="15" customHeight="1">
      <c r="B45" s="21" t="s">
        <v>83</v>
      </c>
      <c r="C45" s="46">
        <f>(C44-Inputs!C187/Inputs!C154)*10000</f>
        <v>-138.8344501448957</v>
      </c>
      <c r="D45" s="46">
        <f>(D44-Inputs!D187/Inputs!D154)*10000</f>
        <v>-25.003915777942474</v>
      </c>
      <c r="E45" s="46">
        <f>(E44-Inputs!E187/Inputs!E154)*10000</f>
        <v>72.93094167892589</v>
      </c>
      <c r="F45" s="46">
        <f>(F44-Inputs!F187/Inputs!F154)*10000</f>
        <v>219.48300784240925</v>
      </c>
      <c r="G45" s="46">
        <f>(G44-Inputs!G187/Inputs!G154)*10000</f>
        <v>-185.66156858604631</v>
      </c>
      <c r="H45" s="47">
        <f t="shared" si="10"/>
        <v>323.1946094592786</v>
      </c>
    </row>
    <row r="46" ht="15" customHeight="1">
      <c r="B46" s="21" t="s">
        <v>84</v>
      </c>
      <c r="C46" s="46">
        <f>(C44-Inputs!G187/Inputs!G154)*10000</f>
        <v>-348.9076341380004</v>
      </c>
      <c r="D46" s="48">
        <f t="shared" si="7"/>
        <v>-141.17585595613602</v>
      </c>
      <c r="E46" s="48"/>
      <c r="F46" s="48">
        <f t="shared" si="11"/>
        <v>781.852431764285</v>
      </c>
      <c r="G46" s="48">
        <f t="shared" si="7"/>
        <v>-477.43051025619485</v>
      </c>
      <c r="H46" s="47">
        <f t="shared" si="7"/>
        <v>159.9485439073245</v>
      </c>
    </row>
    <row r="47" ht="15" customHeight="1">
      <c r="B47" s="17" t="s">
        <v>219</v>
      </c>
    </row>
    <row r="48" ht="15" customHeight="1">
      <c r="B48" s="37" t="s">
        <v>220</v>
      </c>
      <c r="C48" s="55">
        <v>1514.1</v>
      </c>
      <c r="D48" s="19">
        <f>E48-Inputs!F189-Inputs!G189-C48</f>
        <v>1378.3000000000002</v>
      </c>
      <c r="E48" s="55">
        <v>5253.6</v>
      </c>
      <c r="F48" s="55">
        <v>1371.1</v>
      </c>
      <c r="G48" s="55">
        <v>1388.8</v>
      </c>
      <c r="H48" s="54">
        <f>H61*1000*H64*H$7/365</f>
        <v>1380</v>
      </c>
      <c r="I48" s="15" t="s">
        <v>221</v>
      </c>
    </row>
    <row r="49" ht="15" customHeight="1">
      <c r="B49" s="37" t="s">
        <v>222</v>
      </c>
      <c r="C49" s="20">
        <f t="shared" si="12" ref="C49:G56">C50-C48</f>
        <v>34.600000000000136</v>
      </c>
      <c r="D49" s="20">
        <f t="shared" si="12"/>
        <v>398.39999999999986</v>
      </c>
      <c r="E49" s="20">
        <f t="shared" si="12"/>
        <v>482.89999999999964</v>
      </c>
      <c r="F49" s="20">
        <f t="shared" si="12"/>
        <v>18.200000000000045</v>
      </c>
      <c r="G49" s="20">
        <f t="shared" si="12"/>
        <v>40.90000000000009</v>
      </c>
      <c r="H49" s="56">
        <v>23</v>
      </c>
      <c r="I49" s="15" t="s">
        <v>223</v>
      </c>
    </row>
    <row r="50" ht="15" customHeight="1">
      <c r="B50" s="44" t="s">
        <v>224</v>
      </c>
      <c r="C50" s="55">
        <v>1548.7</v>
      </c>
      <c r="D50" s="55">
        <v>1776.7</v>
      </c>
      <c r="E50" s="19">
        <f>Inputs!F188+Inputs!G188+C50+D50</f>
        <v>5736.5</v>
      </c>
      <c r="F50" s="55">
        <v>1389.3</v>
      </c>
      <c r="G50" s="55">
        <v>1429.7</v>
      </c>
      <c r="H50" s="54">
        <f t="shared" si="13" ref="H50:H57">H48+H49</f>
        <v>1403</v>
      </c>
    </row>
    <row r="51" ht="15" customHeight="1">
      <c r="B51" s="21" t="s">
        <v>129</v>
      </c>
      <c r="C51" s="40">
        <f>C50/Inputs!C188-1</f>
        <v>0.5082781456953644</v>
      </c>
      <c r="D51" s="40">
        <f>D50/Inputs!D188-1</f>
        <v>0.8971703150026695</v>
      </c>
      <c r="E51" s="40">
        <f>E50/Inputs!E188-1</f>
        <v>0.4063151185310485</v>
      </c>
      <c r="F51" s="40">
        <f>F50/Inputs!F188-1</f>
        <v>0.556289907023636</v>
      </c>
      <c r="G51" s="40">
        <f>G50/Inputs!G188-1</f>
        <v>-0.058416754478398336</v>
      </c>
      <c r="H51" s="41">
        <f t="shared" si="1"/>
        <v>-0.09407890488797055</v>
      </c>
    </row>
    <row r="52" ht="15" customHeight="1">
      <c r="B52" s="44" t="s">
        <v>225</v>
      </c>
      <c r="C52" s="55">
        <v>-44</v>
      </c>
      <c r="D52" s="55">
        <v>-43.7</v>
      </c>
      <c r="E52" s="19">
        <f>Inputs!F190+Inputs!G190+C52+D52</f>
        <v>-173.39999999999998</v>
      </c>
      <c r="F52" s="55">
        <v>-43.6</v>
      </c>
      <c r="G52" s="55">
        <v>-43.6</v>
      </c>
      <c r="H52" s="56">
        <v>-43.6</v>
      </c>
      <c r="I52" s="15" t="s">
        <v>226</v>
      </c>
    </row>
    <row r="53" ht="15" customHeight="1">
      <c r="B53" s="44" t="s">
        <v>227</v>
      </c>
      <c r="C53" s="55">
        <v>96.3</v>
      </c>
      <c r="D53" s="55">
        <v>88.2</v>
      </c>
      <c r="E53" s="19">
        <f>Inputs!F191+Inputs!G191+C53+D53</f>
        <v>371.7</v>
      </c>
      <c r="F53" s="55">
        <v>102.4</v>
      </c>
      <c r="G53" s="55">
        <v>97.7</v>
      </c>
      <c r="H53" s="56">
        <v>99</v>
      </c>
      <c r="I53" s="15" t="s">
        <v>228</v>
      </c>
    </row>
    <row r="54" ht="15" customHeight="1">
      <c r="B54" s="21" t="s">
        <v>129</v>
      </c>
      <c r="C54" s="40">
        <f>C53/Inputs!C191-1</f>
        <v>0.11846689895470397</v>
      </c>
      <c r="D54" s="40">
        <f>D53/Inputs!D191-1</f>
        <v>-0.03289473684210531</v>
      </c>
      <c r="E54" s="40">
        <f>E53/Inputs!E191-1</f>
        <v>0.05927614705044171</v>
      </c>
      <c r="F54" s="40">
        <f>F53/Inputs!F191-1</f>
        <v>0.16099773242630389</v>
      </c>
      <c r="G54" s="40">
        <f>G53/Inputs!G191-1</f>
        <v>-0.013131313131313105</v>
      </c>
      <c r="H54" s="41">
        <f t="shared" si="1"/>
        <v>0.028037383177570208</v>
      </c>
    </row>
    <row r="55" ht="15" customHeight="1">
      <c r="B55" s="37" t="s">
        <v>229</v>
      </c>
      <c r="C55" s="55">
        <v>-1399.2</v>
      </c>
      <c r="D55" s="19">
        <f>E55-Inputs!F193-Inputs!G193-C55</f>
        <v>-1263.9999999999998</v>
      </c>
      <c r="E55" s="55">
        <v>-4842.5</v>
      </c>
      <c r="F55" s="55">
        <v>-1249.2</v>
      </c>
      <c r="G55" s="55">
        <v>-1265.7</v>
      </c>
      <c r="H55" s="54">
        <f>-(H48-H61*1000*H69/10000*H$7/365)</f>
        <v>-1258.56</v>
      </c>
      <c r="I55" s="15" t="s">
        <v>230</v>
      </c>
    </row>
    <row r="56" ht="15" customHeight="1">
      <c r="B56" s="37" t="s">
        <v>231</v>
      </c>
      <c r="C56" s="20">
        <f t="shared" si="12"/>
        <v>2.6000000000001364</v>
      </c>
      <c r="D56" s="20">
        <f t="shared" si="12"/>
        <v>1.5999999999996817</v>
      </c>
      <c r="E56" s="20">
        <f t="shared" si="12"/>
        <v>8.699999999999818</v>
      </c>
      <c r="F56" s="20">
        <f t="shared" si="12"/>
        <v>2.2999999999999545</v>
      </c>
      <c r="G56" s="20">
        <f t="shared" si="12"/>
        <v>2.5</v>
      </c>
      <c r="H56" s="56">
        <v>2.5</v>
      </c>
      <c r="I56" s="15" t="s">
        <v>232</v>
      </c>
    </row>
    <row r="57" ht="15" customHeight="1">
      <c r="B57" s="44" t="s">
        <v>233</v>
      </c>
      <c r="C57" s="55">
        <v>-1396.6</v>
      </c>
      <c r="D57" s="55">
        <v>-1262.4</v>
      </c>
      <c r="E57" s="19">
        <f>Inputs!F192+Inputs!G192+C57+D57</f>
        <v>-4833.8</v>
      </c>
      <c r="F57" s="55">
        <v>-1246.9</v>
      </c>
      <c r="G57" s="55">
        <v>-1263.2</v>
      </c>
      <c r="H57" s="54">
        <f t="shared" si="13"/>
        <v>-1256.06</v>
      </c>
    </row>
    <row r="58" ht="15" customHeight="1">
      <c r="B58" s="17" t="s">
        <v>234</v>
      </c>
      <c r="C58" s="57">
        <f t="shared" si="14" ref="C58:H58">C50+C52+C53+C57</f>
        <v>204.4000000000001</v>
      </c>
      <c r="D58" s="57">
        <f t="shared" si="14"/>
        <v>558.8</v>
      </c>
      <c r="E58" s="57">
        <f t="shared" si="14"/>
        <v>1101</v>
      </c>
      <c r="F58" s="57">
        <f t="shared" si="14"/>
        <v>201.20000000000005</v>
      </c>
      <c r="G58" s="57">
        <f t="shared" si="14"/>
        <v>220.60000000000014</v>
      </c>
      <c r="H58" s="58">
        <f t="shared" si="14"/>
        <v>202.34000000000015</v>
      </c>
    </row>
    <row r="59" ht="15" customHeight="1">
      <c r="B59" s="21" t="s">
        <v>129</v>
      </c>
      <c r="C59" s="40">
        <f>C58/Inputs!C194-1</f>
        <v>0.33857236411264124</v>
      </c>
      <c r="D59" s="40">
        <f>D58/Inputs!D194-1</f>
        <v>2.737792642140468</v>
      </c>
      <c r="E59" s="40">
        <f>E58/Inputs!E194-1</f>
        <v>0.8052139695031983</v>
      </c>
      <c r="F59" s="40">
        <f>F58/Inputs!F194-1</f>
        <v>0.47076023391812827</v>
      </c>
      <c r="G59" s="40">
        <f>G58/Inputs!G194-1</f>
        <v>0.09751243781094598</v>
      </c>
      <c r="H59" s="41">
        <f t="shared" si="1"/>
        <v>-0.010078277886496845</v>
      </c>
    </row>
    <row r="60" ht="15" customHeight="1">
      <c r="B60" s="17" t="s">
        <v>235</v>
      </c>
    </row>
    <row r="61" ht="15" customHeight="1">
      <c r="B61" s="44" t="s">
        <v>236</v>
      </c>
      <c r="C61" s="55">
        <v>135</v>
      </c>
      <c r="D61" s="16" t="s">
        <v>91</v>
      </c>
      <c r="E61" s="16" t="s">
        <v>91</v>
      </c>
      <c r="F61" s="55">
        <v>149.5</v>
      </c>
      <c r="G61" s="55">
        <v>150</v>
      </c>
      <c r="H61" s="56">
        <v>146</v>
      </c>
      <c r="I61" s="15" t="s">
        <v>237</v>
      </c>
    </row>
    <row r="62" ht="15" customHeight="1">
      <c r="B62" s="37" t="s">
        <v>182</v>
      </c>
      <c r="C62" s="20"/>
      <c r="D62" s="20"/>
      <c r="E62" s="20"/>
      <c r="F62" s="20"/>
      <c r="G62" s="20"/>
      <c r="H62" s="54">
        <f t="shared" si="15"/>
        <v>11</v>
      </c>
    </row>
    <row r="63" ht="15" customHeight="1">
      <c r="B63" s="37" t="s">
        <v>148</v>
      </c>
      <c r="C63" s="20"/>
      <c r="D63" s="20"/>
      <c r="E63" s="20"/>
      <c r="F63" s="20"/>
      <c r="G63" s="20">
        <f t="shared" si="16" ref="G63:H71">G61-F61</f>
        <v>0.5</v>
      </c>
      <c r="H63" s="54">
        <f t="shared" si="16"/>
        <v>-4</v>
      </c>
    </row>
    <row r="64" ht="15" customHeight="1">
      <c r="B64" s="45" t="s">
        <v>238</v>
      </c>
      <c r="C64" s="22">
        <f t="shared" si="17" ref="C64:G64">C48/(C61*1000*C$7/365)</f>
        <v>0.04449649758454106</v>
      </c>
      <c r="D64" s="22"/>
      <c r="E64" s="22"/>
      <c r="F64" s="22">
        <f t="shared" si="17"/>
        <v>0.0371944630248978</v>
      </c>
      <c r="G64" s="22">
        <f t="shared" si="17"/>
        <v>0.03713641025641025</v>
      </c>
      <c r="H64" s="52">
        <v>0.0375</v>
      </c>
      <c r="I64" s="15" t="s">
        <v>239</v>
      </c>
    </row>
    <row r="65" ht="15" customHeight="1">
      <c r="B65" s="21" t="s">
        <v>83</v>
      </c>
      <c r="C65" s="48"/>
      <c r="D65" s="48"/>
      <c r="E65" s="48"/>
      <c r="F65" s="48"/>
      <c r="G65" s="48"/>
      <c r="H65" s="47">
        <f t="shared" si="10"/>
        <v>-69.96497584541059</v>
      </c>
    </row>
    <row r="66" ht="15" customHeight="1">
      <c r="B66" s="21" t="s">
        <v>84</v>
      </c>
      <c r="C66" s="48"/>
      <c r="D66" s="48"/>
      <c r="E66" s="48"/>
      <c r="F66" s="48"/>
      <c r="G66" s="48">
        <f t="shared" si="7"/>
        <v>-0.5805276848755425</v>
      </c>
      <c r="H66" s="47">
        <f t="shared" si="7"/>
        <v>3.6358974358974976</v>
      </c>
    </row>
    <row r="67" ht="15" customHeight="1">
      <c r="B67" s="44" t="s">
        <v>240</v>
      </c>
      <c r="C67" s="20">
        <f t="shared" si="18" ref="C67:H67">C48+C55</f>
        <v>114.89999999999986</v>
      </c>
      <c r="D67" s="20">
        <f t="shared" si="18"/>
        <v>114.30000000000041</v>
      </c>
      <c r="E67" s="20">
        <f t="shared" si="18"/>
        <v>411.10000000000036</v>
      </c>
      <c r="F67" s="20">
        <f t="shared" si="18"/>
        <v>121.89999999999986</v>
      </c>
      <c r="G67" s="20">
        <f t="shared" si="18"/>
        <v>123.09999999999991</v>
      </c>
      <c r="H67" s="54">
        <f t="shared" si="18"/>
        <v>121.44000000000005</v>
      </c>
    </row>
    <row r="68" ht="15" customHeight="1">
      <c r="B68" s="21" t="s">
        <v>129</v>
      </c>
      <c r="C68" s="40">
        <f>C67/(Inputs!C189+Inputs!C193)-1</f>
        <v>0.6724890829694319</v>
      </c>
      <c r="D68" s="40">
        <f>D67/(Inputs!D189+Inputs!D193)-1</f>
        <v>0.675953079178885</v>
      </c>
      <c r="E68" s="40">
        <f>E67/(Inputs!E189+Inputs!E193)-1</f>
        <v>0.4981778425655985</v>
      </c>
      <c r="F68" s="40">
        <f>F67/(Inputs!F189+Inputs!F193)-1</f>
        <v>0.7718023255813915</v>
      </c>
      <c r="G68" s="40">
        <f>G67/(Inputs!G189+Inputs!G193)-1</f>
        <v>0.08841732979664019</v>
      </c>
      <c r="H68" s="41">
        <f t="shared" si="1"/>
        <v>0.05691906005222114</v>
      </c>
    </row>
    <row r="69" ht="15" customHeight="1">
      <c r="B69" s="44" t="s">
        <v>241</v>
      </c>
      <c r="C69" s="20">
        <f t="shared" si="19" ref="C69:G69">C67/(C61*1000*C$7/365)*10000</f>
        <v>33.766908212560345</v>
      </c>
      <c r="D69" s="20"/>
      <c r="E69" s="20"/>
      <c r="F69" s="20">
        <f t="shared" si="19"/>
        <v>33.06837606837603</v>
      </c>
      <c r="G69" s="20">
        <f t="shared" si="19"/>
        <v>32.91684981684979</v>
      </c>
      <c r="H69" s="56">
        <v>33</v>
      </c>
      <c r="I69" s="15" t="s">
        <v>242</v>
      </c>
    </row>
    <row r="70" ht="15" customHeight="1">
      <c r="B70" s="37" t="s">
        <v>83</v>
      </c>
      <c r="C70" s="20"/>
      <c r="D70" s="20"/>
      <c r="E70" s="20"/>
      <c r="F70" s="20"/>
      <c r="G70" s="20"/>
      <c r="H70" s="54">
        <f t="shared" si="15"/>
        <v>-0.7669082125603452</v>
      </c>
    </row>
    <row r="71" ht="15" customHeight="1">
      <c r="B71" s="37" t="s">
        <v>84</v>
      </c>
      <c r="C71" s="20"/>
      <c r="D71" s="20"/>
      <c r="E71" s="20"/>
      <c r="F71" s="20"/>
      <c r="G71" s="20">
        <f t="shared" si="16"/>
        <v>-0.1515262515262421</v>
      </c>
      <c r="H71" s="54">
        <f t="shared" si="16"/>
        <v>0.0831501831502095</v>
      </c>
    </row>
    <row r="72" ht="15" customHeight="1">
      <c r="B72" s="17" t="s">
        <v>243</v>
      </c>
      <c r="C72" s="57">
        <f t="shared" si="20" ref="C72:H72">C42+C58</f>
        <v>1177</v>
      </c>
      <c r="D72" s="57">
        <f t="shared" si="20"/>
        <v>1578.3999999999996</v>
      </c>
      <c r="E72" s="57">
        <f t="shared" si="20"/>
        <v>5330.5</v>
      </c>
      <c r="F72" s="57">
        <f t="shared" si="20"/>
        <v>1510.9000000000003</v>
      </c>
      <c r="G72" s="57">
        <f t="shared" si="20"/>
        <v>1327.7</v>
      </c>
      <c r="H72" s="58">
        <f t="shared" si="20"/>
        <v>1347.5924941935482</v>
      </c>
    </row>
    <row r="73" ht="15" customHeight="1">
      <c r="B73" s="21" t="s">
        <v>129</v>
      </c>
      <c r="C73" s="40">
        <f>C72/Inputs!C195-1</f>
        <v>0.00008496898632004424</v>
      </c>
      <c r="D73" s="40">
        <f>D72/Inputs!D195-1</f>
        <v>0.4393580156848438</v>
      </c>
      <c r="E73" s="40">
        <f>E72/Inputs!E195-1</f>
        <v>0.1737569912361827</v>
      </c>
      <c r="F73" s="40">
        <f>F72/Inputs!F195-1</f>
        <v>0.21376928020565567</v>
      </c>
      <c r="G73" s="40">
        <f>G72/Inputs!G195-1</f>
        <v>-0.001954446365481366</v>
      </c>
      <c r="H73" s="41">
        <f t="shared" si="1"/>
        <v>0.14493839778551254</v>
      </c>
    </row>
    <row r="74" ht="15" customHeight="1">
      <c r="B74" s="21" t="s">
        <v>244</v>
      </c>
      <c r="C74" s="22">
        <f t="shared" si="21" ref="C74:H74">C72/C16</f>
        <v>0.7654786680541104</v>
      </c>
      <c r="D74" s="22">
        <f t="shared" si="21"/>
        <v>0.9573603445138593</v>
      </c>
      <c r="E74" s="22">
        <f t="shared" si="21"/>
        <v>0.8174861209091188</v>
      </c>
      <c r="F74" s="22">
        <f t="shared" si="21"/>
        <v>0.8036274666241159</v>
      </c>
      <c r="G74" s="22">
        <f t="shared" si="21"/>
        <v>0.77816199742117</v>
      </c>
      <c r="H74" s="41">
        <f t="shared" si="21"/>
        <v>0.7823299377819622</v>
      </c>
    </row>
    <row r="75" ht="15" customHeight="1">
      <c r="B75" s="53" t="s">
        <v>83</v>
      </c>
      <c r="C75" s="46">
        <f>(C74-Inputs!C195/Inputs!C154)*10000</f>
        <v>226.738207933177</v>
      </c>
      <c r="D75" s="46">
        <f>(D74-Inputs!D195/Inputs!D154)*10000</f>
        <v>2384.1980822591604</v>
      </c>
      <c r="E75" s="46">
        <f>(E74-Inputs!E195/Inputs!E154)*10000</f>
        <v>766.4991921583475</v>
      </c>
      <c r="F75" s="46">
        <f>(F74-Inputs!F195/Inputs!F154)*10000</f>
        <v>456.6607102038922</v>
      </c>
      <c r="G75" s="46">
        <f>(G74-Inputs!G195/Inputs!G154)*10000</f>
        <v>-80.67316999633812</v>
      </c>
      <c r="H75" s="47">
        <f t="shared" si="10"/>
        <v>168.5126972785189</v>
      </c>
    </row>
    <row r="76" ht="15" customHeight="1">
      <c r="B76" s="53" t="s">
        <v>84</v>
      </c>
      <c r="C76" s="46">
        <f>(C74-Inputs!G195/Inputs!G154)*10000</f>
        <v>-207.50646366693437</v>
      </c>
      <c r="D76" s="48">
        <f t="shared" si="7"/>
        <v>1918.8167645974895</v>
      </c>
      <c r="E76" s="48"/>
      <c r="F76" s="48">
        <f t="shared" si="11"/>
        <v>-1537.3287788974344</v>
      </c>
      <c r="G76" s="48">
        <f t="shared" si="7"/>
        <v>-254.654692029459</v>
      </c>
      <c r="H76" s="47">
        <f t="shared" si="7"/>
        <v>41.67940360792266</v>
      </c>
    </row>
    <row r="77" ht="15" customHeight="1">
      <c r="B77" s="44" t="s">
        <v>245</v>
      </c>
      <c r="C77" s="55">
        <v>269</v>
      </c>
      <c r="D77" s="55">
        <v>395.5</v>
      </c>
      <c r="E77" s="19">
        <f>Inputs!F196+Inputs!G196+C77+D77</f>
        <v>1258.3</v>
      </c>
      <c r="F77" s="55">
        <v>356.6</v>
      </c>
      <c r="G77" s="55">
        <v>285.9</v>
      </c>
      <c r="H77" s="54">
        <f>H72-H81</f>
        <v>312.1374586529032</v>
      </c>
    </row>
    <row r="78" ht="15" customHeight="1">
      <c r="B78" s="45" t="s">
        <v>246</v>
      </c>
      <c r="C78" s="22">
        <f t="shared" si="22" ref="C78:H78">C77/C72</f>
        <v>0.22854715378079865</v>
      </c>
      <c r="D78" s="22">
        <f t="shared" si="22"/>
        <v>0.2505701976685252</v>
      </c>
      <c r="E78" s="22">
        <f t="shared" si="22"/>
        <v>0.23605665509802082</v>
      </c>
      <c r="F78" s="22">
        <f t="shared" si="22"/>
        <v>0.2360182672579257</v>
      </c>
      <c r="G78" s="22">
        <f t="shared" si="22"/>
        <v>0.21533478948557655</v>
      </c>
      <c r="H78" s="41">
        <f t="shared" si="22"/>
        <v>0.23162599969785258</v>
      </c>
    </row>
    <row r="79" ht="15" customHeight="1">
      <c r="B79" s="21" t="s">
        <v>83</v>
      </c>
      <c r="C79" s="46">
        <f>(C78-Inputs!C196/Inputs!C195)*10000</f>
        <v>41.44060909696545</v>
      </c>
      <c r="D79" s="46">
        <f>(D78-Inputs!D196/Inputs!D195)*10000</f>
        <v>481.2628010514744</v>
      </c>
      <c r="E79" s="46">
        <f>(E78-Inputs!E196/Inputs!E195)*10000</f>
        <v>124.2517581850347</v>
      </c>
      <c r="F79" s="46">
        <f>(F78-Inputs!F196/Inputs!F195)*10000</f>
        <v>41.73794250213636</v>
      </c>
      <c r="G79" s="46">
        <f>(G78-Inputs!G196/Inputs!G195)*10000</f>
        <v>-140.87145416325276</v>
      </c>
      <c r="H79" s="47">
        <f t="shared" si="10"/>
        <v>30.788459170539294</v>
      </c>
    </row>
    <row r="80" ht="15" customHeight="1">
      <c r="B80" s="21" t="s">
        <v>84</v>
      </c>
      <c r="C80" s="46">
        <f>(C78-Inputs!G196/Inputs!G195)*10000</f>
        <v>-8.747811211031742</v>
      </c>
      <c r="D80" s="48">
        <f t="shared" si="7"/>
        <v>220.23043887726524</v>
      </c>
      <c r="E80" s="48"/>
      <c r="F80" s="48">
        <f t="shared" si="11"/>
        <v>-145.51930410599462</v>
      </c>
      <c r="G80" s="48">
        <f t="shared" si="7"/>
        <v>-206.8347777234916</v>
      </c>
      <c r="H80" s="47">
        <f t="shared" si="7"/>
        <v>162.9121021227603</v>
      </c>
    </row>
    <row r="81" ht="15" customHeight="1">
      <c r="B81" s="17" t="s">
        <v>247</v>
      </c>
      <c r="C81" s="57">
        <f t="shared" si="23" ref="C81:G81">C72-C77</f>
        <v>908</v>
      </c>
      <c r="D81" s="57">
        <f t="shared" si="23"/>
        <v>1182.8999999999996</v>
      </c>
      <c r="E81" s="57">
        <f t="shared" si="23"/>
        <v>4072.2</v>
      </c>
      <c r="F81" s="57">
        <f t="shared" si="23"/>
        <v>1154.3000000000002</v>
      </c>
      <c r="G81" s="57">
        <f t="shared" si="23"/>
        <v>1041.8000000000002</v>
      </c>
      <c r="H81" s="58">
        <f>H133-H130-H131-H132</f>
        <v>1035.455035540645</v>
      </c>
      <c r="I81" s="15" t="s">
        <v>248</v>
      </c>
    </row>
    <row r="82" ht="15" customHeight="1">
      <c r="B82" s="21" t="s">
        <v>129</v>
      </c>
      <c r="C82" s="40">
        <f>C81/Inputs!C197-1</f>
        <v>-0.00525854513584556</v>
      </c>
      <c r="D82" s="40">
        <f>D81/Inputs!D197-1</f>
        <v>0.35250400182940744</v>
      </c>
      <c r="E82" s="40">
        <f>E81/Inputs!E197-1</f>
        <v>0.1549719212660956</v>
      </c>
      <c r="F82" s="40">
        <f>F81/Inputs!F197-1</f>
        <v>0.20717423133235724</v>
      </c>
      <c r="G82" s="40">
        <f>G81/Inputs!G197-1</f>
        <v>0.016291093551848768</v>
      </c>
      <c r="H82" s="41">
        <f t="shared" si="1"/>
        <v>0.140368981872957</v>
      </c>
    </row>
    <row r="83" ht="15" customHeight="1">
      <c r="B83" s="45" t="s">
        <v>249</v>
      </c>
      <c r="C83" s="22">
        <f t="shared" si="24" ref="C83:H83">C81/C16</f>
        <v>0.5905306971904267</v>
      </c>
      <c r="D83" s="22">
        <f t="shared" si="24"/>
        <v>0.7174743737490142</v>
      </c>
      <c r="E83" s="22">
        <f t="shared" si="24"/>
        <v>0.6245130816182559</v>
      </c>
      <c r="F83" s="22">
        <f t="shared" si="24"/>
        <v>0.6139567044306155</v>
      </c>
      <c r="G83" s="22">
        <f t="shared" si="24"/>
        <v>0.6105966475208067</v>
      </c>
      <c r="H83" s="41">
        <f t="shared" si="24"/>
        <v>0.6011219838496564</v>
      </c>
    </row>
    <row r="84" ht="15" customHeight="1">
      <c r="B84" s="21" t="s">
        <v>83</v>
      </c>
      <c r="C84" s="46">
        <f>(C83-Inputs!C197/Inputs!C154)*10000</f>
        <v>144.13555054602622</v>
      </c>
      <c r="D84" s="46">
        <f>(D83-Inputs!D197/Inputs!D154)*10000</f>
        <v>1440.789761223179</v>
      </c>
      <c r="E84" s="46">
        <f>(E83-Inputs!E197/Inputs!E154)*10000</f>
        <v>493.5117561345992</v>
      </c>
      <c r="F84" s="46">
        <f>(F83-Inputs!F197/Inputs!F154)*10000</f>
        <v>317.2446915082483</v>
      </c>
      <c r="G84" s="46">
        <f>(G83-Inputs!G197/Inputs!G154)*10000</f>
        <v>47.455836910195174</v>
      </c>
      <c r="H84" s="47">
        <f t="shared" si="10"/>
        <v>105.91286659229704</v>
      </c>
    </row>
    <row r="85" ht="15" customHeight="1">
      <c r="B85" s="21" t="s">
        <v>84</v>
      </c>
      <c r="C85" s="46">
        <f>(C83-Inputs!G197/Inputs!G154)*10000</f>
        <v>-153.20366639360427</v>
      </c>
      <c r="D85" s="48">
        <f t="shared" si="7"/>
        <v>1269.436765585875</v>
      </c>
      <c r="E85" s="48"/>
      <c r="F85" s="48">
        <f t="shared" si="11"/>
        <v>-1035.176693183988</v>
      </c>
      <c r="G85" s="48">
        <f t="shared" si="7"/>
        <v>-33.60056909808784</v>
      </c>
      <c r="H85" s="47">
        <f t="shared" si="7"/>
        <v>-94.7466367115024</v>
      </c>
    </row>
    <row r="86" ht="15" customHeight="1">
      <c r="B86" s="44" t="s">
        <v>250</v>
      </c>
      <c r="C86" s="55">
        <v>908</v>
      </c>
      <c r="D86" s="55">
        <v>1182.9</v>
      </c>
      <c r="E86" s="55">
        <v>4072.2</v>
      </c>
      <c r="F86" s="55">
        <v>1154.3</v>
      </c>
      <c r="G86" s="55">
        <v>1041.8</v>
      </c>
      <c r="H86" s="54"/>
    </row>
    <row r="87" ht="15" customHeight="1">
      <c r="B87" s="37" t="s">
        <v>251</v>
      </c>
      <c r="C87" s="16" t="b">
        <f t="shared" si="25" ref="C87:G87">ABS(C81-C86)&lt;0.05</f>
        <v>1</v>
      </c>
      <c r="D87" s="16" t="b">
        <f t="shared" si="25"/>
        <v>1</v>
      </c>
      <c r="E87" s="16" t="b">
        <f t="shared" si="25"/>
        <v>1</v>
      </c>
      <c r="F87" s="16" t="b">
        <f t="shared" si="25"/>
        <v>1</v>
      </c>
      <c r="G87" s="16" t="b">
        <f t="shared" si="25"/>
        <v>1</v>
      </c>
      <c r="H87" s="49"/>
    </row>
    <row r="88" ht="15" customHeight="1">
      <c r="B88" s="44" t="s">
        <v>252</v>
      </c>
      <c r="C88" s="55">
        <v>896.6</v>
      </c>
      <c r="D88" s="55">
        <v>1168</v>
      </c>
      <c r="E88" s="19">
        <f>Inputs!F198+Inputs!G198+C88+D88</f>
        <v>4021</v>
      </c>
      <c r="F88" s="55">
        <v>1168</v>
      </c>
      <c r="G88" s="55">
        <v>1041.8</v>
      </c>
      <c r="H88" s="54">
        <f>H81</f>
        <v>1035.455035540645</v>
      </c>
      <c r="I88" s="15" t="s">
        <v>253</v>
      </c>
    </row>
    <row r="89" ht="15" customHeight="1">
      <c r="B89" s="44" t="s">
        <v>254</v>
      </c>
      <c r="C89" s="55">
        <v>896.6</v>
      </c>
      <c r="D89" s="55">
        <v>1168</v>
      </c>
      <c r="E89" s="19">
        <f>Inputs!F199+Inputs!G199+C89+D89</f>
        <v>4021</v>
      </c>
      <c r="F89" s="55">
        <v>1154.3</v>
      </c>
      <c r="G89" s="55">
        <v>1041.8</v>
      </c>
      <c r="H89" s="54">
        <f>H81</f>
        <v>1035.455035540645</v>
      </c>
    </row>
    <row r="90" ht="15" customHeight="1">
      <c r="B90" s="44" t="s">
        <v>255</v>
      </c>
      <c r="C90" s="19">
        <f>'Share Count'!C10</f>
        <v>359.686</v>
      </c>
      <c r="D90" s="19">
        <f>'Share Count'!D10</f>
        <v>359.633</v>
      </c>
      <c r="E90" s="19">
        <f>'Share Count'!E10</f>
        <v>359.648</v>
      </c>
      <c r="F90" s="19">
        <f>'Share Count'!F10</f>
        <v>359.318</v>
      </c>
      <c r="G90" s="19">
        <f>'Share Count'!G10</f>
        <v>360.684</v>
      </c>
      <c r="H90" s="64">
        <f>'Share Count'!H10</f>
        <v>358.84628301886795</v>
      </c>
    </row>
    <row r="91" ht="15" customHeight="1">
      <c r="B91" s="44" t="s">
        <v>256</v>
      </c>
      <c r="C91" s="19">
        <f>'Share Count'!C16</f>
        <v>360.422</v>
      </c>
      <c r="D91" s="19">
        <f>'Share Count'!D16</f>
        <v>360.233</v>
      </c>
      <c r="E91" s="19">
        <f>'Share Count'!E16</f>
        <v>360.31</v>
      </c>
      <c r="F91" s="19">
        <f>'Share Count'!F16</f>
        <v>363.208</v>
      </c>
      <c r="G91" s="19">
        <f>'Share Count'!G16</f>
        <v>361.282</v>
      </c>
      <c r="H91" s="64">
        <f>'Share Count'!H16</f>
        <v>359.4442830188679</v>
      </c>
    </row>
    <row r="92" ht="15" customHeight="1">
      <c r="B92" s="44" t="s">
        <v>257</v>
      </c>
      <c r="C92" s="28">
        <f t="shared" si="26" ref="C92:H93">C88/C90</f>
        <v>2.492729769854818</v>
      </c>
      <c r="D92" s="28">
        <f t="shared" si="26"/>
        <v>3.247755350593522</v>
      </c>
      <c r="E92" s="28">
        <f t="shared" si="26"/>
        <v>11.18037636800427</v>
      </c>
      <c r="F92" s="28">
        <f t="shared" si="26"/>
        <v>3.2506025303491617</v>
      </c>
      <c r="G92" s="28">
        <f t="shared" si="26"/>
        <v>2.8884009271273468</v>
      </c>
      <c r="H92" s="65">
        <f t="shared" si="26"/>
        <v>2.8855113861837083</v>
      </c>
    </row>
    <row r="93" ht="15" customHeight="1">
      <c r="B93" s="17" t="s">
        <v>51</v>
      </c>
      <c r="C93" s="25">
        <f t="shared" si="26"/>
        <v>2.487639489265361</v>
      </c>
      <c r="D93" s="25">
        <f t="shared" si="26"/>
        <v>3.242345926108935</v>
      </c>
      <c r="E93" s="25">
        <f t="shared" si="26"/>
        <v>11.159834586883516</v>
      </c>
      <c r="F93" s="25">
        <f t="shared" si="26"/>
        <v>3.1780687650051758</v>
      </c>
      <c r="G93" s="25">
        <f t="shared" si="26"/>
        <v>2.8836199976749466</v>
      </c>
      <c r="H93" s="66">
        <f t="shared" si="26"/>
        <v>2.88071082072626</v>
      </c>
    </row>
    <row r="94" ht="15" customHeight="1">
      <c r="B94" s="21" t="s">
        <v>129</v>
      </c>
      <c r="C94" s="40">
        <f>C93/Inputs!C202-1</f>
        <v>-0.00494420429385567</v>
      </c>
      <c r="D94" s="40">
        <f>D93/Inputs!D202-1</f>
        <v>0.3509774692120564</v>
      </c>
      <c r="E94" s="40">
        <f>E93/Inputs!E202-1</f>
        <v>0.15406769254224573</v>
      </c>
      <c r="F94" s="40">
        <f>F93/Inputs!F202-1</f>
        <v>0.21300334542182275</v>
      </c>
      <c r="G94" s="40">
        <f>G93/Inputs!G202-1</f>
        <v>0.026199287428806617</v>
      </c>
      <c r="H94" s="41">
        <f t="shared" si="1"/>
        <v>0.15800976514365406</v>
      </c>
    </row>
    <row r="95" ht="15" customHeight="1">
      <c r="B95" s="44" t="s">
        <v>258</v>
      </c>
      <c r="C95" s="67">
        <v>2.49</v>
      </c>
      <c r="D95" s="67">
        <v>3.24</v>
      </c>
      <c r="E95" s="67">
        <v>11.16</v>
      </c>
      <c r="F95" s="67">
        <v>3.18</v>
      </c>
      <c r="G95" s="67">
        <v>2.88</v>
      </c>
      <c r="H95" s="65"/>
    </row>
    <row r="96" ht="15" customHeight="1">
      <c r="B96" s="37" t="s">
        <v>259</v>
      </c>
      <c r="C96" s="16" t="b">
        <f t="shared" si="27" ref="C96:G150">ABS(C93-C95)&lt;0.006</f>
        <v>1</v>
      </c>
      <c r="D96" s="16" t="b">
        <f t="shared" si="27"/>
        <v>1</v>
      </c>
      <c r="E96" s="16" t="b">
        <f t="shared" si="27"/>
        <v>1</v>
      </c>
      <c r="F96" s="16" t="b">
        <f t="shared" si="27"/>
        <v>1</v>
      </c>
      <c r="G96" s="16" t="b">
        <f t="shared" si="27"/>
        <v>1</v>
      </c>
      <c r="H96" s="49" t="b">
        <f>ABS(H93-H89/H91)&lt;0.000001</f>
        <v>1</v>
      </c>
      <c r="I96" s="15" t="s">
        <v>260</v>
      </c>
    </row>
    <row r="97" ht="15" customHeight="1">
      <c r="B97" s="17" t="s">
        <v>261</v>
      </c>
      <c r="I97" s="33" t="s">
        <v>262</v>
      </c>
    </row>
    <row r="98" ht="15" customHeight="1">
      <c r="B98" s="44" t="s">
        <v>263</v>
      </c>
      <c r="C98" s="20">
        <f t="shared" si="28" ref="C98:H98">C37</f>
        <v>565</v>
      </c>
      <c r="D98" s="20">
        <f t="shared" si="28"/>
        <v>629.1</v>
      </c>
      <c r="E98" s="20">
        <f t="shared" si="28"/>
        <v>2291.1</v>
      </c>
      <c r="F98" s="20">
        <f t="shared" si="28"/>
        <v>570.4</v>
      </c>
      <c r="G98" s="20">
        <f t="shared" si="28"/>
        <v>599.1</v>
      </c>
      <c r="H98" s="54">
        <f t="shared" si="28"/>
        <v>577.2848</v>
      </c>
    </row>
    <row r="99" ht="15" customHeight="1">
      <c r="B99" s="37" t="s">
        <v>264</v>
      </c>
      <c r="C99" s="55">
        <v>-6.5</v>
      </c>
      <c r="D99" s="55">
        <v>-5.8</v>
      </c>
      <c r="E99" s="19">
        <f>Inputs!F211+Inputs!G211+C99+D99</f>
        <v>-14.8</v>
      </c>
      <c r="F99" s="55">
        <v>-4</v>
      </c>
      <c r="G99" s="55">
        <v>-6</v>
      </c>
      <c r="H99" s="56">
        <v>-3</v>
      </c>
      <c r="I99" s="15" t="s">
        <v>265</v>
      </c>
    </row>
    <row r="100" ht="15" customHeight="1">
      <c r="B100" s="37" t="s">
        <v>266</v>
      </c>
      <c r="C100" s="55">
        <v>-6.1</v>
      </c>
      <c r="D100" s="55">
        <v>-2.6</v>
      </c>
      <c r="E100" s="19">
        <f>Inputs!F212+Inputs!G212+C100+D100</f>
        <v>-14.2</v>
      </c>
      <c r="F100" s="55">
        <v>0.8</v>
      </c>
      <c r="G100" s="55">
        <v>-12.4</v>
      </c>
      <c r="H100" s="56">
        <v>0</v>
      </c>
    </row>
    <row r="101" ht="15" customHeight="1">
      <c r="B101" s="37" t="s">
        <v>205</v>
      </c>
      <c r="C101" s="55">
        <v>-56.2</v>
      </c>
      <c r="D101" s="55">
        <v>-55.9</v>
      </c>
      <c r="E101" s="19">
        <f>Inputs!F213+Inputs!G213+C101+D101</f>
        <v>-223.50000000000003</v>
      </c>
      <c r="F101" s="55">
        <v>-56.1</v>
      </c>
      <c r="G101" s="55">
        <v>-56</v>
      </c>
      <c r="H101" s="54">
        <f>-H26</f>
        <v>-56</v>
      </c>
    </row>
    <row r="102" ht="15" customHeight="1">
      <c r="B102" s="37" t="s">
        <v>267</v>
      </c>
      <c r="C102" s="55">
        <v>-1.2</v>
      </c>
      <c r="D102" s="55">
        <v>-19.6</v>
      </c>
      <c r="E102" s="19">
        <f>Inputs!F214+Inputs!G214+C102+D102</f>
        <v>-23.6</v>
      </c>
      <c r="F102" s="55">
        <v>-0.6</v>
      </c>
      <c r="G102" s="55">
        <v>-1</v>
      </c>
      <c r="H102" s="56">
        <v>0</v>
      </c>
    </row>
    <row r="103" ht="15" customHeight="1">
      <c r="B103" s="37" t="s">
        <v>268</v>
      </c>
      <c r="C103" s="55">
        <v>-0.7</v>
      </c>
      <c r="D103" s="55">
        <v>-0.7</v>
      </c>
      <c r="E103" s="19">
        <f>Inputs!F215+Inputs!G215+C103+D103</f>
        <v>6.699999999999999</v>
      </c>
      <c r="F103" s="55">
        <v>-0.7</v>
      </c>
      <c r="G103" s="55">
        <v>0.7</v>
      </c>
      <c r="H103" s="56">
        <v>0</v>
      </c>
    </row>
    <row r="104" ht="15" customHeight="1">
      <c r="B104" s="37" t="s">
        <v>269</v>
      </c>
      <c r="C104" s="55">
        <v>0.8</v>
      </c>
      <c r="D104" s="55">
        <v>-1</v>
      </c>
      <c r="E104" s="19">
        <f>Inputs!F216+Inputs!G216+C104+D104</f>
        <v>-6</v>
      </c>
      <c r="F104" s="55">
        <v>0.9</v>
      </c>
      <c r="G104" s="55">
        <v>-0.3</v>
      </c>
      <c r="H104" s="56">
        <v>0</v>
      </c>
    </row>
    <row r="105" ht="15" customHeight="1">
      <c r="B105" s="37" t="s">
        <v>270</v>
      </c>
      <c r="C105" s="55">
        <v>0</v>
      </c>
      <c r="D105" s="55">
        <v>-0.1</v>
      </c>
      <c r="E105" s="19">
        <f>Inputs!F217+Inputs!G217+C105+D105</f>
        <v>-0.5</v>
      </c>
      <c r="F105" s="55">
        <v>0</v>
      </c>
      <c r="G105" s="55">
        <v>0</v>
      </c>
      <c r="H105" s="56">
        <v>0</v>
      </c>
    </row>
    <row r="106" ht="15" customHeight="1">
      <c r="B106" s="37" t="s">
        <v>271</v>
      </c>
      <c r="C106" s="55">
        <v>-8.5</v>
      </c>
      <c r="D106" s="55">
        <v>0</v>
      </c>
      <c r="E106" s="19">
        <f>Inputs!F218+Inputs!G218+C106+D106</f>
        <v>-19.4</v>
      </c>
      <c r="F106" s="55">
        <v>1</v>
      </c>
      <c r="G106" s="55">
        <v>-2.9</v>
      </c>
      <c r="H106" s="56">
        <v>0</v>
      </c>
    </row>
    <row r="107" ht="15" customHeight="1">
      <c r="B107" s="17" t="s">
        <v>272</v>
      </c>
      <c r="C107" s="57">
        <f t="shared" si="29" ref="C107:H107">C98+SUM(C99:C106)</f>
        <v>486.6</v>
      </c>
      <c r="D107" s="57">
        <f t="shared" si="29"/>
        <v>543.4</v>
      </c>
      <c r="E107" s="57">
        <f t="shared" si="29"/>
        <v>1995.8</v>
      </c>
      <c r="F107" s="57">
        <f t="shared" si="29"/>
        <v>511.7</v>
      </c>
      <c r="G107" s="57">
        <f t="shared" si="29"/>
        <v>521.2</v>
      </c>
      <c r="H107" s="58">
        <f t="shared" si="29"/>
        <v>518.2848</v>
      </c>
    </row>
    <row r="108" ht="15" customHeight="1">
      <c r="B108" s="21" t="s">
        <v>129</v>
      </c>
      <c r="C108" s="40">
        <f>C107/Inputs!C204-1</f>
        <v>-0.0045008183306055605</v>
      </c>
      <c r="D108" s="40">
        <f>D107/Inputs!D204-1</f>
        <v>0.044598231449442416</v>
      </c>
      <c r="E108" s="40">
        <f>E107/Inputs!E204-1</f>
        <v>0.02611825192802053</v>
      </c>
      <c r="F108" s="40">
        <f>F107/Inputs!F204-1</f>
        <v>0.07817109144542767</v>
      </c>
      <c r="G108" s="40">
        <f>G107/Inputs!G204-1</f>
        <v>0.06107491856677538</v>
      </c>
      <c r="H108" s="41">
        <f t="shared" si="1"/>
        <v>0.06511467324290998</v>
      </c>
    </row>
    <row r="109" ht="15" customHeight="1">
      <c r="B109" s="44" t="s">
        <v>273</v>
      </c>
      <c r="C109" s="55">
        <v>486.6</v>
      </c>
      <c r="D109" s="55">
        <v>543.4</v>
      </c>
      <c r="E109" s="55">
        <v>1995.8</v>
      </c>
      <c r="F109" s="55">
        <v>511.7</v>
      </c>
      <c r="G109" s="55">
        <v>521.2</v>
      </c>
      <c r="H109" s="54"/>
    </row>
    <row r="110" ht="15" customHeight="1">
      <c r="B110" s="37" t="s">
        <v>274</v>
      </c>
      <c r="C110" s="16" t="b">
        <f t="shared" si="30" ref="C110:G136">ABS(C107-C109)&lt;0.15</f>
        <v>1</v>
      </c>
      <c r="D110" s="16" t="b">
        <f t="shared" si="30"/>
        <v>1</v>
      </c>
      <c r="E110" s="16" t="b">
        <f t="shared" si="30"/>
        <v>1</v>
      </c>
      <c r="F110" s="16" t="b">
        <f t="shared" si="30"/>
        <v>1</v>
      </c>
      <c r="G110" s="16" t="b">
        <f t="shared" si="30"/>
        <v>1</v>
      </c>
      <c r="H110" s="49"/>
    </row>
    <row r="111" ht="15" customHeight="1">
      <c r="B111" s="44" t="s">
        <v>275</v>
      </c>
      <c r="C111" s="20">
        <f t="shared" si="31" ref="C111:H111">C33</f>
        <v>81.6</v>
      </c>
      <c r="D111" s="20">
        <f t="shared" si="31"/>
        <v>96.6</v>
      </c>
      <c r="E111" s="20">
        <f t="shared" si="31"/>
        <v>371</v>
      </c>
      <c r="F111" s="20">
        <f t="shared" si="31"/>
        <v>106.8</v>
      </c>
      <c r="G111" s="20">
        <f t="shared" si="31"/>
        <v>109.1</v>
      </c>
      <c r="H111" s="54">
        <f t="shared" si="31"/>
        <v>100.28480000000002</v>
      </c>
    </row>
    <row r="112" ht="15" customHeight="1">
      <c r="B112" s="17" t="s">
        <v>276</v>
      </c>
      <c r="C112" s="59">
        <f t="shared" si="32" ref="C112:H112">C107-C111</f>
        <v>405</v>
      </c>
      <c r="D112" s="59">
        <f t="shared" si="32"/>
        <v>446.79999999999995</v>
      </c>
      <c r="E112" s="59">
        <f t="shared" si="32"/>
        <v>1624.8</v>
      </c>
      <c r="F112" s="59">
        <f t="shared" si="32"/>
        <v>404.9</v>
      </c>
      <c r="G112" s="59">
        <f t="shared" si="32"/>
        <v>412.1</v>
      </c>
      <c r="H112" s="60">
        <f t="shared" si="32"/>
        <v>418</v>
      </c>
    </row>
    <row r="113" ht="15" customHeight="1">
      <c r="B113" s="21" t="s">
        <v>129</v>
      </c>
      <c r="C113" s="40">
        <f>C112/Inputs!C205-1</f>
        <v>0.03527607361963181</v>
      </c>
      <c r="D113" s="40">
        <f>D112/Inputs!D205-1</f>
        <v>0.024300779458963584</v>
      </c>
      <c r="E113" s="40">
        <f>E112/Inputs!E205-1</f>
        <v>0.02214393558127825</v>
      </c>
      <c r="F113" s="40">
        <f>F112/Inputs!F205-1</f>
        <v>0.07116402116402121</v>
      </c>
      <c r="G113" s="40">
        <f>G112/Inputs!G205-1</f>
        <v>0.04329113924050643</v>
      </c>
      <c r="H113" s="41">
        <f t="shared" si="1"/>
        <v>0.032098765432098775</v>
      </c>
    </row>
    <row r="114" ht="15" customHeight="1">
      <c r="B114" s="17" t="s">
        <v>277</v>
      </c>
      <c r="C114" s="57">
        <f t="shared" si="33" ref="C114:H114">C16-C107</f>
        <v>1051</v>
      </c>
      <c r="D114" s="57">
        <f t="shared" si="33"/>
        <v>1105.2999999999997</v>
      </c>
      <c r="E114" s="57">
        <f t="shared" si="33"/>
        <v>4524.8</v>
      </c>
      <c r="F114" s="57">
        <f t="shared" si="33"/>
        <v>1368.4</v>
      </c>
      <c r="G114" s="57">
        <f t="shared" si="33"/>
        <v>1184.9999999999998</v>
      </c>
      <c r="H114" s="58">
        <f t="shared" si="33"/>
        <v>1204.252494193548</v>
      </c>
    </row>
    <row r="115" ht="15" customHeight="1">
      <c r="B115" s="21" t="s">
        <v>129</v>
      </c>
      <c r="C115" s="40">
        <f>C114/Inputs!C206-1</f>
        <v>-0.040708287696239576</v>
      </c>
      <c r="D115" s="40">
        <f>D114/Inputs!D206-1</f>
        <v>0.09969157297781295</v>
      </c>
      <c r="E115" s="40">
        <f>E114/Inputs!E206-1</f>
        <v>0.08116890874770033</v>
      </c>
      <c r="F115" s="40">
        <f>F114/Inputs!F206-1</f>
        <v>0.1718763381005397</v>
      </c>
      <c r="G115" s="40">
        <f>G114/Inputs!G206-1</f>
        <v>-0.013157894736842257</v>
      </c>
      <c r="H115" s="41">
        <f t="shared" si="1"/>
        <v>0.1458158841042323</v>
      </c>
    </row>
    <row r="116" ht="15" customHeight="1">
      <c r="B116" s="45" t="s">
        <v>278</v>
      </c>
      <c r="C116" s="22">
        <f t="shared" si="34" ref="C116:H116">C114/C16</f>
        <v>0.6835327783558793</v>
      </c>
      <c r="D116" s="22">
        <f t="shared" si="34"/>
        <v>0.6704069873233456</v>
      </c>
      <c r="E116" s="22">
        <f t="shared" si="34"/>
        <v>0.6939238720363157</v>
      </c>
      <c r="F116" s="22">
        <f t="shared" si="34"/>
        <v>0.7278336258709643</v>
      </c>
      <c r="G116" s="22">
        <f t="shared" si="34"/>
        <v>0.6945258469112647</v>
      </c>
      <c r="H116" s="41">
        <f t="shared" si="34"/>
        <v>0.6991154840321475</v>
      </c>
    </row>
    <row r="117" ht="15" customHeight="1">
      <c r="B117" s="21" t="s">
        <v>83</v>
      </c>
      <c r="C117" s="46">
        <f>(C116-Inputs!C206/Inputs!C154)*10000</f>
        <v>-79.59269106882604</v>
      </c>
      <c r="D117" s="46">
        <f>(D116-Inputs!D206/Inputs!D154)*10000</f>
        <v>114.54650078213558</v>
      </c>
      <c r="E117" s="46">
        <f>(E116-Inputs!E206/Inputs!E154)*10000</f>
        <v>112.10702593729138</v>
      </c>
      <c r="F117" s="46">
        <f>(F116-Inputs!F206/Inputs!F154)*10000</f>
        <v>168.1858598787367</v>
      </c>
      <c r="G117" s="46">
        <f>(G116-Inputs!G206/Inputs!G154)*10000</f>
        <v>-151.66824483534347</v>
      </c>
      <c r="H117" s="47">
        <f t="shared" si="10"/>
        <v>155.82705676268182</v>
      </c>
    </row>
    <row r="118" ht="15" customHeight="1">
      <c r="B118" s="21" t="s">
        <v>84</v>
      </c>
      <c r="C118" s="46">
        <f>(C116-Inputs!G206/Inputs!G154)*10000</f>
        <v>-261.59893038919745</v>
      </c>
      <c r="D118" s="48">
        <f t="shared" si="7"/>
        <v>-131.25791032533752</v>
      </c>
      <c r="E118" s="48"/>
      <c r="F118" s="48">
        <f t="shared" si="11"/>
        <v>574.2663854761876</v>
      </c>
      <c r="G118" s="48">
        <f t="shared" si="7"/>
        <v>-333.07778959699607</v>
      </c>
      <c r="H118" s="47">
        <f t="shared" si="7"/>
        <v>45.89637120882784</v>
      </c>
    </row>
    <row r="119" ht="15" customHeight="1">
      <c r="B119" s="17" t="s">
        <v>279</v>
      </c>
      <c r="I119" s="33" t="s">
        <v>280</v>
      </c>
    </row>
    <row r="120" ht="15" customHeight="1">
      <c r="B120" s="44" t="s">
        <v>247</v>
      </c>
      <c r="C120" s="20">
        <f t="shared" si="35" ref="C120:H120">C81</f>
        <v>908</v>
      </c>
      <c r="D120" s="20">
        <f t="shared" si="35"/>
        <v>1182.8999999999996</v>
      </c>
      <c r="E120" s="20">
        <f t="shared" si="35"/>
        <v>4072.2</v>
      </c>
      <c r="F120" s="20">
        <f t="shared" si="35"/>
        <v>1154.3000000000002</v>
      </c>
      <c r="G120" s="20">
        <f t="shared" si="35"/>
        <v>1041.8000000000002</v>
      </c>
      <c r="H120" s="54">
        <f t="shared" si="35"/>
        <v>1035.455035540645</v>
      </c>
    </row>
    <row r="121" ht="15" customHeight="1">
      <c r="B121" s="37" t="s">
        <v>264</v>
      </c>
      <c r="C121" s="55">
        <v>6.5</v>
      </c>
      <c r="D121" s="55">
        <v>5.8</v>
      </c>
      <c r="E121" s="19">
        <f>Inputs!F219+Inputs!G219+C121+D121</f>
        <v>14.8</v>
      </c>
      <c r="F121" s="55">
        <v>4</v>
      </c>
      <c r="G121" s="55">
        <v>6</v>
      </c>
      <c r="H121" s="54">
        <f>-H99</f>
        <v>3</v>
      </c>
    </row>
    <row r="122" ht="15" customHeight="1">
      <c r="B122" s="37" t="s">
        <v>281</v>
      </c>
      <c r="C122" s="55">
        <v>69.6</v>
      </c>
      <c r="D122" s="55">
        <v>62.7</v>
      </c>
      <c r="E122" s="19">
        <f>Inputs!F220+Inputs!G220+C122+D122</f>
        <v>269.90000000000003</v>
      </c>
      <c r="F122" s="55">
        <v>60.1</v>
      </c>
      <c r="G122" s="55">
        <v>60</v>
      </c>
      <c r="H122" s="54">
        <f>H26+H123</f>
        <v>60</v>
      </c>
    </row>
    <row r="123" ht="15" customHeight="1">
      <c r="B123" s="68" t="s">
        <v>282</v>
      </c>
      <c r="C123" s="20">
        <f t="shared" si="36" ref="C123:G123">C122-C26</f>
        <v>13.399999999999991</v>
      </c>
      <c r="D123" s="20">
        <f t="shared" si="36"/>
        <v>6.800000000000004</v>
      </c>
      <c r="E123" s="20">
        <f t="shared" si="36"/>
        <v>46.50000000000003</v>
      </c>
      <c r="F123" s="20">
        <f t="shared" si="36"/>
        <v>4</v>
      </c>
      <c r="G123" s="20">
        <f t="shared" si="36"/>
        <v>4</v>
      </c>
      <c r="H123" s="56">
        <v>4</v>
      </c>
      <c r="I123" s="15" t="s">
        <v>283</v>
      </c>
    </row>
    <row r="124" ht="15" customHeight="1">
      <c r="B124" s="37" t="s">
        <v>284</v>
      </c>
      <c r="C124" s="55">
        <v>3.7</v>
      </c>
      <c r="D124" s="55">
        <v>25.3</v>
      </c>
      <c r="E124" s="19">
        <f>Inputs!F221+Inputs!G221+C124+D124</f>
        <v>31.8</v>
      </c>
      <c r="F124" s="55">
        <v>0.1</v>
      </c>
      <c r="G124" s="55">
        <v>0.3</v>
      </c>
      <c r="H124" s="56">
        <v>0</v>
      </c>
    </row>
    <row r="125" ht="15" customHeight="1">
      <c r="B125" s="37" t="s">
        <v>285</v>
      </c>
      <c r="C125" s="55">
        <v>0.7</v>
      </c>
      <c r="D125" s="55">
        <v>0.7</v>
      </c>
      <c r="E125" s="19">
        <f>Inputs!F222+Inputs!G222+C125+D125</f>
        <v>-6.699999999999999</v>
      </c>
      <c r="F125" s="55">
        <v>0.7</v>
      </c>
      <c r="G125" s="55">
        <v>-0.7</v>
      </c>
      <c r="H125" s="56">
        <v>0</v>
      </c>
    </row>
    <row r="126" ht="15" customHeight="1">
      <c r="B126" s="37" t="s">
        <v>286</v>
      </c>
      <c r="C126" s="55">
        <v>-0.8</v>
      </c>
      <c r="D126" s="55">
        <v>1</v>
      </c>
      <c r="E126" s="19">
        <f>Inputs!F223+Inputs!G223+C126+D126</f>
        <v>6.1000000000000005</v>
      </c>
      <c r="F126" s="55">
        <v>-0.9</v>
      </c>
      <c r="G126" s="55">
        <v>0.3</v>
      </c>
      <c r="H126" s="56">
        <v>0</v>
      </c>
    </row>
    <row r="127" ht="15" customHeight="1">
      <c r="B127" s="37" t="s">
        <v>287</v>
      </c>
      <c r="C127" s="55">
        <v>-0.4</v>
      </c>
      <c r="D127" s="55">
        <v>-349.8</v>
      </c>
      <c r="E127" s="19">
        <f>Inputs!F224+Inputs!G224+C127+D127</f>
        <v>-343.7</v>
      </c>
      <c r="F127" s="55">
        <v>22.9</v>
      </c>
      <c r="G127" s="55">
        <v>-3.9</v>
      </c>
      <c r="H127" s="56">
        <v>0</v>
      </c>
      <c r="I127" s="15" t="s">
        <v>288</v>
      </c>
    </row>
    <row r="128" ht="15" customHeight="1">
      <c r="B128" s="37" t="s">
        <v>289</v>
      </c>
      <c r="C128" s="55">
        <v>0</v>
      </c>
      <c r="D128" s="55">
        <v>0.1</v>
      </c>
      <c r="E128" s="19">
        <f>Inputs!F225+Inputs!G225+C128+D128</f>
        <v>0.5</v>
      </c>
      <c r="F128" s="55">
        <v>0</v>
      </c>
      <c r="G128" s="55">
        <v>0</v>
      </c>
      <c r="H128" s="56">
        <v>0</v>
      </c>
    </row>
    <row r="129" ht="15" customHeight="1">
      <c r="B129" s="37" t="s">
        <v>271</v>
      </c>
      <c r="C129" s="55">
        <v>8.5</v>
      </c>
      <c r="D129" s="55">
        <v>0</v>
      </c>
      <c r="E129" s="19">
        <f>Inputs!F226+Inputs!G226+C129+D129</f>
        <v>19.4</v>
      </c>
      <c r="F129" s="55">
        <v>-1</v>
      </c>
      <c r="G129" s="55">
        <v>2.9</v>
      </c>
      <c r="H129" s="56">
        <v>0</v>
      </c>
    </row>
    <row r="130" ht="15" customHeight="1">
      <c r="B130" s="69" t="s">
        <v>290</v>
      </c>
      <c r="C130" s="57">
        <f t="shared" si="37" ref="C130:H130">SUM(C121,C122,C124,C125,C126,C127,C128,C129)</f>
        <v>87.8</v>
      </c>
      <c r="D130" s="57">
        <f t="shared" si="37"/>
        <v>-254.20000000000002</v>
      </c>
      <c r="E130" s="57">
        <f t="shared" si="37"/>
        <v>-7.899999999999956</v>
      </c>
      <c r="F130" s="57">
        <f t="shared" si="37"/>
        <v>85.9</v>
      </c>
      <c r="G130" s="57">
        <f t="shared" si="37"/>
        <v>64.9</v>
      </c>
      <c r="H130" s="58">
        <f t="shared" si="37"/>
        <v>63</v>
      </c>
    </row>
    <row r="131" ht="15" customHeight="1">
      <c r="B131" s="37" t="s">
        <v>291</v>
      </c>
      <c r="C131" s="55">
        <v>-18.2</v>
      </c>
      <c r="D131" s="55">
        <v>52.7</v>
      </c>
      <c r="E131" s="19">
        <f>Inputs!F227+Inputs!G227+C131+D131</f>
        <v>2.9000000000000057</v>
      </c>
      <c r="F131" s="55">
        <v>-21</v>
      </c>
      <c r="G131" s="55">
        <v>-15.3</v>
      </c>
      <c r="H131" s="54">
        <f>-H130*H142</f>
        <v>-15.12</v>
      </c>
    </row>
    <row r="132" ht="15" customHeight="1">
      <c r="B132" s="37" t="s">
        <v>292</v>
      </c>
      <c r="C132" s="55">
        <v>0.8</v>
      </c>
      <c r="D132" s="55">
        <v>29</v>
      </c>
      <c r="E132" s="19">
        <f>Inputs!F228+Inputs!G228+C132+D132</f>
        <v>20.9</v>
      </c>
      <c r="F132" s="55">
        <v>0.9</v>
      </c>
      <c r="G132" s="55">
        <v>-9.7</v>
      </c>
      <c r="H132" s="56">
        <v>0</v>
      </c>
    </row>
    <row r="133" ht="15" customHeight="1">
      <c r="B133" s="17" t="s">
        <v>293</v>
      </c>
      <c r="C133" s="57">
        <f t="shared" si="38" ref="C133:G133">C120+C130+C131+C132</f>
        <v>978.3999999999999</v>
      </c>
      <c r="D133" s="57">
        <f t="shared" si="38"/>
        <v>1010.3999999999996</v>
      </c>
      <c r="E133" s="57">
        <f t="shared" si="38"/>
        <v>4088.1</v>
      </c>
      <c r="F133" s="57">
        <f t="shared" si="38"/>
        <v>1220.1000000000004</v>
      </c>
      <c r="G133" s="57">
        <f t="shared" si="38"/>
        <v>1081.7000000000003</v>
      </c>
      <c r="H133" s="58">
        <f>H137-H138</f>
        <v>1083.335035540645</v>
      </c>
    </row>
    <row r="134" ht="15" customHeight="1">
      <c r="B134" s="21" t="s">
        <v>129</v>
      </c>
      <c r="C134" s="40">
        <f>C133/Inputs!C207-1</f>
        <v>0.001432958034800258</v>
      </c>
      <c r="D134" s="40">
        <f>D133/Inputs!D207-1</f>
        <v>0.09957557949722462</v>
      </c>
      <c r="E134" s="40">
        <f>E133/Inputs!E207-1</f>
        <v>0.09330872913992305</v>
      </c>
      <c r="F134" s="40">
        <f>F133/Inputs!F207-1</f>
        <v>0.19629375428963658</v>
      </c>
      <c r="G134" s="40">
        <f>G133/Inputs!G207-1</f>
        <v>0.002130813414860322</v>
      </c>
      <c r="H134" s="41">
        <f t="shared" si="1"/>
        <v>0.10725167164824745</v>
      </c>
    </row>
    <row r="135" ht="15" customHeight="1">
      <c r="B135" s="44" t="s">
        <v>294</v>
      </c>
      <c r="C135" s="55">
        <v>978.4</v>
      </c>
      <c r="D135" s="55">
        <v>1010.4</v>
      </c>
      <c r="E135" s="55">
        <v>4088.1</v>
      </c>
      <c r="F135" s="55">
        <v>1220.1</v>
      </c>
      <c r="G135" s="55">
        <v>1081.7</v>
      </c>
      <c r="H135" s="54"/>
    </row>
    <row r="136" ht="15" customHeight="1">
      <c r="B136" s="37" t="s">
        <v>295</v>
      </c>
      <c r="C136" s="16" t="b">
        <f t="shared" si="30"/>
        <v>1</v>
      </c>
      <c r="D136" s="16" t="b">
        <f t="shared" si="30"/>
        <v>1</v>
      </c>
      <c r="E136" s="16" t="b">
        <f t="shared" si="30"/>
        <v>1</v>
      </c>
      <c r="F136" s="16" t="b">
        <f t="shared" si="30"/>
        <v>1</v>
      </c>
      <c r="G136" s="16" t="b">
        <f t="shared" si="30"/>
        <v>1</v>
      </c>
      <c r="H136" s="49"/>
    </row>
    <row r="137" ht="15" customHeight="1">
      <c r="B137" s="44" t="s">
        <v>296</v>
      </c>
      <c r="C137" s="20">
        <f t="shared" si="39" ref="C137:H137">C72+C130</f>
        <v>1264.8</v>
      </c>
      <c r="D137" s="20">
        <f t="shared" si="39"/>
        <v>1324.1999999999996</v>
      </c>
      <c r="E137" s="20">
        <f t="shared" si="39"/>
        <v>5322.6</v>
      </c>
      <c r="F137" s="20">
        <f t="shared" si="39"/>
        <v>1596.8000000000004</v>
      </c>
      <c r="G137" s="20">
        <f t="shared" si="39"/>
        <v>1392.6000000000001</v>
      </c>
      <c r="H137" s="54">
        <f t="shared" si="39"/>
        <v>1410.5924941935482</v>
      </c>
    </row>
    <row r="138" ht="15" customHeight="1">
      <c r="B138" s="44" t="s">
        <v>297</v>
      </c>
      <c r="C138" s="20">
        <f t="shared" si="40" ref="C138:G138">C137-C133</f>
        <v>286.4000000000001</v>
      </c>
      <c r="D138" s="20">
        <f t="shared" si="40"/>
        <v>313.79999999999995</v>
      </c>
      <c r="E138" s="20">
        <f t="shared" si="40"/>
        <v>1234.5000000000005</v>
      </c>
      <c r="F138" s="20">
        <f t="shared" si="40"/>
        <v>376.70000000000005</v>
      </c>
      <c r="G138" s="20">
        <f t="shared" si="40"/>
        <v>310.89999999999986</v>
      </c>
      <c r="H138" s="54">
        <f>H137*H139</f>
        <v>327.2574586529032</v>
      </c>
    </row>
    <row r="139" ht="15" customHeight="1">
      <c r="B139" s="45" t="s">
        <v>298</v>
      </c>
      <c r="C139" s="22">
        <f t="shared" si="41" ref="C139:G139">C138/C137</f>
        <v>0.22643896268184702</v>
      </c>
      <c r="D139" s="22">
        <f t="shared" si="41"/>
        <v>0.23697326687811512</v>
      </c>
      <c r="E139" s="22">
        <f t="shared" si="41"/>
        <v>0.23193552023447195</v>
      </c>
      <c r="F139" s="22">
        <f t="shared" si="41"/>
        <v>0.23590931863727452</v>
      </c>
      <c r="G139" s="22">
        <f t="shared" si="41"/>
        <v>0.2232514720666378</v>
      </c>
      <c r="H139" s="52">
        <v>0.232</v>
      </c>
      <c r="I139" s="15" t="s">
        <v>299</v>
      </c>
    </row>
    <row r="140" ht="15" customHeight="1">
      <c r="B140" s="21" t="s">
        <v>83</v>
      </c>
      <c r="C140" s="48"/>
      <c r="D140" s="48"/>
      <c r="E140" s="48"/>
      <c r="F140" s="48"/>
      <c r="G140" s="48"/>
      <c r="H140" s="47">
        <f t="shared" si="10"/>
        <v>55.61037318152995</v>
      </c>
    </row>
    <row r="141" ht="15" customHeight="1">
      <c r="B141" s="21" t="s">
        <v>84</v>
      </c>
      <c r="C141" s="48"/>
      <c r="D141" s="48">
        <f t="shared" si="7"/>
        <v>105.34304196268107</v>
      </c>
      <c r="E141" s="48"/>
      <c r="F141" s="48">
        <f t="shared" si="11"/>
        <v>-10.639482408406064</v>
      </c>
      <c r="G141" s="48">
        <f t="shared" si="7"/>
        <v>-126.57846570636706</v>
      </c>
      <c r="H141" s="47">
        <f t="shared" si="7"/>
        <v>87.48527933362199</v>
      </c>
    </row>
    <row r="142" ht="15" customHeight="1">
      <c r="B142" s="45" t="s">
        <v>300</v>
      </c>
      <c r="C142" s="22">
        <f t="shared" si="42" ref="C142:G142">-C131/C130</f>
        <v>0.2072892938496583</v>
      </c>
      <c r="D142" s="22"/>
      <c r="E142" s="22"/>
      <c r="F142" s="22">
        <f t="shared" si="42"/>
        <v>0.24447031431897553</v>
      </c>
      <c r="G142" s="22">
        <f t="shared" si="42"/>
        <v>0.2357473035439137</v>
      </c>
      <c r="H142" s="52">
        <v>0.24</v>
      </c>
      <c r="I142" s="15" t="s">
        <v>301</v>
      </c>
    </row>
    <row r="143" ht="15" customHeight="1">
      <c r="B143" s="21" t="s">
        <v>84</v>
      </c>
      <c r="C143" s="48"/>
      <c r="D143" s="48"/>
      <c r="E143" s="48"/>
      <c r="F143" s="48"/>
      <c r="G143" s="48">
        <f t="shared" si="43" ref="G143:H143">(G142-F142)*10000</f>
        <v>-87.23010775061823</v>
      </c>
      <c r="H143" s="47">
        <f t="shared" si="43"/>
        <v>42.5269645608628</v>
      </c>
    </row>
    <row r="144" ht="15" customHeight="1">
      <c r="B144" s="21" t="s">
        <v>83</v>
      </c>
      <c r="C144" s="48"/>
      <c r="D144" s="48"/>
      <c r="E144" s="48"/>
      <c r="F144" s="48"/>
      <c r="G144" s="48"/>
      <c r="H144" s="47">
        <f>(H142-C142)*10000</f>
        <v>327.1070615034169</v>
      </c>
    </row>
    <row r="145" ht="15" customHeight="1">
      <c r="B145" s="44" t="s">
        <v>302</v>
      </c>
      <c r="C145" s="55">
        <v>966.1</v>
      </c>
      <c r="D145" s="55">
        <v>997.7</v>
      </c>
      <c r="E145" s="19">
        <f>Inputs!F208+Inputs!G208+C145+D145</f>
        <v>4036.7</v>
      </c>
      <c r="F145" s="55">
        <v>1220.1</v>
      </c>
      <c r="G145" s="55">
        <v>1081.7</v>
      </c>
      <c r="H145" s="54">
        <f>H133</f>
        <v>1083.335035540645</v>
      </c>
    </row>
    <row r="146" ht="15" customHeight="1">
      <c r="B146" s="44" t="s">
        <v>256</v>
      </c>
      <c r="C146" s="20">
        <f t="shared" si="44" ref="C146:H146">C91</f>
        <v>360.422</v>
      </c>
      <c r="D146" s="20">
        <f t="shared" si="44"/>
        <v>360.233</v>
      </c>
      <c r="E146" s="20">
        <f t="shared" si="44"/>
        <v>360.31</v>
      </c>
      <c r="F146" s="20">
        <f t="shared" si="44"/>
        <v>363.208</v>
      </c>
      <c r="G146" s="20">
        <f t="shared" si="44"/>
        <v>361.282</v>
      </c>
      <c r="H146" s="54">
        <f t="shared" si="44"/>
        <v>359.4442830188679</v>
      </c>
    </row>
    <row r="147" ht="15" customHeight="1">
      <c r="B147" s="17" t="s">
        <v>303</v>
      </c>
      <c r="C147" s="70">
        <f t="shared" si="45" ref="C147:H147">C145/C146</f>
        <v>2.680469005776562</v>
      </c>
      <c r="D147" s="70">
        <f t="shared" si="45"/>
        <v>2.769596344588086</v>
      </c>
      <c r="E147" s="70">
        <f t="shared" si="45"/>
        <v>11.203408176292637</v>
      </c>
      <c r="F147" s="70">
        <f t="shared" si="45"/>
        <v>3.3592321755027417</v>
      </c>
      <c r="G147" s="70">
        <f t="shared" si="45"/>
        <v>2.9940600417402474</v>
      </c>
      <c r="H147" s="71">
        <f t="shared" si="45"/>
        <v>3.0139164446907585</v>
      </c>
    </row>
    <row r="148" ht="15" customHeight="1">
      <c r="B148" s="21" t="s">
        <v>129</v>
      </c>
      <c r="C148" s="40">
        <f>C147/Inputs!C209-1</f>
        <v>0.00017500215543342357</v>
      </c>
      <c r="D148" s="40">
        <f>D147/Inputs!D209-1</f>
        <v>0.0990461684873356</v>
      </c>
      <c r="E148" s="40">
        <f>E147/Inputs!E209-1</f>
        <v>0.09195011464840519</v>
      </c>
      <c r="F148" s="40">
        <f>F147/Inputs!F209-1</f>
        <v>0.19972577696526495</v>
      </c>
      <c r="G148" s="40">
        <f>G147/Inputs!G209-1</f>
        <v>0.01150677085819174</v>
      </c>
      <c r="H148" s="41">
        <f t="shared" si="1"/>
        <v>0.12439891608356546</v>
      </c>
    </row>
    <row r="149" ht="15" customHeight="1">
      <c r="B149" s="44" t="s">
        <v>304</v>
      </c>
      <c r="C149" s="67">
        <v>2.68</v>
      </c>
      <c r="D149" s="67">
        <v>2.77</v>
      </c>
      <c r="E149" s="67">
        <v>11.2</v>
      </c>
      <c r="F149" s="67">
        <v>3.36</v>
      </c>
      <c r="G149" s="67">
        <v>2.99</v>
      </c>
      <c r="H149" s="65"/>
    </row>
    <row r="150" ht="15" customHeight="1">
      <c r="B150" s="37" t="s">
        <v>305</v>
      </c>
      <c r="C150" s="16" t="b">
        <f t="shared" si="27"/>
        <v>1</v>
      </c>
      <c r="D150" s="16" t="b">
        <f t="shared" si="27"/>
        <v>1</v>
      </c>
      <c r="E150" s="16" t="b">
        <f t="shared" si="27"/>
        <v>1</v>
      </c>
      <c r="F150" s="16" t="b">
        <f t="shared" si="27"/>
        <v>1</v>
      </c>
      <c r="G150" s="16" t="b">
        <f t="shared" si="27"/>
        <v>1</v>
      </c>
      <c r="H150" s="49" t="b">
        <f>ABS(H147-H145/H146)&lt;0.000001</f>
        <v>1</v>
      </c>
      <c r="I150" s="15" t="s">
        <v>306</v>
      </c>
    </row>
    <row r="151" ht="15" customHeight="1">
      <c r="B151" s="45" t="s">
        <v>307</v>
      </c>
      <c r="C151" s="22">
        <f t="shared" si="46" ref="C151:H151">C133/C16</f>
        <v>0.6363163371488033</v>
      </c>
      <c r="D151" s="22">
        <f t="shared" si="46"/>
        <v>0.61284648510948</v>
      </c>
      <c r="E151" s="22">
        <f t="shared" si="46"/>
        <v>0.6269515075299819</v>
      </c>
      <c r="F151" s="22">
        <f t="shared" si="46"/>
        <v>0.6489548428275094</v>
      </c>
      <c r="G151" s="22">
        <f t="shared" si="46"/>
        <v>0.6339819481889581</v>
      </c>
      <c r="H151" s="41">
        <f t="shared" si="46"/>
        <v>0.6289181889950529</v>
      </c>
    </row>
    <row r="152" ht="15" customHeight="1">
      <c r="B152" s="21" t="s">
        <v>83</v>
      </c>
      <c r="C152" s="46">
        <f>(C151-Inputs!C207/Inputs!C154)*10000</f>
        <v>196.79124323759177</v>
      </c>
      <c r="D152" s="46">
        <f>(D151-Inputs!D207/Inputs!D154)*10000</f>
        <v>104.0762062380507</v>
      </c>
      <c r="E152" s="46">
        <f>(E151-Inputs!E207/Inputs!E154)*10000</f>
        <v>169.77771375596086</v>
      </c>
      <c r="F152" s="46">
        <f>(F151-Inputs!F207/Inputs!F154)*10000</f>
        <v>279.35540629372645</v>
      </c>
      <c r="G152" s="46">
        <f>(G151-Inputs!G207/Inputs!G154)*10000</f>
        <v>-39.613142223894336</v>
      </c>
      <c r="H152" s="47">
        <f t="shared" si="10"/>
        <v>-73.98148153750395</v>
      </c>
    </row>
    <row r="153" ht="15" customHeight="1">
      <c r="B153" s="21" t="s">
        <v>84</v>
      </c>
      <c r="C153" s="46">
        <f>(C151-Inputs!G207/Inputs!G154)*10000</f>
        <v>-16.269252625442654</v>
      </c>
      <c r="D153" s="48">
        <f t="shared" si="7"/>
        <v>-234.6985203932328</v>
      </c>
      <c r="E153" s="48"/>
      <c r="F153" s="48">
        <f t="shared" si="11"/>
        <v>361.0835771802934</v>
      </c>
      <c r="G153" s="48">
        <f t="shared" si="7"/>
        <v>-149.72894638551227</v>
      </c>
      <c r="H153" s="47">
        <f t="shared" si="7"/>
        <v>-50.637591939052264</v>
      </c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33F938B5-165E-1008-1518-E03A0A05B50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8" width="12.00390625" customWidth="1"/>
    <col min="9" max="9" width="60.00390625" customWidth="1"/>
  </cols>
  <sheetData>
    <row r="2" ht="15" customHeight="1">
      <c r="B2" s="2" t="s">
        <v>1</v>
      </c>
    </row>
    <row r="3" ht="15" customHeight="1">
      <c r="B3" s="3" t="s">
        <v>308</v>
      </c>
    </row>
    <row r="4" ht="15" customHeight="1">
      <c r="B4" s="4" t="s">
        <v>3</v>
      </c>
    </row>
    <row r="5" ht="15" customHeight="1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7" t="s">
        <v>10</v>
      </c>
      <c r="I5" s="8" t="s">
        <v>11</v>
      </c>
    </row>
    <row r="6" ht="15" customHeight="1">
      <c r="B6" s="9" t="s">
        <v>12</v>
      </c>
      <c r="C6" s="10">
        <f>DATE(2025,9,30)</f>
        <v>45930</v>
      </c>
      <c r="D6" s="10">
        <f t="shared" si="0" ref="D6:E6">DATE(2025,12,31)</f>
        <v>46022</v>
      </c>
      <c r="E6" s="10">
        <f t="shared" si="0"/>
        <v>46022</v>
      </c>
      <c r="F6" s="10">
        <f>DATE(2026,3,31)</f>
        <v>46112</v>
      </c>
      <c r="G6" s="10">
        <f>DATE(2026,6,30)</f>
        <v>46203</v>
      </c>
      <c r="H6" s="11">
        <f>DATE(2026,9,30)</f>
        <v>46295</v>
      </c>
      <c r="I6" s="9"/>
    </row>
    <row r="7" ht="15" customHeight="1">
      <c r="B7" s="12" t="s">
        <v>13</v>
      </c>
      <c r="C7" s="13">
        <f>C6-DATE(2025,6,30)</f>
        <v>92</v>
      </c>
      <c r="D7" s="13">
        <f>D6-DATE(2025,9,30)</f>
        <v>92</v>
      </c>
      <c r="E7" s="13">
        <f>E6-DATE(2024,12,31)</f>
        <v>365</v>
      </c>
      <c r="F7" s="13">
        <f>F6-DATE(2025,12,31)</f>
        <v>90</v>
      </c>
      <c r="G7" s="13">
        <f>G6-DATE(2026,3,31)</f>
        <v>91</v>
      </c>
      <c r="H7" s="14">
        <f>H6-DATE(2026,6,30)</f>
        <v>92</v>
      </c>
      <c r="I7" s="12"/>
    </row>
    <row r="9" ht="15" customHeight="1">
      <c r="B9" s="17" t="s">
        <v>309</v>
      </c>
      <c r="I9" s="33" t="s">
        <v>310</v>
      </c>
    </row>
    <row r="10" ht="15" customHeight="1">
      <c r="B10" s="44" t="s">
        <v>311</v>
      </c>
      <c r="C10" s="55">
        <v>2446.8</v>
      </c>
      <c r="D10" s="55">
        <v>4416.9</v>
      </c>
      <c r="E10" s="20">
        <f t="shared" si="1" ref="E10:H38">D10</f>
        <v>4416.9</v>
      </c>
      <c r="F10" s="55">
        <v>2391.2</v>
      </c>
      <c r="G10" s="55">
        <v>2144.2</v>
      </c>
      <c r="H10" s="64">
        <f>G10+'Cash Flow Statement'!H42</f>
        <v>2400.1548676161165</v>
      </c>
      <c r="I10" s="15" t="s">
        <v>312</v>
      </c>
    </row>
    <row r="11" ht="15" customHeight="1">
      <c r="B11" s="44" t="s">
        <v>313</v>
      </c>
      <c r="C11" s="55">
        <v>123.2</v>
      </c>
      <c r="D11" s="55">
        <v>125</v>
      </c>
      <c r="E11" s="20">
        <f t="shared" si="1"/>
        <v>125</v>
      </c>
      <c r="F11" s="55">
        <v>124.2</v>
      </c>
      <c r="G11" s="55">
        <v>131.4</v>
      </c>
      <c r="H11" s="54">
        <f t="shared" si="1"/>
        <v>131.4</v>
      </c>
    </row>
    <row r="12" ht="15" customHeight="1">
      <c r="B12" s="44" t="s">
        <v>314</v>
      </c>
      <c r="C12" s="55">
        <v>642.9</v>
      </c>
      <c r="D12" s="55">
        <v>639.2</v>
      </c>
      <c r="E12" s="20">
        <f t="shared" si="1"/>
        <v>639.2</v>
      </c>
      <c r="F12" s="55">
        <v>935.5</v>
      </c>
      <c r="G12" s="55">
        <v>753.1</v>
      </c>
      <c r="H12" s="54">
        <f t="shared" si="1"/>
        <v>753.1</v>
      </c>
    </row>
    <row r="13" ht="15" customHeight="1">
      <c r="B13" s="44" t="s">
        <v>315</v>
      </c>
      <c r="C13" s="55">
        <v>546.7</v>
      </c>
      <c r="D13" s="55">
        <v>522.1</v>
      </c>
      <c r="E13" s="20">
        <f t="shared" si="1"/>
        <v>522.1</v>
      </c>
      <c r="F13" s="55">
        <v>515</v>
      </c>
      <c r="G13" s="55">
        <v>491.7</v>
      </c>
      <c r="H13" s="54">
        <f t="shared" si="1"/>
        <v>491.7</v>
      </c>
    </row>
    <row r="14" ht="15" customHeight="1">
      <c r="B14" s="44" t="s">
        <v>316</v>
      </c>
      <c r="C14" s="55">
        <v>149041.2</v>
      </c>
      <c r="D14" s="55">
        <v>159656.1</v>
      </c>
      <c r="E14" s="20">
        <f t="shared" si="1"/>
        <v>159656.1</v>
      </c>
      <c r="F14" s="55">
        <v>165035.3</v>
      </c>
      <c r="G14" s="55">
        <v>158110.7</v>
      </c>
      <c r="H14" s="54">
        <f t="shared" si="1"/>
        <v>158110.7</v>
      </c>
      <c r="I14" s="15" t="s">
        <v>317</v>
      </c>
    </row>
    <row r="15" ht="15" customHeight="1">
      <c r="B15" s="17" t="s">
        <v>318</v>
      </c>
      <c r="C15" s="57">
        <f t="shared" si="2" ref="C15:H15">SUM(C10:C14)</f>
        <v>152800.80000000002</v>
      </c>
      <c r="D15" s="57">
        <f t="shared" si="2"/>
        <v>165359.30000000002</v>
      </c>
      <c r="E15" s="57">
        <f t="shared" si="2"/>
        <v>165359.30000000002</v>
      </c>
      <c r="F15" s="57">
        <f t="shared" si="2"/>
        <v>169001.19999999998</v>
      </c>
      <c r="G15" s="57">
        <f t="shared" si="2"/>
        <v>161631.1</v>
      </c>
      <c r="H15" s="58">
        <f t="shared" si="2"/>
        <v>161887.05486761613</v>
      </c>
    </row>
    <row r="16" ht="15" customHeight="1">
      <c r="B16" s="44" t="s">
        <v>319</v>
      </c>
      <c r="C16" s="55">
        <v>355.2</v>
      </c>
      <c r="D16" s="55">
        <v>362.7</v>
      </c>
      <c r="E16" s="20">
        <f t="shared" si="1"/>
        <v>362.7</v>
      </c>
      <c r="F16" s="55">
        <v>355.4</v>
      </c>
      <c r="G16" s="55">
        <v>351.2</v>
      </c>
      <c r="H16" s="64">
        <f>G16-'Cash Flow Statement'!H29-'Income Statement'!H28</f>
        <v>343.2</v>
      </c>
      <c r="I16" s="15" t="s">
        <v>320</v>
      </c>
    </row>
    <row r="17" ht="15" customHeight="1">
      <c r="B17" s="44" t="s">
        <v>321</v>
      </c>
      <c r="C17" s="55">
        <v>17175.3</v>
      </c>
      <c r="D17" s="55">
        <v>17175.3</v>
      </c>
      <c r="E17" s="20">
        <f t="shared" si="1"/>
        <v>17175.3</v>
      </c>
      <c r="F17" s="55">
        <v>17175.3</v>
      </c>
      <c r="G17" s="55">
        <v>17175.3</v>
      </c>
      <c r="H17" s="54">
        <f t="shared" si="1"/>
        <v>17175.3</v>
      </c>
    </row>
    <row r="18" ht="15" customHeight="1">
      <c r="B18" s="44" t="s">
        <v>322</v>
      </c>
      <c r="C18" s="55">
        <v>2667.8</v>
      </c>
      <c r="D18" s="55">
        <v>2610.7</v>
      </c>
      <c r="E18" s="20">
        <f t="shared" si="1"/>
        <v>2610.7</v>
      </c>
      <c r="F18" s="55">
        <v>2550.8</v>
      </c>
      <c r="G18" s="55">
        <v>2494.6</v>
      </c>
      <c r="H18" s="64">
        <f>G18-'Income Statement'!H26</f>
        <v>2438.6</v>
      </c>
      <c r="I18" s="15" t="s">
        <v>323</v>
      </c>
    </row>
    <row r="19" ht="15" customHeight="1">
      <c r="B19" s="44" t="s">
        <v>324</v>
      </c>
      <c r="C19" s="55">
        <v>10514.5</v>
      </c>
      <c r="D19" s="55">
        <v>10514.7</v>
      </c>
      <c r="E19" s="20">
        <f t="shared" si="1"/>
        <v>10514.7</v>
      </c>
      <c r="F19" s="55">
        <v>10506</v>
      </c>
      <c r="G19" s="55">
        <v>10505.8</v>
      </c>
      <c r="H19" s="54">
        <f t="shared" si="1"/>
        <v>10505.8</v>
      </c>
    </row>
    <row r="20" ht="15" customHeight="1">
      <c r="B20" s="44" t="s">
        <v>325</v>
      </c>
      <c r="C20" s="55">
        <v>3631</v>
      </c>
      <c r="D20" s="55">
        <v>2401.5</v>
      </c>
      <c r="E20" s="20">
        <f t="shared" si="1"/>
        <v>2401.5</v>
      </c>
      <c r="F20" s="55">
        <v>2404.8</v>
      </c>
      <c r="G20" s="55">
        <v>2518.6</v>
      </c>
      <c r="H20" s="54">
        <f t="shared" si="1"/>
        <v>2518.6</v>
      </c>
    </row>
    <row r="21" ht="15" customHeight="1">
      <c r="B21" s="17" t="s">
        <v>326</v>
      </c>
      <c r="C21" s="57">
        <f t="shared" si="3" ref="C21:H21">C15+SUM(C16:C20)</f>
        <v>187144.60000000003</v>
      </c>
      <c r="D21" s="57">
        <f t="shared" si="3"/>
        <v>198424.2</v>
      </c>
      <c r="E21" s="57">
        <f t="shared" si="3"/>
        <v>198424.2</v>
      </c>
      <c r="F21" s="57">
        <f t="shared" si="3"/>
        <v>201993.5</v>
      </c>
      <c r="G21" s="57">
        <f t="shared" si="3"/>
        <v>194676.6</v>
      </c>
      <c r="H21" s="58">
        <f t="shared" si="3"/>
        <v>194868.55486761613</v>
      </c>
    </row>
    <row r="22" ht="15" customHeight="1">
      <c r="B22" s="44" t="s">
        <v>327</v>
      </c>
      <c r="C22" s="55">
        <v>187144.6</v>
      </c>
      <c r="D22" s="55">
        <v>198424.2</v>
      </c>
      <c r="E22" s="55">
        <v>198424.2</v>
      </c>
      <c r="F22" s="55">
        <v>201993.5</v>
      </c>
      <c r="G22" s="55">
        <v>194676.6</v>
      </c>
      <c r="H22" s="54"/>
    </row>
    <row r="23" ht="15" customHeight="1">
      <c r="B23" s="17" t="s">
        <v>328</v>
      </c>
    </row>
    <row r="24" ht="15" customHeight="1">
      <c r="B24" s="44" t="s">
        <v>329</v>
      </c>
      <c r="C24" s="55">
        <v>74.9</v>
      </c>
      <c r="D24" s="55">
        <v>71.8</v>
      </c>
      <c r="E24" s="20">
        <f t="shared" si="1"/>
        <v>71.8</v>
      </c>
      <c r="F24" s="55">
        <v>75.4</v>
      </c>
      <c r="G24" s="55">
        <v>68</v>
      </c>
      <c r="H24" s="54">
        <f t="shared" si="1"/>
        <v>68</v>
      </c>
    </row>
    <row r="25" ht="15" customHeight="1">
      <c r="B25" s="44" t="s">
        <v>330</v>
      </c>
      <c r="C25" s="55">
        <v>0</v>
      </c>
      <c r="D25" s="55">
        <v>0</v>
      </c>
      <c r="E25" s="20">
        <f t="shared" si="1"/>
        <v>0</v>
      </c>
      <c r="F25" s="55">
        <v>0</v>
      </c>
      <c r="G25" s="55">
        <v>0</v>
      </c>
      <c r="H25" s="54">
        <f t="shared" si="1"/>
        <v>0</v>
      </c>
    </row>
    <row r="26" ht="15" customHeight="1">
      <c r="B26" s="44" t="s">
        <v>331</v>
      </c>
      <c r="C26" s="55">
        <v>471.1</v>
      </c>
      <c r="D26" s="55">
        <v>568.8</v>
      </c>
      <c r="E26" s="20">
        <f t="shared" si="1"/>
        <v>568.8</v>
      </c>
      <c r="F26" s="55">
        <v>887.1</v>
      </c>
      <c r="G26" s="55">
        <v>538.6</v>
      </c>
      <c r="H26" s="54">
        <f t="shared" si="1"/>
        <v>538.6</v>
      </c>
    </row>
    <row r="27" ht="15" customHeight="1">
      <c r="B27" s="44" t="s">
        <v>316</v>
      </c>
      <c r="C27" s="20">
        <f t="shared" si="4" ref="C27:H27">C14</f>
        <v>149041.2</v>
      </c>
      <c r="D27" s="20">
        <f t="shared" si="4"/>
        <v>159656.1</v>
      </c>
      <c r="E27" s="20">
        <f t="shared" si="4"/>
        <v>159656.1</v>
      </c>
      <c r="F27" s="20">
        <f t="shared" si="4"/>
        <v>165035.3</v>
      </c>
      <c r="G27" s="20">
        <f t="shared" si="4"/>
        <v>158110.7</v>
      </c>
      <c r="H27" s="54">
        <f t="shared" si="4"/>
        <v>158110.7</v>
      </c>
      <c r="I27" s="15" t="s">
        <v>332</v>
      </c>
    </row>
    <row r="28" ht="15" customHeight="1">
      <c r="B28" s="17" t="s">
        <v>333</v>
      </c>
      <c r="C28" s="57">
        <f t="shared" si="5" ref="C28:H28">SUM(C24:C27)</f>
        <v>149587.2</v>
      </c>
      <c r="D28" s="57">
        <f t="shared" si="5"/>
        <v>160296.7</v>
      </c>
      <c r="E28" s="57">
        <f t="shared" si="5"/>
        <v>160296.7</v>
      </c>
      <c r="F28" s="57">
        <f t="shared" si="5"/>
        <v>165997.8</v>
      </c>
      <c r="G28" s="57">
        <f t="shared" si="5"/>
        <v>158717.30000000002</v>
      </c>
      <c r="H28" s="58">
        <f t="shared" si="5"/>
        <v>158717.30000000002</v>
      </c>
    </row>
    <row r="29" ht="15" customHeight="1">
      <c r="B29" s="44" t="s">
        <v>334</v>
      </c>
      <c r="C29" s="55">
        <v>3421.3</v>
      </c>
      <c r="D29" s="55">
        <v>3422.3</v>
      </c>
      <c r="E29" s="20">
        <f t="shared" si="1"/>
        <v>3422.3</v>
      </c>
      <c r="F29" s="55">
        <v>3423.2</v>
      </c>
      <c r="G29" s="55">
        <v>3424.2</v>
      </c>
      <c r="H29" s="54">
        <f t="shared" si="1"/>
        <v>3424.2</v>
      </c>
    </row>
    <row r="30" ht="15" customHeight="1">
      <c r="B30" s="44" t="s">
        <v>335</v>
      </c>
      <c r="C30" s="55">
        <v>5220.1</v>
      </c>
      <c r="D30" s="55">
        <v>5242.2</v>
      </c>
      <c r="E30" s="20">
        <f t="shared" si="1"/>
        <v>5242.2</v>
      </c>
      <c r="F30" s="55">
        <v>5221.1</v>
      </c>
      <c r="G30" s="55">
        <v>5220.9</v>
      </c>
      <c r="H30" s="54">
        <f t="shared" si="1"/>
        <v>5220.9</v>
      </c>
    </row>
    <row r="31" ht="15" customHeight="1">
      <c r="B31" s="44" t="s">
        <v>336</v>
      </c>
      <c r="C31" s="55">
        <v>725.7</v>
      </c>
      <c r="D31" s="55">
        <v>734.8</v>
      </c>
      <c r="E31" s="20">
        <f t="shared" si="1"/>
        <v>734.8</v>
      </c>
      <c r="F31" s="55">
        <v>733.2</v>
      </c>
      <c r="G31" s="55">
        <v>793.8</v>
      </c>
      <c r="H31" s="54">
        <f t="shared" si="1"/>
        <v>793.8</v>
      </c>
    </row>
    <row r="32" ht="15" customHeight="1">
      <c r="B32" s="17" t="s">
        <v>337</v>
      </c>
      <c r="C32" s="57">
        <f t="shared" si="6" ref="C32:H32">C28+SUM(C29:C31)</f>
        <v>158954.30000000002</v>
      </c>
      <c r="D32" s="57">
        <f t="shared" si="6"/>
        <v>169696</v>
      </c>
      <c r="E32" s="57">
        <f t="shared" si="6"/>
        <v>169696</v>
      </c>
      <c r="F32" s="57">
        <f t="shared" si="6"/>
        <v>175375.3</v>
      </c>
      <c r="G32" s="57">
        <f t="shared" si="6"/>
        <v>168156.2</v>
      </c>
      <c r="H32" s="58">
        <f t="shared" si="6"/>
        <v>168156.2</v>
      </c>
    </row>
    <row r="33" ht="15" customHeight="1">
      <c r="B33" s="44" t="s">
        <v>338</v>
      </c>
      <c r="C33" s="55">
        <v>158954.3</v>
      </c>
      <c r="D33" s="55">
        <v>169696</v>
      </c>
      <c r="E33" s="55">
        <v>169696</v>
      </c>
      <c r="F33" s="55">
        <v>175375.3</v>
      </c>
      <c r="G33" s="55">
        <v>168156.2</v>
      </c>
      <c r="H33" s="54"/>
    </row>
    <row r="34" ht="15" customHeight="1">
      <c r="B34" s="17" t="s">
        <v>339</v>
      </c>
      <c r="C34" s="62">
        <v>28190.3</v>
      </c>
      <c r="D34" s="62">
        <v>28728.2</v>
      </c>
      <c r="E34" s="57">
        <f t="shared" si="1"/>
        <v>28728.2</v>
      </c>
      <c r="F34" s="62">
        <v>26618.2</v>
      </c>
      <c r="G34" s="62">
        <v>26520.4</v>
      </c>
      <c r="H34" s="72">
        <f>G34+'Income Statement'!H81+'Cash Flow Statement'!H36+'Cash Flow Statement'!H37+'Cash Flow Statement'!H11</f>
        <v>26712.35486761612</v>
      </c>
      <c r="I34" s="15" t="s">
        <v>340</v>
      </c>
    </row>
    <row r="35" ht="15" customHeight="1">
      <c r="B35" s="17" t="s">
        <v>341</v>
      </c>
      <c r="C35" s="57">
        <f t="shared" si="7" ref="C35:H35">C32+C34</f>
        <v>187144.6</v>
      </c>
      <c r="D35" s="57">
        <f t="shared" si="7"/>
        <v>198424.2</v>
      </c>
      <c r="E35" s="57">
        <f t="shared" si="7"/>
        <v>198424.2</v>
      </c>
      <c r="F35" s="57">
        <f t="shared" si="7"/>
        <v>201993.5</v>
      </c>
      <c r="G35" s="57">
        <f t="shared" si="7"/>
        <v>194676.6</v>
      </c>
      <c r="H35" s="58">
        <f t="shared" si="7"/>
        <v>194868.55486761613</v>
      </c>
    </row>
    <row r="36" ht="15" customHeight="1">
      <c r="B36" s="17" t="s">
        <v>342</v>
      </c>
      <c r="C36" s="59">
        <f t="shared" si="8" ref="C36:H36">ROUND(C21-C32-C34,6)</f>
        <v>0</v>
      </c>
      <c r="D36" s="59">
        <f t="shared" si="8"/>
        <v>0</v>
      </c>
      <c r="E36" s="59">
        <f t="shared" si="8"/>
        <v>0</v>
      </c>
      <c r="F36" s="59">
        <f t="shared" si="8"/>
        <v>0</v>
      </c>
      <c r="G36" s="59">
        <f t="shared" si="8"/>
        <v>0</v>
      </c>
      <c r="H36" s="60">
        <f t="shared" si="8"/>
        <v>0</v>
      </c>
    </row>
    <row r="37" ht="15" customHeight="1">
      <c r="B37" s="17" t="s">
        <v>343</v>
      </c>
    </row>
    <row r="38" ht="15" customHeight="1">
      <c r="B38" s="44" t="s">
        <v>344</v>
      </c>
      <c r="C38" s="55">
        <v>6.5</v>
      </c>
      <c r="D38" s="55">
        <v>6.5</v>
      </c>
      <c r="E38" s="20">
        <f t="shared" si="1"/>
        <v>6.5</v>
      </c>
      <c r="F38" s="55">
        <v>6.4</v>
      </c>
      <c r="G38" s="55">
        <v>4.4</v>
      </c>
      <c r="H38" s="54">
        <f t="shared" si="1"/>
        <v>4.4</v>
      </c>
      <c r="I38" s="15" t="s">
        <v>345</v>
      </c>
    </row>
    <row r="39" ht="15" customHeight="1">
      <c r="B39" s="44" t="s">
        <v>346</v>
      </c>
      <c r="C39" s="20">
        <f t="shared" si="9" ref="C39:H39">C25+C29</f>
        <v>3421.3</v>
      </c>
      <c r="D39" s="20">
        <f t="shared" si="9"/>
        <v>3422.3</v>
      </c>
      <c r="E39" s="20">
        <f t="shared" si="9"/>
        <v>3422.3</v>
      </c>
      <c r="F39" s="20">
        <f t="shared" si="9"/>
        <v>3423.2</v>
      </c>
      <c r="G39" s="20">
        <f t="shared" si="9"/>
        <v>3424.2</v>
      </c>
      <c r="H39" s="54">
        <f t="shared" si="9"/>
        <v>3424.2</v>
      </c>
    </row>
    <row r="40" ht="15" customHeight="1">
      <c r="B40" s="44" t="s">
        <v>347</v>
      </c>
      <c r="C40" s="20">
        <f t="shared" si="10" ref="C40:H40">C10+C11-C39</f>
        <v>-851.3000000000002</v>
      </c>
      <c r="D40" s="20">
        <f t="shared" si="10"/>
        <v>1119.5999999999995</v>
      </c>
      <c r="E40" s="20">
        <f t="shared" si="10"/>
        <v>1119.5999999999995</v>
      </c>
      <c r="F40" s="20">
        <f t="shared" si="10"/>
        <v>-907.8000000000002</v>
      </c>
      <c r="G40" s="20">
        <f t="shared" si="10"/>
        <v>-1148.6</v>
      </c>
      <c r="H40" s="54">
        <f t="shared" si="10"/>
        <v>-892.6451323838833</v>
      </c>
    </row>
    <row r="41" ht="15" customHeight="1">
      <c r="B41" s="37" t="s">
        <v>348</v>
      </c>
      <c r="C41" s="20"/>
      <c r="D41" s="20">
        <f t="shared" si="11" ref="D41:H41">(D40-C40)</f>
        <v>1970.8999999999996</v>
      </c>
      <c r="E41" s="20"/>
      <c r="F41" s="20">
        <f>(F40-D40)</f>
        <v>-2027.3999999999996</v>
      </c>
      <c r="G41" s="20">
        <f t="shared" si="11"/>
        <v>-240.79999999999973</v>
      </c>
      <c r="H41" s="54">
        <f t="shared" si="11"/>
        <v>255.95486761611664</v>
      </c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BB011F78-E6E8-4D6E-1EC8-690D64B8792C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8" width="12.00390625" customWidth="1"/>
    <col min="9" max="9" width="60.00390625" customWidth="1"/>
  </cols>
  <sheetData>
    <row r="2" ht="15" customHeight="1">
      <c r="B2" s="2" t="s">
        <v>1</v>
      </c>
    </row>
    <row r="3" ht="15" customHeight="1">
      <c r="B3" s="3" t="s">
        <v>349</v>
      </c>
    </row>
    <row r="4" ht="15" customHeight="1">
      <c r="B4" s="4" t="s">
        <v>3</v>
      </c>
    </row>
    <row r="5" ht="15" customHeight="1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7" t="s">
        <v>10</v>
      </c>
      <c r="I5" s="8" t="s">
        <v>11</v>
      </c>
    </row>
    <row r="6" ht="15" customHeight="1">
      <c r="B6" s="9" t="s">
        <v>12</v>
      </c>
      <c r="C6" s="10">
        <f>DATE(2025,9,30)</f>
        <v>45930</v>
      </c>
      <c r="D6" s="10">
        <f t="shared" si="0" ref="D6:E6">DATE(2025,12,31)</f>
        <v>46022</v>
      </c>
      <c r="E6" s="10">
        <f t="shared" si="0"/>
        <v>46022</v>
      </c>
      <c r="F6" s="10">
        <f>DATE(2026,3,31)</f>
        <v>46112</v>
      </c>
      <c r="G6" s="10">
        <f>DATE(2026,6,30)</f>
        <v>46203</v>
      </c>
      <c r="H6" s="11">
        <f>DATE(2026,9,30)</f>
        <v>46295</v>
      </c>
      <c r="I6" s="9"/>
    </row>
    <row r="7" ht="15" customHeight="1">
      <c r="B7" s="12" t="s">
        <v>13</v>
      </c>
      <c r="C7" s="13">
        <f>C6-DATE(2025,6,30)</f>
        <v>92</v>
      </c>
      <c r="D7" s="13">
        <f>D6-DATE(2025,9,30)</f>
        <v>92</v>
      </c>
      <c r="E7" s="13">
        <f>E6-DATE(2024,12,31)</f>
        <v>365</v>
      </c>
      <c r="F7" s="13">
        <f>F6-DATE(2025,12,31)</f>
        <v>90</v>
      </c>
      <c r="G7" s="13">
        <f>G6-DATE(2026,3,31)</f>
        <v>91</v>
      </c>
      <c r="H7" s="14">
        <f>H6-DATE(2026,6,30)</f>
        <v>92</v>
      </c>
      <c r="I7" s="12"/>
    </row>
    <row r="9" ht="15" customHeight="1">
      <c r="B9" s="17" t="s">
        <v>350</v>
      </c>
      <c r="I9" s="33" t="s">
        <v>351</v>
      </c>
    </row>
    <row r="10" ht="15" customHeight="1">
      <c r="B10" s="44" t="s">
        <v>352</v>
      </c>
      <c r="C10" s="20">
        <f t="shared" si="1" ref="C10:G23">C52-C80</f>
        <v>908.0000000000002</v>
      </c>
      <c r="D10" s="20">
        <f t="shared" si="1"/>
        <v>1182.8999999999996</v>
      </c>
      <c r="E10" s="20">
        <f t="shared" si="2" ref="E10:E23">D52</f>
        <v>4072.2</v>
      </c>
      <c r="F10" s="20">
        <f t="shared" si="3" ref="F10:F23">F52</f>
        <v>1154.3</v>
      </c>
      <c r="G10" s="20">
        <f t="shared" si="1"/>
        <v>1041.8</v>
      </c>
      <c r="H10" s="64">
        <f>'Income Statement'!H81</f>
        <v>1035.455035540645</v>
      </c>
    </row>
    <row r="11" ht="15" customHeight="1">
      <c r="B11" s="44" t="s">
        <v>353</v>
      </c>
      <c r="C11" s="20">
        <f t="shared" si="1"/>
        <v>24.000000000000007</v>
      </c>
      <c r="D11" s="20">
        <f t="shared" si="1"/>
        <v>28.89999999999999</v>
      </c>
      <c r="E11" s="20">
        <f t="shared" si="2"/>
        <v>94.8</v>
      </c>
      <c r="F11" s="20">
        <f t="shared" si="3"/>
        <v>21.8</v>
      </c>
      <c r="G11" s="20">
        <f t="shared" si="1"/>
        <v>24.8</v>
      </c>
      <c r="H11" s="56">
        <v>23</v>
      </c>
      <c r="I11" s="15" t="s">
        <v>354</v>
      </c>
    </row>
    <row r="12" ht="15" customHeight="1">
      <c r="B12" s="44" t="s">
        <v>205</v>
      </c>
      <c r="C12" s="20">
        <f t="shared" si="1"/>
        <v>56.2</v>
      </c>
      <c r="D12" s="20">
        <f t="shared" si="1"/>
        <v>55.900000000000006</v>
      </c>
      <c r="E12" s="20">
        <f t="shared" si="2"/>
        <v>223.4</v>
      </c>
      <c r="F12" s="20">
        <f t="shared" si="3"/>
        <v>56.1</v>
      </c>
      <c r="G12" s="20">
        <f t="shared" si="1"/>
        <v>55.99999999999999</v>
      </c>
      <c r="H12" s="64">
        <f>'Income Statement'!H26</f>
        <v>56</v>
      </c>
    </row>
    <row r="13" ht="15" customHeight="1">
      <c r="B13" s="44" t="s">
        <v>207</v>
      </c>
      <c r="C13" s="20">
        <f t="shared" si="1"/>
        <v>26.4</v>
      </c>
      <c r="D13" s="20">
        <f t="shared" si="1"/>
        <v>26.5</v>
      </c>
      <c r="E13" s="20">
        <f t="shared" si="2"/>
        <v>107.5</v>
      </c>
      <c r="F13" s="20">
        <f t="shared" si="3"/>
        <v>27.2</v>
      </c>
      <c r="G13" s="20">
        <f t="shared" si="1"/>
        <v>28.2</v>
      </c>
      <c r="H13" s="64">
        <f>'Income Statement'!H28</f>
        <v>28</v>
      </c>
    </row>
    <row r="14" ht="15" customHeight="1">
      <c r="B14" s="44" t="s">
        <v>287</v>
      </c>
      <c r="C14" s="20">
        <f t="shared" si="1"/>
        <v>-0.3999999999999999</v>
      </c>
      <c r="D14" s="20">
        <f t="shared" si="1"/>
        <v>-349.8</v>
      </c>
      <c r="E14" s="20">
        <f t="shared" si="2"/>
        <v>-352.8</v>
      </c>
      <c r="F14" s="20">
        <f t="shared" si="3"/>
        <v>22.9</v>
      </c>
      <c r="G14" s="20">
        <f t="shared" si="1"/>
        <v>-3.799999999999997</v>
      </c>
      <c r="H14" s="56">
        <v>0</v>
      </c>
    </row>
    <row r="15" ht="15" customHeight="1">
      <c r="B15" s="44" t="s">
        <v>355</v>
      </c>
      <c r="C15" s="20">
        <f t="shared" si="1"/>
        <v>-6.699999999999999</v>
      </c>
      <c r="D15" s="20">
        <f t="shared" si="1"/>
        <v>21.299999999999997</v>
      </c>
      <c r="E15" s="20">
        <f t="shared" si="2"/>
        <v>-6.1</v>
      </c>
      <c r="F15" s="20">
        <f t="shared" si="3"/>
        <v>-13.4</v>
      </c>
      <c r="G15" s="20">
        <f t="shared" si="1"/>
        <v>5.200000000000001</v>
      </c>
      <c r="H15" s="56">
        <v>0</v>
      </c>
    </row>
    <row r="16" ht="15" customHeight="1">
      <c r="B16" s="44" t="s">
        <v>356</v>
      </c>
      <c r="C16" s="20">
        <f t="shared" si="1"/>
        <v>25.5</v>
      </c>
      <c r="D16" s="20">
        <f t="shared" si="1"/>
        <v>2.8000000000000114</v>
      </c>
      <c r="E16" s="20">
        <f t="shared" si="2"/>
        <v>-67.1</v>
      </c>
      <c r="F16" s="20">
        <f t="shared" si="3"/>
        <v>-295.8</v>
      </c>
      <c r="G16" s="20">
        <f t="shared" si="1"/>
        <v>182.9</v>
      </c>
      <c r="H16" s="56">
        <v>0</v>
      </c>
      <c r="I16" s="15" t="s">
        <v>357</v>
      </c>
    </row>
    <row r="17" ht="15" customHeight="1">
      <c r="B17" s="44" t="s">
        <v>358</v>
      </c>
      <c r="C17" s="20">
        <f t="shared" si="1"/>
        <v>2.700000000000003</v>
      </c>
      <c r="D17" s="20">
        <f t="shared" si="1"/>
        <v>3.799999999999997</v>
      </c>
      <c r="E17" s="20">
        <f t="shared" si="2"/>
        <v>-18.1</v>
      </c>
      <c r="F17" s="20">
        <f t="shared" si="3"/>
        <v>-50.1</v>
      </c>
      <c r="G17" s="20">
        <f t="shared" si="1"/>
        <v>87.9</v>
      </c>
      <c r="H17" s="56">
        <v>0</v>
      </c>
    </row>
    <row r="18" ht="15" customHeight="1">
      <c r="B18" s="44" t="s">
        <v>359</v>
      </c>
      <c r="C18" s="20">
        <f t="shared" si="1"/>
        <v>51.60000000000001</v>
      </c>
      <c r="D18" s="20">
        <f t="shared" si="1"/>
        <v>-31.500000000000007</v>
      </c>
      <c r="E18" s="20">
        <f t="shared" si="2"/>
        <v>49.9</v>
      </c>
      <c r="F18" s="20">
        <f t="shared" si="3"/>
        <v>3.5</v>
      </c>
      <c r="G18" s="20">
        <f t="shared" si="1"/>
        <v>-145.4</v>
      </c>
      <c r="H18" s="56">
        <v>0</v>
      </c>
    </row>
    <row r="19" ht="15" customHeight="1">
      <c r="B19" s="44" t="s">
        <v>360</v>
      </c>
      <c r="C19" s="20">
        <f t="shared" si="1"/>
        <v>-17.5</v>
      </c>
      <c r="D19" s="20">
        <f t="shared" si="1"/>
        <v>-3.0999999999999996</v>
      </c>
      <c r="E19" s="20">
        <f t="shared" si="2"/>
        <v>-8.1</v>
      </c>
      <c r="F19" s="20">
        <f t="shared" si="3"/>
        <v>3.6</v>
      </c>
      <c r="G19" s="20">
        <f t="shared" si="1"/>
        <v>-7.4</v>
      </c>
      <c r="H19" s="56">
        <v>0</v>
      </c>
    </row>
    <row r="20" ht="15" customHeight="1">
      <c r="B20" s="44" t="s">
        <v>361</v>
      </c>
      <c r="C20" s="20">
        <f t="shared" si="1"/>
        <v>-0.6999999999999993</v>
      </c>
      <c r="D20" s="20">
        <f t="shared" si="1"/>
        <v>63.49999999999999</v>
      </c>
      <c r="E20" s="20">
        <f t="shared" si="2"/>
        <v>91.1</v>
      </c>
      <c r="F20" s="20">
        <f t="shared" si="3"/>
        <v>327.6</v>
      </c>
      <c r="G20" s="20">
        <f t="shared" si="1"/>
        <v>-368</v>
      </c>
      <c r="H20" s="56">
        <v>0</v>
      </c>
    </row>
    <row r="21" ht="15" customHeight="1">
      <c r="B21" s="44" t="s">
        <v>362</v>
      </c>
      <c r="C21" s="20">
        <f t="shared" si="1"/>
        <v>-77.2</v>
      </c>
      <c r="D21" s="20">
        <f t="shared" si="1"/>
        <v>95.89999999999999</v>
      </c>
      <c r="E21" s="20">
        <f t="shared" si="2"/>
        <v>86.6</v>
      </c>
      <c r="F21" s="20">
        <f t="shared" si="3"/>
        <v>20.9</v>
      </c>
      <c r="G21" s="20">
        <f t="shared" si="1"/>
        <v>-70.3</v>
      </c>
      <c r="H21" s="56">
        <v>0</v>
      </c>
    </row>
    <row r="22" ht="15" customHeight="1">
      <c r="B22" s="44" t="s">
        <v>363</v>
      </c>
      <c r="C22" s="20">
        <f t="shared" si="1"/>
        <v>1.5999999999999996</v>
      </c>
      <c r="D22" s="20">
        <f t="shared" si="1"/>
        <v>-27</v>
      </c>
      <c r="E22" s="20">
        <f t="shared" si="2"/>
        <v>-34.6</v>
      </c>
      <c r="F22" s="20">
        <f t="shared" si="3"/>
        <v>-7.6</v>
      </c>
      <c r="G22" s="20">
        <f t="shared" si="1"/>
        <v>121</v>
      </c>
      <c r="H22" s="56">
        <v>0</v>
      </c>
    </row>
    <row r="23" ht="15" customHeight="1">
      <c r="B23" s="44" t="s">
        <v>364</v>
      </c>
      <c r="C23" s="20">
        <f t="shared" si="1"/>
        <v>-25.4</v>
      </c>
      <c r="D23" s="20">
        <f t="shared" si="1"/>
        <v>63.8</v>
      </c>
      <c r="E23" s="20">
        <f t="shared" si="2"/>
        <v>38.4</v>
      </c>
      <c r="F23" s="20">
        <f t="shared" si="3"/>
        <v>-11.1</v>
      </c>
      <c r="G23" s="20">
        <f t="shared" si="1"/>
        <v>-5.799999999999999</v>
      </c>
      <c r="H23" s="56">
        <v>0</v>
      </c>
    </row>
    <row r="24" ht="15" customHeight="1">
      <c r="B24" s="17" t="s">
        <v>365</v>
      </c>
      <c r="C24" s="57">
        <f t="shared" si="4" ref="C24:H24">SUM(C10:C23)</f>
        <v>968.1000000000003</v>
      </c>
      <c r="D24" s="57">
        <f t="shared" si="4"/>
        <v>1133.8999999999996</v>
      </c>
      <c r="E24" s="57">
        <f t="shared" si="4"/>
        <v>4277.099999999999</v>
      </c>
      <c r="F24" s="57">
        <f t="shared" si="4"/>
        <v>1259.9</v>
      </c>
      <c r="G24" s="57">
        <f t="shared" si="4"/>
        <v>947.1</v>
      </c>
      <c r="H24" s="58">
        <f t="shared" si="4"/>
        <v>1142.455035540645</v>
      </c>
    </row>
    <row r="25" ht="15" customHeight="1">
      <c r="B25" s="21" t="s">
        <v>129</v>
      </c>
      <c r="C25" s="22"/>
      <c r="D25" s="22"/>
      <c r="E25" s="22"/>
      <c r="F25" s="22"/>
      <c r="G25" s="22"/>
      <c r="H25" s="41">
        <f>H24/C24-1</f>
        <v>0.18010023297246636</v>
      </c>
    </row>
    <row r="26" ht="15" customHeight="1">
      <c r="B26" s="17" t="s">
        <v>366</v>
      </c>
    </row>
    <row r="27" ht="15" customHeight="1">
      <c r="B27" s="44" t="s">
        <v>367</v>
      </c>
      <c r="C27" s="20">
        <f t="shared" si="5" ref="C27:G31">C66-C94</f>
        <v>1.4000000000000004</v>
      </c>
      <c r="D27" s="20">
        <f t="shared" si="5"/>
        <v>1.7000000000000002</v>
      </c>
      <c r="E27" s="20">
        <f t="shared" si="6" ref="E27:E31">D66</f>
        <v>7.9</v>
      </c>
      <c r="F27" s="20">
        <f t="shared" si="7" ref="F27:F31">F66</f>
        <v>1.1</v>
      </c>
      <c r="G27" s="20">
        <f t="shared" si="5"/>
        <v>0.8999999999999999</v>
      </c>
      <c r="H27" s="56">
        <v>0</v>
      </c>
    </row>
    <row r="28" ht="15" customHeight="1">
      <c r="B28" s="44" t="s">
        <v>368</v>
      </c>
      <c r="C28" s="20">
        <f t="shared" si="5"/>
        <v>-1.1000000000000005</v>
      </c>
      <c r="D28" s="20">
        <f t="shared" si="5"/>
        <v>-1.0999999999999996</v>
      </c>
      <c r="E28" s="20">
        <f t="shared" si="6"/>
        <v>-6</v>
      </c>
      <c r="F28" s="20">
        <f t="shared" si="7"/>
        <v>-0.8</v>
      </c>
      <c r="G28" s="20">
        <f t="shared" si="5"/>
        <v>-1.4000000000000001</v>
      </c>
      <c r="H28" s="56">
        <v>0</v>
      </c>
    </row>
    <row r="29" ht="15" customHeight="1">
      <c r="B29" s="44" t="s">
        <v>369</v>
      </c>
      <c r="C29" s="20">
        <f t="shared" si="5"/>
        <v>-18.4</v>
      </c>
      <c r="D29" s="20">
        <f t="shared" si="5"/>
        <v>-32.5</v>
      </c>
      <c r="E29" s="20">
        <f t="shared" si="6"/>
        <v>-83.5</v>
      </c>
      <c r="F29" s="20">
        <f t="shared" si="7"/>
        <v>-21.8</v>
      </c>
      <c r="G29" s="20">
        <f t="shared" si="5"/>
        <v>-23.599999999999998</v>
      </c>
      <c r="H29" s="56">
        <v>-20</v>
      </c>
      <c r="I29" s="15" t="s">
        <v>370</v>
      </c>
    </row>
    <row r="30" ht="15" customHeight="1">
      <c r="B30" s="44" t="s">
        <v>371</v>
      </c>
      <c r="C30" s="20">
        <f t="shared" si="5"/>
        <v>-1</v>
      </c>
      <c r="D30" s="20">
        <f t="shared" si="5"/>
        <v>-7.6</v>
      </c>
      <c r="E30" s="20">
        <f t="shared" si="6"/>
        <v>-11</v>
      </c>
      <c r="F30" s="20">
        <f t="shared" si="7"/>
        <v>-1.5</v>
      </c>
      <c r="G30" s="20">
        <f t="shared" si="5"/>
        <v>-5.3</v>
      </c>
      <c r="H30" s="56">
        <v>0</v>
      </c>
    </row>
    <row r="31" ht="15" customHeight="1">
      <c r="B31" s="44" t="s">
        <v>372</v>
      </c>
      <c r="C31" s="20">
        <f t="shared" si="5"/>
        <v>0</v>
      </c>
      <c r="D31" s="20">
        <f t="shared" si="5"/>
        <v>1591.4</v>
      </c>
      <c r="E31" s="20">
        <f t="shared" si="6"/>
        <v>1591.4</v>
      </c>
      <c r="F31" s="20">
        <f t="shared" si="7"/>
        <v>0</v>
      </c>
      <c r="G31" s="20">
        <f t="shared" si="5"/>
        <v>0</v>
      </c>
      <c r="H31" s="56">
        <v>0</v>
      </c>
    </row>
    <row r="32" ht="15" customHeight="1">
      <c r="B32" s="17" t="s">
        <v>373</v>
      </c>
      <c r="C32" s="57">
        <f t="shared" si="8" ref="C32:H32">SUM(C27:C31)</f>
        <v>-19.099999999999998</v>
      </c>
      <c r="D32" s="57">
        <f t="shared" si="8"/>
        <v>1551.9</v>
      </c>
      <c r="E32" s="57">
        <f t="shared" si="8"/>
        <v>1498.8000000000002</v>
      </c>
      <c r="F32" s="57">
        <f t="shared" si="8"/>
        <v>-23</v>
      </c>
      <c r="G32" s="57">
        <f t="shared" si="8"/>
        <v>-29.4</v>
      </c>
      <c r="H32" s="58">
        <f t="shared" si="8"/>
        <v>-20</v>
      </c>
    </row>
    <row r="33" ht="15" customHeight="1">
      <c r="B33" s="17" t="s">
        <v>374</v>
      </c>
    </row>
    <row r="34" ht="15" customHeight="1">
      <c r="B34" s="44" t="s">
        <v>375</v>
      </c>
      <c r="C34" s="20">
        <f t="shared" si="9" ref="C34:G40">C71-C99</f>
        <v>-1.6999999999999318</v>
      </c>
      <c r="D34" s="20">
        <f t="shared" si="9"/>
        <v>0</v>
      </c>
      <c r="E34" s="20">
        <f t="shared" si="10" ref="E34:E40">D71</f>
        <v>740.6</v>
      </c>
      <c r="F34" s="20">
        <f t="shared" si="11" ref="F34:F40">F71</f>
        <v>0</v>
      </c>
      <c r="G34" s="20">
        <f t="shared" si="9"/>
        <v>0</v>
      </c>
      <c r="H34" s="56">
        <v>0</v>
      </c>
    </row>
    <row r="35" ht="15" customHeight="1">
      <c r="B35" s="44" t="s">
        <v>376</v>
      </c>
      <c r="C35" s="20">
        <f t="shared" si="9"/>
        <v>0</v>
      </c>
      <c r="D35" s="20">
        <f t="shared" si="9"/>
        <v>0</v>
      </c>
      <c r="E35" s="20">
        <f t="shared" si="10"/>
        <v>-750</v>
      </c>
      <c r="F35" s="20">
        <f t="shared" si="11"/>
        <v>0</v>
      </c>
      <c r="G35" s="20">
        <f t="shared" si="9"/>
        <v>0</v>
      </c>
      <c r="H35" s="56">
        <v>0</v>
      </c>
    </row>
    <row r="36" ht="15" customHeight="1">
      <c r="B36" s="44" t="s">
        <v>377</v>
      </c>
      <c r="C36" s="20">
        <f t="shared" si="9"/>
        <v>-455.3000000000002</v>
      </c>
      <c r="D36" s="20">
        <f t="shared" si="9"/>
        <v>-455</v>
      </c>
      <c r="E36" s="20">
        <f t="shared" si="10"/>
        <v>-3933</v>
      </c>
      <c r="F36" s="20">
        <f t="shared" si="11"/>
        <v>-2697.6</v>
      </c>
      <c r="G36" s="20">
        <f t="shared" si="9"/>
        <v>-468.0999999999999</v>
      </c>
      <c r="H36" s="64">
        <f>-'Share Count'!H36</f>
        <v>-466.50016792452834</v>
      </c>
      <c r="I36" s="15" t="s">
        <v>378</v>
      </c>
    </row>
    <row r="37" ht="15" customHeight="1">
      <c r="B37" s="44" t="s">
        <v>379</v>
      </c>
      <c r="C37" s="20">
        <f t="shared" si="9"/>
        <v>0</v>
      </c>
      <c r="D37" s="20">
        <f t="shared" si="9"/>
        <v>-257.90000000000003</v>
      </c>
      <c r="E37" s="20">
        <f t="shared" si="10"/>
        <v>-266.1</v>
      </c>
      <c r="F37" s="20">
        <f t="shared" si="11"/>
        <v>-538.7</v>
      </c>
      <c r="G37" s="20">
        <f t="shared" si="9"/>
        <v>-698.2</v>
      </c>
      <c r="H37" s="64">
        <f>-'Share Count'!H23</f>
        <v>-400</v>
      </c>
      <c r="I37" s="15" t="s">
        <v>380</v>
      </c>
    </row>
    <row r="38" ht="15" customHeight="1">
      <c r="B38" s="44" t="s">
        <v>381</v>
      </c>
      <c r="C38" s="20">
        <f t="shared" si="9"/>
        <v>6883.199999999997</v>
      </c>
      <c r="D38" s="20">
        <f t="shared" si="9"/>
        <v>10614.900000000001</v>
      </c>
      <c r="E38" s="20">
        <f t="shared" si="10"/>
        <v>60760.6</v>
      </c>
      <c r="F38" s="20">
        <f t="shared" si="11"/>
        <v>5379.2</v>
      </c>
      <c r="G38" s="20">
        <f t="shared" si="9"/>
        <v>-6924.6</v>
      </c>
      <c r="H38" s="56">
        <v>0</v>
      </c>
      <c r="I38" s="15" t="s">
        <v>382</v>
      </c>
    </row>
    <row r="39" ht="15" customHeight="1">
      <c r="B39" s="44" t="s">
        <v>383</v>
      </c>
      <c r="C39" s="20">
        <f t="shared" si="9"/>
        <v>-22.2</v>
      </c>
      <c r="D39" s="20">
        <f t="shared" si="9"/>
        <v>-2.8999999999999986</v>
      </c>
      <c r="E39" s="20">
        <f t="shared" si="10"/>
        <v>-33.9</v>
      </c>
      <c r="F39" s="20">
        <f t="shared" si="11"/>
        <v>-22</v>
      </c>
      <c r="G39" s="20">
        <f t="shared" si="9"/>
        <v>-0.1999999999999993</v>
      </c>
      <c r="H39" s="56">
        <v>0</v>
      </c>
    </row>
    <row r="40" ht="15" customHeight="1">
      <c r="B40" s="44" t="s">
        <v>384</v>
      </c>
      <c r="C40" s="20">
        <f t="shared" si="9"/>
        <v>-4.300000000000001</v>
      </c>
      <c r="D40" s="20">
        <f t="shared" si="9"/>
        <v>0.10000000000000142</v>
      </c>
      <c r="E40" s="20">
        <f t="shared" si="10"/>
        <v>-8.7</v>
      </c>
      <c r="F40" s="20">
        <f t="shared" si="11"/>
        <v>-4.4</v>
      </c>
      <c r="G40" s="20">
        <f t="shared" si="9"/>
        <v>-0.1999999999999993</v>
      </c>
      <c r="H40" s="56">
        <v>0</v>
      </c>
    </row>
    <row r="41" ht="15" customHeight="1">
      <c r="B41" s="17" t="s">
        <v>385</v>
      </c>
      <c r="C41" s="57">
        <f t="shared" si="12" ref="C41:H41">SUM(C34:C40)</f>
        <v>6399.699999999997</v>
      </c>
      <c r="D41" s="57">
        <f t="shared" si="12"/>
        <v>9899.200000000003</v>
      </c>
      <c r="E41" s="57">
        <f t="shared" si="12"/>
        <v>56509.5</v>
      </c>
      <c r="F41" s="57">
        <f t="shared" si="12"/>
        <v>2116.4999999999995</v>
      </c>
      <c r="G41" s="57">
        <f t="shared" si="12"/>
        <v>-8091.3</v>
      </c>
      <c r="H41" s="58">
        <f t="shared" si="12"/>
        <v>-866.5001679245283</v>
      </c>
    </row>
    <row r="42" ht="15" customHeight="1">
      <c r="B42" s="17" t="s">
        <v>386</v>
      </c>
      <c r="C42" s="57">
        <f t="shared" si="13" ref="C42:H42">C24+C32+C41</f>
        <v>7348.699999999997</v>
      </c>
      <c r="D42" s="57">
        <f t="shared" si="13"/>
        <v>12585.000000000002</v>
      </c>
      <c r="E42" s="57">
        <f t="shared" si="13"/>
        <v>62285.4</v>
      </c>
      <c r="F42" s="57">
        <f t="shared" si="13"/>
        <v>3353.3999999999996</v>
      </c>
      <c r="G42" s="57">
        <f t="shared" si="13"/>
        <v>-7173.6</v>
      </c>
      <c r="H42" s="58">
        <f t="shared" si="13"/>
        <v>255.95486761611664</v>
      </c>
    </row>
    <row r="43" ht="15" customHeight="1">
      <c r="B43" s="44" t="s">
        <v>387</v>
      </c>
      <c r="C43" s="20">
        <f>C106</f>
        <v>144145.8</v>
      </c>
      <c r="D43" s="20">
        <f t="shared" si="14" ref="D43:H43">C44</f>
        <v>151494.5</v>
      </c>
      <c r="E43" s="20">
        <f>D78</f>
        <v>101794.1</v>
      </c>
      <c r="F43" s="20">
        <f>F78</f>
        <v>164079.5</v>
      </c>
      <c r="G43" s="20">
        <f t="shared" si="14"/>
        <v>167432.9</v>
      </c>
      <c r="H43" s="54">
        <f t="shared" si="14"/>
        <v>160259.3</v>
      </c>
    </row>
    <row r="44" ht="15" customHeight="1">
      <c r="B44" s="17" t="s">
        <v>388</v>
      </c>
      <c r="C44" s="57">
        <f t="shared" si="15" ref="C44:H44">C43+C42</f>
        <v>151494.5</v>
      </c>
      <c r="D44" s="57">
        <f t="shared" si="15"/>
        <v>164079.5</v>
      </c>
      <c r="E44" s="57">
        <f t="shared" si="15"/>
        <v>164079.5</v>
      </c>
      <c r="F44" s="57">
        <f t="shared" si="15"/>
        <v>167432.9</v>
      </c>
      <c r="G44" s="57">
        <f t="shared" si="15"/>
        <v>160259.3</v>
      </c>
      <c r="H44" s="58">
        <f t="shared" si="15"/>
        <v>160515.2548676161</v>
      </c>
    </row>
    <row r="45" ht="15" customHeight="1">
      <c r="B45" s="44" t="s">
        <v>389</v>
      </c>
      <c r="C45" s="19">
        <f>'Balance Sheet'!C10+'Balance Sheet'!C38+'Balance Sheet'!C14</f>
        <v>151494.5</v>
      </c>
      <c r="D45" s="19">
        <f>'Balance Sheet'!D10+'Balance Sheet'!D38+'Balance Sheet'!D14</f>
        <v>164079.5</v>
      </c>
      <c r="E45" s="19">
        <f>'Balance Sheet'!E10+'Balance Sheet'!E38+'Balance Sheet'!E14</f>
        <v>164079.5</v>
      </c>
      <c r="F45" s="19">
        <f>'Balance Sheet'!F10+'Balance Sheet'!F38+'Balance Sheet'!F14</f>
        <v>167432.9</v>
      </c>
      <c r="G45" s="19">
        <f>'Balance Sheet'!G10+'Balance Sheet'!G38+'Balance Sheet'!G14</f>
        <v>160259.30000000002</v>
      </c>
      <c r="H45" s="64">
        <f>'Balance Sheet'!H10+'Balance Sheet'!H38+'Balance Sheet'!H14</f>
        <v>160515.25486761614</v>
      </c>
    </row>
    <row r="46" ht="15" customHeight="1">
      <c r="B46" s="17" t="s">
        <v>390</v>
      </c>
      <c r="C46" s="59">
        <f t="shared" si="16" ref="C46:H46">ROUND(C44-C45,6)</f>
        <v>0</v>
      </c>
      <c r="D46" s="59">
        <f t="shared" si="16"/>
        <v>0</v>
      </c>
      <c r="E46" s="59">
        <f t="shared" si="16"/>
        <v>0</v>
      </c>
      <c r="F46" s="59">
        <f t="shared" si="16"/>
        <v>0</v>
      </c>
      <c r="G46" s="59">
        <f t="shared" si="16"/>
        <v>0</v>
      </c>
      <c r="H46" s="60">
        <f t="shared" si="16"/>
        <v>0</v>
      </c>
    </row>
    <row r="47" ht="15" customHeight="1">
      <c r="B47" s="44" t="s">
        <v>391</v>
      </c>
      <c r="C47" s="20">
        <f t="shared" si="17" ref="C47:H47">C24+C29</f>
        <v>949.7000000000003</v>
      </c>
      <c r="D47" s="20">
        <f t="shared" si="17"/>
        <v>1101.3999999999996</v>
      </c>
      <c r="E47" s="20">
        <f t="shared" si="17"/>
        <v>4193.599999999999</v>
      </c>
      <c r="F47" s="20">
        <f t="shared" si="17"/>
        <v>1238.1000000000001</v>
      </c>
      <c r="G47" s="20">
        <f t="shared" si="17"/>
        <v>923.5</v>
      </c>
      <c r="H47" s="54">
        <f t="shared" si="17"/>
        <v>1122.455035540645</v>
      </c>
      <c r="I47" s="15" t="s">
        <v>392</v>
      </c>
    </row>
    <row r="48" ht="15" customHeight="1">
      <c r="B48" s="21" t="s">
        <v>393</v>
      </c>
      <c r="C48" s="22">
        <f t="shared" si="18" ref="C48:H48">C47/C10</f>
        <v>1.0459251101321587</v>
      </c>
      <c r="D48" s="22">
        <f t="shared" si="18"/>
        <v>0.931101530137797</v>
      </c>
      <c r="E48" s="22">
        <f t="shared" si="18"/>
        <v>1.029811895290015</v>
      </c>
      <c r="F48" s="22">
        <f t="shared" si="18"/>
        <v>1.0725981114095124</v>
      </c>
      <c r="G48" s="22">
        <f t="shared" si="18"/>
        <v>0.8864465348435401</v>
      </c>
      <c r="H48" s="41">
        <f t="shared" si="18"/>
        <v>1.0840210313474157</v>
      </c>
    </row>
    <row r="49" ht="15" customHeight="1">
      <c r="B49" s="44" t="s">
        <v>394</v>
      </c>
      <c r="C49" s="32" t="b">
        <f>ABS(C10-'Income Statement'!C81)&lt;0.05</f>
        <v>1</v>
      </c>
      <c r="D49" s="32" t="b">
        <f>ABS(D10-'Income Statement'!D81)&lt;0.05</f>
        <v>1</v>
      </c>
      <c r="E49" s="32" t="b">
        <f>ABS(E10-'Income Statement'!E81)&lt;0.05</f>
        <v>1</v>
      </c>
      <c r="F49" s="32" t="b">
        <f>ABS(F10-'Income Statement'!F81)&lt;0.05</f>
        <v>1</v>
      </c>
      <c r="G49" s="32" t="b">
        <f>ABS(G10-'Income Statement'!G81)&lt;0.05</f>
        <v>1</v>
      </c>
      <c r="H49" s="73" t="b">
        <f>ABS(H10-'Income Statement'!H81)&lt;0.05</f>
        <v>1</v>
      </c>
      <c r="I49" s="15" t="s">
        <v>395</v>
      </c>
    </row>
    <row r="51" ht="15" customHeight="1">
      <c r="B51" s="17" t="s">
        <v>396</v>
      </c>
      <c r="I51" s="33" t="s">
        <v>397</v>
      </c>
    </row>
    <row r="52" ht="15" customHeight="1">
      <c r="B52" s="44" t="s">
        <v>352</v>
      </c>
      <c r="C52" s="55">
        <v>2889.3</v>
      </c>
      <c r="D52" s="55">
        <v>4072.2</v>
      </c>
      <c r="E52" s="20"/>
      <c r="F52" s="55">
        <v>1154.3</v>
      </c>
      <c r="G52" s="55">
        <v>2196.1</v>
      </c>
      <c r="H52" s="54"/>
    </row>
    <row r="53" ht="15" customHeight="1">
      <c r="B53" s="44" t="s">
        <v>353</v>
      </c>
      <c r="C53" s="55">
        <v>65.9</v>
      </c>
      <c r="D53" s="55">
        <v>94.8</v>
      </c>
      <c r="E53" s="20"/>
      <c r="F53" s="55">
        <v>21.8</v>
      </c>
      <c r="G53" s="55">
        <v>46.6</v>
      </c>
      <c r="H53" s="54"/>
    </row>
    <row r="54" ht="15" customHeight="1">
      <c r="B54" s="44" t="s">
        <v>205</v>
      </c>
      <c r="C54" s="55">
        <v>167.5</v>
      </c>
      <c r="D54" s="55">
        <v>223.4</v>
      </c>
      <c r="E54" s="20"/>
      <c r="F54" s="55">
        <v>56.1</v>
      </c>
      <c r="G54" s="55">
        <v>112.1</v>
      </c>
      <c r="H54" s="54"/>
    </row>
    <row r="55" ht="15" customHeight="1">
      <c r="B55" s="44" t="s">
        <v>207</v>
      </c>
      <c r="C55" s="55">
        <v>81</v>
      </c>
      <c r="D55" s="55">
        <v>107.5</v>
      </c>
      <c r="E55" s="20"/>
      <c r="F55" s="55">
        <v>27.2</v>
      </c>
      <c r="G55" s="55">
        <v>55.4</v>
      </c>
      <c r="H55" s="54"/>
    </row>
    <row r="56" ht="15" customHeight="1">
      <c r="B56" s="44" t="s">
        <v>287</v>
      </c>
      <c r="C56" s="55">
        <v>-3</v>
      </c>
      <c r="D56" s="55">
        <v>-352.8</v>
      </c>
      <c r="E56" s="20"/>
      <c r="F56" s="55">
        <v>22.9</v>
      </c>
      <c r="G56" s="55">
        <v>19.1</v>
      </c>
      <c r="H56" s="54"/>
    </row>
    <row r="57" ht="15" customHeight="1">
      <c r="B57" s="44" t="s">
        <v>355</v>
      </c>
      <c r="C57" s="55">
        <v>-27.4</v>
      </c>
      <c r="D57" s="55">
        <v>-6.1</v>
      </c>
      <c r="E57" s="20"/>
      <c r="F57" s="55">
        <v>-13.4</v>
      </c>
      <c r="G57" s="55">
        <v>-8.2</v>
      </c>
      <c r="H57" s="54"/>
    </row>
    <row r="58" ht="15" customHeight="1">
      <c r="B58" s="44" t="s">
        <v>356</v>
      </c>
      <c r="C58" s="55">
        <v>-69.9</v>
      </c>
      <c r="D58" s="55">
        <v>-67.1</v>
      </c>
      <c r="E58" s="20"/>
      <c r="F58" s="55">
        <v>-295.8</v>
      </c>
      <c r="G58" s="55">
        <v>-112.9</v>
      </c>
      <c r="H58" s="54"/>
    </row>
    <row r="59" ht="15" customHeight="1">
      <c r="B59" s="44" t="s">
        <v>358</v>
      </c>
      <c r="C59" s="55">
        <v>-21.9</v>
      </c>
      <c r="D59" s="55">
        <v>-18.1</v>
      </c>
      <c r="E59" s="20"/>
      <c r="F59" s="55">
        <v>-50.1</v>
      </c>
      <c r="G59" s="55">
        <v>37.8</v>
      </c>
      <c r="H59" s="54"/>
    </row>
    <row r="60" ht="15" customHeight="1">
      <c r="B60" s="44" t="s">
        <v>359</v>
      </c>
      <c r="C60" s="55">
        <v>81.4</v>
      </c>
      <c r="D60" s="55">
        <v>49.9</v>
      </c>
      <c r="E60" s="20"/>
      <c r="F60" s="55">
        <v>3.5</v>
      </c>
      <c r="G60" s="55">
        <v>-141.9</v>
      </c>
      <c r="H60" s="54"/>
    </row>
    <row r="61" ht="15" customHeight="1">
      <c r="B61" s="44" t="s">
        <v>360</v>
      </c>
      <c r="C61" s="55">
        <v>-5</v>
      </c>
      <c r="D61" s="55">
        <v>-8.1</v>
      </c>
      <c r="E61" s="20"/>
      <c r="F61" s="55">
        <v>3.6</v>
      </c>
      <c r="G61" s="55">
        <v>-3.8</v>
      </c>
      <c r="H61" s="54"/>
    </row>
    <row r="62" ht="15" customHeight="1">
      <c r="B62" s="44" t="s">
        <v>361</v>
      </c>
      <c r="C62" s="55">
        <v>27.6</v>
      </c>
      <c r="D62" s="55">
        <v>91.1</v>
      </c>
      <c r="E62" s="20"/>
      <c r="F62" s="55">
        <v>327.6</v>
      </c>
      <c r="G62" s="55">
        <v>-40.4</v>
      </c>
      <c r="H62" s="54"/>
    </row>
    <row r="63" ht="15" customHeight="1">
      <c r="B63" s="44" t="s">
        <v>362</v>
      </c>
      <c r="C63" s="55">
        <v>-9.3</v>
      </c>
      <c r="D63" s="55">
        <v>86.6</v>
      </c>
      <c r="E63" s="20"/>
      <c r="F63" s="55">
        <v>20.9</v>
      </c>
      <c r="G63" s="55">
        <v>-49.4</v>
      </c>
      <c r="H63" s="54"/>
    </row>
    <row r="64" ht="15" customHeight="1">
      <c r="B64" s="44" t="s">
        <v>363</v>
      </c>
      <c r="C64" s="55">
        <v>-7.6</v>
      </c>
      <c r="D64" s="55">
        <v>-34.6</v>
      </c>
      <c r="E64" s="20"/>
      <c r="F64" s="55">
        <v>-7.6</v>
      </c>
      <c r="G64" s="55">
        <v>113.4</v>
      </c>
      <c r="H64" s="54"/>
    </row>
    <row r="65" ht="15" customHeight="1">
      <c r="B65" s="44" t="s">
        <v>364</v>
      </c>
      <c r="C65" s="55">
        <v>-25.4</v>
      </c>
      <c r="D65" s="55">
        <v>38.4</v>
      </c>
      <c r="E65" s="20"/>
      <c r="F65" s="55">
        <v>-11.1</v>
      </c>
      <c r="G65" s="55">
        <v>-16.9</v>
      </c>
      <c r="H65" s="54"/>
    </row>
    <row r="66" ht="15" customHeight="1">
      <c r="B66" s="44" t="s">
        <v>367</v>
      </c>
      <c r="C66" s="55">
        <v>6.2</v>
      </c>
      <c r="D66" s="55">
        <v>7.9</v>
      </c>
      <c r="E66" s="20"/>
      <c r="F66" s="55">
        <v>1.1</v>
      </c>
      <c r="G66" s="55">
        <v>2</v>
      </c>
      <c r="H66" s="54"/>
    </row>
    <row r="67" ht="15" customHeight="1">
      <c r="B67" s="44" t="s">
        <v>368</v>
      </c>
      <c r="C67" s="55">
        <v>-4.9</v>
      </c>
      <c r="D67" s="55">
        <v>-6</v>
      </c>
      <c r="E67" s="20"/>
      <c r="F67" s="55">
        <v>-0.8</v>
      </c>
      <c r="G67" s="55">
        <v>-2.2</v>
      </c>
      <c r="H67" s="54"/>
    </row>
    <row r="68" ht="15" customHeight="1">
      <c r="B68" s="44" t="s">
        <v>369</v>
      </c>
      <c r="C68" s="55">
        <v>-51</v>
      </c>
      <c r="D68" s="55">
        <v>-83.5</v>
      </c>
      <c r="E68" s="20"/>
      <c r="F68" s="55">
        <v>-21.8</v>
      </c>
      <c r="G68" s="55">
        <v>-45.4</v>
      </c>
      <c r="H68" s="54"/>
    </row>
    <row r="69" ht="15" customHeight="1">
      <c r="B69" s="44" t="s">
        <v>371</v>
      </c>
      <c r="C69" s="55">
        <v>-3.4</v>
      </c>
      <c r="D69" s="55">
        <v>-11</v>
      </c>
      <c r="E69" s="20"/>
      <c r="F69" s="55">
        <v>-1.5</v>
      </c>
      <c r="G69" s="55">
        <v>-6.8</v>
      </c>
      <c r="H69" s="54"/>
    </row>
    <row r="70" ht="15" customHeight="1">
      <c r="B70" s="44" t="s">
        <v>372</v>
      </c>
      <c r="C70" s="55">
        <v>0</v>
      </c>
      <c r="D70" s="55">
        <v>1591.4</v>
      </c>
      <c r="E70" s="20"/>
      <c r="F70" s="55">
        <v>0</v>
      </c>
      <c r="G70" s="55">
        <v>0</v>
      </c>
      <c r="H70" s="54"/>
    </row>
    <row r="71" ht="15" customHeight="1">
      <c r="B71" s="44" t="s">
        <v>375</v>
      </c>
      <c r="C71" s="55">
        <v>740.6</v>
      </c>
      <c r="D71" s="55">
        <v>740.6</v>
      </c>
      <c r="E71" s="20"/>
      <c r="F71" s="55">
        <v>0</v>
      </c>
      <c r="G71" s="55">
        <v>0</v>
      </c>
      <c r="H71" s="54"/>
    </row>
    <row r="72" ht="15" customHeight="1">
      <c r="B72" s="44" t="s">
        <v>376</v>
      </c>
      <c r="C72" s="55">
        <v>-750</v>
      </c>
      <c r="D72" s="55">
        <v>-750</v>
      </c>
      <c r="E72" s="20"/>
      <c r="F72" s="55">
        <v>0</v>
      </c>
      <c r="G72" s="55">
        <v>0</v>
      </c>
      <c r="H72" s="54"/>
    </row>
    <row r="73" ht="15" customHeight="1">
      <c r="B73" s="44" t="s">
        <v>377</v>
      </c>
      <c r="C73" s="55">
        <v>-3478</v>
      </c>
      <c r="D73" s="55">
        <v>-3933</v>
      </c>
      <c r="E73" s="20"/>
      <c r="F73" s="55">
        <v>-2697.6</v>
      </c>
      <c r="G73" s="55">
        <v>-3165.7</v>
      </c>
      <c r="H73" s="54"/>
    </row>
    <row r="74" ht="15" customHeight="1">
      <c r="B74" s="44" t="s">
        <v>379</v>
      </c>
      <c r="C74" s="55">
        <v>-8.2</v>
      </c>
      <c r="D74" s="55">
        <v>-266.1</v>
      </c>
      <c r="E74" s="20"/>
      <c r="F74" s="55">
        <v>-538.7</v>
      </c>
      <c r="G74" s="55">
        <v>-1236.9</v>
      </c>
      <c r="H74" s="54"/>
    </row>
    <row r="75" ht="15" customHeight="1">
      <c r="B75" s="44" t="s">
        <v>381</v>
      </c>
      <c r="C75" s="55">
        <v>50145.7</v>
      </c>
      <c r="D75" s="55">
        <v>60760.6</v>
      </c>
      <c r="E75" s="20"/>
      <c r="F75" s="55">
        <v>5379.2</v>
      </c>
      <c r="G75" s="55">
        <v>-1545.4</v>
      </c>
      <c r="H75" s="54"/>
    </row>
    <row r="76" ht="15" customHeight="1">
      <c r="B76" s="44" t="s">
        <v>383</v>
      </c>
      <c r="C76" s="55">
        <v>-31</v>
      </c>
      <c r="D76" s="55">
        <v>-33.9</v>
      </c>
      <c r="E76" s="20"/>
      <c r="F76" s="55">
        <v>-22</v>
      </c>
      <c r="G76" s="55">
        <v>-22.2</v>
      </c>
      <c r="H76" s="54"/>
    </row>
    <row r="77" ht="15" customHeight="1">
      <c r="B77" s="44" t="s">
        <v>384</v>
      </c>
      <c r="C77" s="55">
        <v>-8.8</v>
      </c>
      <c r="D77" s="55">
        <v>-8.7</v>
      </c>
      <c r="E77" s="20"/>
      <c r="F77" s="55">
        <v>-4.4</v>
      </c>
      <c r="G77" s="55">
        <v>-4.6</v>
      </c>
      <c r="H77" s="54"/>
    </row>
    <row r="78" ht="15" customHeight="1">
      <c r="B78" s="44" t="s">
        <v>398</v>
      </c>
      <c r="C78" s="55">
        <v>101794.1</v>
      </c>
      <c r="D78" s="55">
        <v>101794.1</v>
      </c>
      <c r="E78" s="20"/>
      <c r="F78" s="55">
        <v>164079.5</v>
      </c>
      <c r="G78" s="55">
        <v>164079.5</v>
      </c>
      <c r="H78" s="54"/>
    </row>
    <row r="79" ht="15" customHeight="1">
      <c r="B79" s="17" t="s">
        <v>399</v>
      </c>
      <c r="I79" s="33" t="s">
        <v>400</v>
      </c>
    </row>
    <row r="80" ht="15" customHeight="1">
      <c r="B80" s="44" t="s">
        <v>352</v>
      </c>
      <c r="C80" s="55">
        <v>1981.3</v>
      </c>
      <c r="D80" s="20">
        <f t="shared" si="19" ref="D80:G105">C52</f>
        <v>2889.3</v>
      </c>
      <c r="E80" s="20"/>
      <c r="F80" s="20"/>
      <c r="G80" s="20">
        <f t="shared" si="19"/>
        <v>1154.3</v>
      </c>
      <c r="H80" s="54"/>
    </row>
    <row r="81" ht="15" customHeight="1">
      <c r="B81" s="44" t="s">
        <v>353</v>
      </c>
      <c r="C81" s="55">
        <v>41.9</v>
      </c>
      <c r="D81" s="20">
        <f t="shared" si="19"/>
        <v>65.9</v>
      </c>
      <c r="E81" s="20"/>
      <c r="F81" s="20"/>
      <c r="G81" s="20">
        <f t="shared" si="19"/>
        <v>21.8</v>
      </c>
      <c r="H81" s="54"/>
    </row>
    <row r="82" ht="15" customHeight="1">
      <c r="B82" s="44" t="s">
        <v>205</v>
      </c>
      <c r="C82" s="55">
        <v>111.3</v>
      </c>
      <c r="D82" s="20">
        <f t="shared" si="19"/>
        <v>167.5</v>
      </c>
      <c r="E82" s="20"/>
      <c r="F82" s="20"/>
      <c r="G82" s="20">
        <f t="shared" si="19"/>
        <v>56.1</v>
      </c>
      <c r="H82" s="54"/>
    </row>
    <row r="83" ht="15" customHeight="1">
      <c r="B83" s="44" t="s">
        <v>207</v>
      </c>
      <c r="C83" s="55">
        <v>54.6</v>
      </c>
      <c r="D83" s="20">
        <f t="shared" si="19"/>
        <v>81</v>
      </c>
      <c r="E83" s="20"/>
      <c r="F83" s="20"/>
      <c r="G83" s="20">
        <f t="shared" si="19"/>
        <v>27.2</v>
      </c>
      <c r="H83" s="54"/>
    </row>
    <row r="84" ht="15" customHeight="1">
      <c r="B84" s="44" t="s">
        <v>287</v>
      </c>
      <c r="C84" s="55">
        <v>-2.6</v>
      </c>
      <c r="D84" s="20">
        <f t="shared" si="19"/>
        <v>-3</v>
      </c>
      <c r="E84" s="20"/>
      <c r="F84" s="20"/>
      <c r="G84" s="20">
        <f t="shared" si="19"/>
        <v>22.9</v>
      </c>
      <c r="H84" s="54"/>
    </row>
    <row r="85" ht="15" customHeight="1">
      <c r="B85" s="44" t="s">
        <v>355</v>
      </c>
      <c r="C85" s="55">
        <v>-20.7</v>
      </c>
      <c r="D85" s="20">
        <f t="shared" si="19"/>
        <v>-27.4</v>
      </c>
      <c r="E85" s="20"/>
      <c r="F85" s="20"/>
      <c r="G85" s="20">
        <f t="shared" si="19"/>
        <v>-13.4</v>
      </c>
      <c r="H85" s="54"/>
    </row>
    <row r="86" ht="15" customHeight="1">
      <c r="B86" s="44" t="s">
        <v>356</v>
      </c>
      <c r="C86" s="55">
        <v>-95.4</v>
      </c>
      <c r="D86" s="20">
        <f t="shared" si="19"/>
        <v>-69.9</v>
      </c>
      <c r="E86" s="20"/>
      <c r="F86" s="20"/>
      <c r="G86" s="20">
        <f t="shared" si="19"/>
        <v>-295.8</v>
      </c>
      <c r="H86" s="54"/>
    </row>
    <row r="87" ht="15" customHeight="1">
      <c r="B87" s="44" t="s">
        <v>358</v>
      </c>
      <c r="C87" s="55">
        <v>-24.6</v>
      </c>
      <c r="D87" s="20">
        <f t="shared" si="19"/>
        <v>-21.9</v>
      </c>
      <c r="E87" s="20"/>
      <c r="F87" s="20"/>
      <c r="G87" s="20">
        <f t="shared" si="19"/>
        <v>-50.1</v>
      </c>
      <c r="H87" s="54"/>
    </row>
    <row r="88" ht="15" customHeight="1">
      <c r="B88" s="44" t="s">
        <v>359</v>
      </c>
      <c r="C88" s="55">
        <v>29.8</v>
      </c>
      <c r="D88" s="20">
        <f t="shared" si="19"/>
        <v>81.4</v>
      </c>
      <c r="E88" s="20"/>
      <c r="F88" s="20"/>
      <c r="G88" s="20">
        <f t="shared" si="19"/>
        <v>3.5</v>
      </c>
      <c r="H88" s="54"/>
    </row>
    <row r="89" ht="15" customHeight="1">
      <c r="B89" s="44" t="s">
        <v>360</v>
      </c>
      <c r="C89" s="55">
        <v>12.5</v>
      </c>
      <c r="D89" s="20">
        <f t="shared" si="19"/>
        <v>-5</v>
      </c>
      <c r="E89" s="20"/>
      <c r="F89" s="20"/>
      <c r="G89" s="20">
        <f t="shared" si="19"/>
        <v>3.6</v>
      </c>
      <c r="H89" s="54"/>
    </row>
    <row r="90" ht="15" customHeight="1">
      <c r="B90" s="44" t="s">
        <v>361</v>
      </c>
      <c r="C90" s="55">
        <v>28.3</v>
      </c>
      <c r="D90" s="20">
        <f t="shared" si="19"/>
        <v>27.6</v>
      </c>
      <c r="E90" s="20"/>
      <c r="F90" s="20"/>
      <c r="G90" s="20">
        <f t="shared" si="19"/>
        <v>327.6</v>
      </c>
      <c r="H90" s="54"/>
    </row>
    <row r="91" ht="15" customHeight="1">
      <c r="B91" s="44" t="s">
        <v>362</v>
      </c>
      <c r="C91" s="55">
        <v>67.9</v>
      </c>
      <c r="D91" s="20">
        <f t="shared" si="19"/>
        <v>-9.3</v>
      </c>
      <c r="E91" s="20"/>
      <c r="F91" s="20"/>
      <c r="G91" s="20">
        <f t="shared" si="19"/>
        <v>20.9</v>
      </c>
      <c r="H91" s="54"/>
    </row>
    <row r="92" ht="15" customHeight="1">
      <c r="B92" s="44" t="s">
        <v>363</v>
      </c>
      <c r="C92" s="55">
        <v>-9.2</v>
      </c>
      <c r="D92" s="20">
        <f t="shared" si="19"/>
        <v>-7.6</v>
      </c>
      <c r="E92" s="20"/>
      <c r="F92" s="20"/>
      <c r="G92" s="20">
        <f t="shared" si="19"/>
        <v>-7.6</v>
      </c>
      <c r="H92" s="54"/>
    </row>
    <row r="93" ht="15" customHeight="1">
      <c r="B93" s="44" t="s">
        <v>364</v>
      </c>
      <c r="C93" s="55">
        <v>0</v>
      </c>
      <c r="D93" s="20">
        <f t="shared" si="19"/>
        <v>-25.4</v>
      </c>
      <c r="E93" s="20"/>
      <c r="F93" s="20"/>
      <c r="G93" s="20">
        <f t="shared" si="19"/>
        <v>-11.1</v>
      </c>
      <c r="H93" s="54"/>
    </row>
    <row r="94" ht="15" customHeight="1">
      <c r="B94" s="44" t="s">
        <v>367</v>
      </c>
      <c r="C94" s="55">
        <v>4.8</v>
      </c>
      <c r="D94" s="20">
        <f t="shared" si="19"/>
        <v>6.2</v>
      </c>
      <c r="E94" s="20"/>
      <c r="F94" s="20"/>
      <c r="G94" s="20">
        <f t="shared" si="19"/>
        <v>1.1</v>
      </c>
      <c r="H94" s="54"/>
    </row>
    <row r="95" ht="15" customHeight="1">
      <c r="B95" s="44" t="s">
        <v>368</v>
      </c>
      <c r="C95" s="55">
        <v>-3.8</v>
      </c>
      <c r="D95" s="20">
        <f t="shared" si="19"/>
        <v>-4.9</v>
      </c>
      <c r="E95" s="20"/>
      <c r="F95" s="20"/>
      <c r="G95" s="20">
        <f t="shared" si="19"/>
        <v>-0.8</v>
      </c>
      <c r="H95" s="54"/>
    </row>
    <row r="96" ht="15" customHeight="1">
      <c r="B96" s="44" t="s">
        <v>369</v>
      </c>
      <c r="C96" s="55">
        <v>-32.6</v>
      </c>
      <c r="D96" s="20">
        <f t="shared" si="19"/>
        <v>-51</v>
      </c>
      <c r="E96" s="20"/>
      <c r="F96" s="20"/>
      <c r="G96" s="20">
        <f t="shared" si="19"/>
        <v>-21.8</v>
      </c>
      <c r="H96" s="54"/>
    </row>
    <row r="97" ht="15" customHeight="1">
      <c r="B97" s="44" t="s">
        <v>371</v>
      </c>
      <c r="C97" s="55">
        <v>-2.4</v>
      </c>
      <c r="D97" s="20">
        <f t="shared" si="19"/>
        <v>-3.4</v>
      </c>
      <c r="E97" s="20"/>
      <c r="F97" s="20"/>
      <c r="G97" s="20">
        <f t="shared" si="19"/>
        <v>-1.5</v>
      </c>
      <c r="H97" s="54"/>
    </row>
    <row r="98" ht="15" customHeight="1">
      <c r="B98" s="44" t="s">
        <v>372</v>
      </c>
      <c r="C98" s="55">
        <v>0</v>
      </c>
      <c r="D98" s="20">
        <f t="shared" si="19"/>
        <v>0</v>
      </c>
      <c r="E98" s="20"/>
      <c r="F98" s="20"/>
      <c r="G98" s="20">
        <f t="shared" si="19"/>
        <v>0</v>
      </c>
      <c r="H98" s="54"/>
    </row>
    <row r="99" ht="15" customHeight="1">
      <c r="B99" s="44" t="s">
        <v>375</v>
      </c>
      <c r="C99" s="55">
        <v>742.3</v>
      </c>
      <c r="D99" s="20">
        <f t="shared" si="19"/>
        <v>740.6</v>
      </c>
      <c r="E99" s="20"/>
      <c r="F99" s="20"/>
      <c r="G99" s="20">
        <f t="shared" si="19"/>
        <v>0</v>
      </c>
      <c r="H99" s="54"/>
    </row>
    <row r="100" ht="15" customHeight="1">
      <c r="B100" s="44" t="s">
        <v>376</v>
      </c>
      <c r="C100" s="55">
        <v>-750</v>
      </c>
      <c r="D100" s="20">
        <f t="shared" si="19"/>
        <v>-750</v>
      </c>
      <c r="E100" s="20"/>
      <c r="F100" s="20"/>
      <c r="G100" s="20">
        <f t="shared" si="19"/>
        <v>0</v>
      </c>
      <c r="H100" s="54"/>
    </row>
    <row r="101" ht="15" customHeight="1">
      <c r="B101" s="44" t="s">
        <v>377</v>
      </c>
      <c r="C101" s="55">
        <v>-3022.7</v>
      </c>
      <c r="D101" s="20">
        <f t="shared" si="19"/>
        <v>-3478</v>
      </c>
      <c r="E101" s="20"/>
      <c r="F101" s="20"/>
      <c r="G101" s="20">
        <f t="shared" si="19"/>
        <v>-2697.6</v>
      </c>
      <c r="H101" s="54"/>
    </row>
    <row r="102" ht="15" customHeight="1">
      <c r="B102" s="44" t="s">
        <v>379</v>
      </c>
      <c r="C102" s="55">
        <v>-8.2</v>
      </c>
      <c r="D102" s="20">
        <f t="shared" si="19"/>
        <v>-8.2</v>
      </c>
      <c r="E102" s="20"/>
      <c r="F102" s="20"/>
      <c r="G102" s="20">
        <f t="shared" si="19"/>
        <v>-538.7</v>
      </c>
      <c r="H102" s="54"/>
    </row>
    <row r="103" ht="15" customHeight="1">
      <c r="B103" s="44" t="s">
        <v>381</v>
      </c>
      <c r="C103" s="55">
        <v>43262.5</v>
      </c>
      <c r="D103" s="20">
        <f t="shared" si="19"/>
        <v>50145.7</v>
      </c>
      <c r="E103" s="20"/>
      <c r="F103" s="20"/>
      <c r="G103" s="20">
        <f t="shared" si="19"/>
        <v>5379.2</v>
      </c>
      <c r="H103" s="54"/>
    </row>
    <row r="104" ht="15" customHeight="1">
      <c r="B104" s="44" t="s">
        <v>383</v>
      </c>
      <c r="C104" s="55">
        <v>-8.8</v>
      </c>
      <c r="D104" s="20">
        <f t="shared" si="19"/>
        <v>-31</v>
      </c>
      <c r="E104" s="20"/>
      <c r="F104" s="20"/>
      <c r="G104" s="20">
        <f t="shared" si="19"/>
        <v>-22</v>
      </c>
      <c r="H104" s="54"/>
    </row>
    <row r="105" ht="15" customHeight="1">
      <c r="B105" s="44" t="s">
        <v>384</v>
      </c>
      <c r="C105" s="55">
        <v>-4.5</v>
      </c>
      <c r="D105" s="20">
        <f t="shared" si="19"/>
        <v>-8.8</v>
      </c>
      <c r="E105" s="20"/>
      <c r="F105" s="20"/>
      <c r="G105" s="20">
        <f t="shared" si="19"/>
        <v>-4.4</v>
      </c>
      <c r="H105" s="54"/>
    </row>
    <row r="106" ht="15" customHeight="1">
      <c r="B106" s="44" t="s">
        <v>401</v>
      </c>
      <c r="C106" s="55">
        <v>144145.8</v>
      </c>
      <c r="D106" s="20"/>
      <c r="E106" s="20"/>
      <c r="F106" s="20"/>
      <c r="G106" s="20"/>
      <c r="H106" s="54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13DBF236-4098-0C18-88F3-8E195EB2F19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8" width="12.00390625" customWidth="1"/>
    <col min="9" max="9" width="60.00390625" customWidth="1"/>
  </cols>
  <sheetData>
    <row r="2" ht="15" customHeight="1">
      <c r="B2" s="2" t="s">
        <v>1</v>
      </c>
    </row>
    <row r="3" ht="15" customHeight="1">
      <c r="B3" s="3" t="s">
        <v>402</v>
      </c>
    </row>
    <row r="4" ht="15" customHeight="1">
      <c r="B4" s="4" t="s">
        <v>403</v>
      </c>
    </row>
    <row r="5" ht="15" customHeight="1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7" t="s">
        <v>10</v>
      </c>
      <c r="I5" s="8" t="s">
        <v>11</v>
      </c>
    </row>
    <row r="6" ht="15" customHeight="1">
      <c r="B6" s="9" t="s">
        <v>12</v>
      </c>
      <c r="C6" s="10">
        <f>DATE(2025,9,30)</f>
        <v>45930</v>
      </c>
      <c r="D6" s="10">
        <f t="shared" si="0" ref="D6:E6">DATE(2025,12,31)</f>
        <v>46022</v>
      </c>
      <c r="E6" s="10">
        <f t="shared" si="0"/>
        <v>46022</v>
      </c>
      <c r="F6" s="10">
        <f>DATE(2026,3,31)</f>
        <v>46112</v>
      </c>
      <c r="G6" s="10">
        <f>DATE(2026,6,30)</f>
        <v>46203</v>
      </c>
      <c r="H6" s="11">
        <f>DATE(2026,9,30)</f>
        <v>46295</v>
      </c>
      <c r="I6" s="9"/>
    </row>
    <row r="7" ht="15" customHeight="1">
      <c r="B7" s="12" t="s">
        <v>13</v>
      </c>
      <c r="C7" s="13">
        <f>C6-DATE(2025,6,30)</f>
        <v>92</v>
      </c>
      <c r="D7" s="13">
        <f>D6-DATE(2025,9,30)</f>
        <v>92</v>
      </c>
      <c r="E7" s="13">
        <f>E6-DATE(2024,12,31)</f>
        <v>365</v>
      </c>
      <c r="F7" s="13">
        <f>F6-DATE(2025,12,31)</f>
        <v>90</v>
      </c>
      <c r="G7" s="13">
        <f>G6-DATE(2026,3,31)</f>
        <v>91</v>
      </c>
      <c r="H7" s="14">
        <f>H6-DATE(2026,6,30)</f>
        <v>92</v>
      </c>
      <c r="I7" s="12"/>
    </row>
    <row r="9" ht="15" customHeight="1">
      <c r="B9" s="17" t="s">
        <v>404</v>
      </c>
      <c r="I9" s="33" t="s">
        <v>405</v>
      </c>
    </row>
    <row r="10" ht="15" customHeight="1">
      <c r="B10" s="15" t="s">
        <v>406</v>
      </c>
      <c r="C10" s="55">
        <v>359.686</v>
      </c>
      <c r="D10" s="55">
        <v>359.633</v>
      </c>
      <c r="E10" s="55">
        <v>359.648</v>
      </c>
      <c r="F10" s="55">
        <v>359.318</v>
      </c>
      <c r="G10" s="55">
        <v>360.684</v>
      </c>
      <c r="H10" s="54">
        <f>H22+0.5*(H28-H27)</f>
        <v>358.84628301886795</v>
      </c>
      <c r="I10" s="15" t="s">
        <v>407</v>
      </c>
    </row>
    <row r="11" ht="15" customHeight="1">
      <c r="B11" s="37" t="s">
        <v>408</v>
      </c>
      <c r="C11" s="19">
        <f>(C10-Inputs!C200)</f>
        <v>0.28600000000000136</v>
      </c>
      <c r="D11" s="19">
        <f>(D10-Inputs!D200)</f>
        <v>0.06499999999999773</v>
      </c>
      <c r="E11" s="19">
        <f>(E10-Inputs!E200)</f>
        <v>0.25900000000001455</v>
      </c>
      <c r="F11" s="19">
        <f>(F10-Inputs!F200)</f>
        <v>-0.2950000000000159</v>
      </c>
      <c r="G11" s="19">
        <f>(G10-Inputs!G200)</f>
        <v>1.0260000000000105</v>
      </c>
      <c r="H11" s="54">
        <f t="shared" si="4" ref="H11:H17">(H10-C10)</f>
        <v>-0.8397169811320282</v>
      </c>
    </row>
    <row r="12" ht="15" customHeight="1">
      <c r="B12" s="37" t="s">
        <v>103</v>
      </c>
      <c r="C12" s="19">
        <f>(C10-Inputs!G200)</f>
        <v>0.027999999999963165</v>
      </c>
      <c r="D12" s="20">
        <f t="shared" si="1" ref="D12:H18">(D10-C10)</f>
        <v>-0.05299999999999727</v>
      </c>
      <c r="E12" s="20"/>
      <c r="F12" s="20">
        <f t="shared" si="5" ref="F12:F18">(F10-D10)</f>
        <v>-0.3149999999999977</v>
      </c>
      <c r="G12" s="20">
        <f t="shared" si="1"/>
        <v>1.3660000000000423</v>
      </c>
      <c r="H12" s="54">
        <f t="shared" si="1"/>
        <v>-1.8377169811320755</v>
      </c>
    </row>
    <row r="13" ht="15" customHeight="1">
      <c r="B13" s="44" t="s">
        <v>409</v>
      </c>
      <c r="C13" s="20">
        <f t="shared" si="2" ref="C13:G13">C16-C10</f>
        <v>0.7360000000000468</v>
      </c>
      <c r="D13" s="20">
        <f t="shared" si="2"/>
        <v>0.6000000000000227</v>
      </c>
      <c r="E13" s="20">
        <f t="shared" si="2"/>
        <v>0.6619999999999777</v>
      </c>
      <c r="F13" s="20">
        <f t="shared" si="2"/>
        <v>3.890000000000043</v>
      </c>
      <c r="G13" s="20">
        <f t="shared" si="2"/>
        <v>0.5979999999999563</v>
      </c>
      <c r="H13" s="54">
        <f>G13</f>
        <v>0.5979999999999563</v>
      </c>
      <c r="I13" s="15" t="s">
        <v>410</v>
      </c>
    </row>
    <row r="14" ht="15" customHeight="1">
      <c r="B14" s="37" t="s">
        <v>408</v>
      </c>
      <c r="C14" s="19">
        <f>C13-(Inputs!C201-Inputs!C200)</f>
        <v>0.1470000000000482</v>
      </c>
      <c r="D14" s="19">
        <f>D13-(Inputs!D201-Inputs!D200)</f>
        <v>0.117999999999995</v>
      </c>
      <c r="E14" s="19">
        <f>E13-(Inputs!E201-Inputs!E200)</f>
        <v>0.1069999999999709</v>
      </c>
      <c r="F14" s="19">
        <f>F13-(Inputs!F201-Inputs!F200)</f>
        <v>3.2760000000000673</v>
      </c>
      <c r="G14" s="19">
        <f>G13-(Inputs!G201-Inputs!G200)</f>
        <v>-0.09900000000004638</v>
      </c>
      <c r="H14" s="54">
        <f t="shared" si="7" ref="H14:H33">H13-C13</f>
        <v>-0.1380000000000905</v>
      </c>
    </row>
    <row r="15" ht="15" customHeight="1">
      <c r="B15" s="37" t="s">
        <v>103</v>
      </c>
      <c r="C15" s="19">
        <f>C13-(Inputs!G201-Inputs!G200)</f>
        <v>0.03900000000004411</v>
      </c>
      <c r="D15" s="20">
        <f t="shared" si="3" ref="D15:H34">D13-C13</f>
        <v>-0.1360000000000241</v>
      </c>
      <c r="E15" s="20"/>
      <c r="F15" s="20">
        <f t="shared" si="8" ref="F15:F34">F13-D13</f>
        <v>3.2900000000000205</v>
      </c>
      <c r="G15" s="20">
        <f t="shared" si="3"/>
        <v>-3.292000000000087</v>
      </c>
      <c r="H15" s="54">
        <f t="shared" si="3"/>
        <v>0</v>
      </c>
    </row>
    <row r="16" ht="15" customHeight="1">
      <c r="B16" s="17" t="s">
        <v>411</v>
      </c>
      <c r="C16" s="62">
        <v>360.422</v>
      </c>
      <c r="D16" s="62">
        <v>360.233</v>
      </c>
      <c r="E16" s="62">
        <v>360.31</v>
      </c>
      <c r="F16" s="62">
        <v>363.208</v>
      </c>
      <c r="G16" s="62">
        <v>361.282</v>
      </c>
      <c r="H16" s="58">
        <f>H10+H13</f>
        <v>359.4442830188679</v>
      </c>
    </row>
    <row r="17" ht="15" customHeight="1">
      <c r="B17" s="37" t="s">
        <v>408</v>
      </c>
      <c r="C17" s="19">
        <f>(C16-Inputs!C201)</f>
        <v>0.43300000000004957</v>
      </c>
      <c r="D17" s="19">
        <f>(D16-Inputs!D201)</f>
        <v>0.18299999999999272</v>
      </c>
      <c r="E17" s="19">
        <f>(E16-Inputs!E201)</f>
        <v>0.36599999999998545</v>
      </c>
      <c r="F17" s="19">
        <f>(F16-Inputs!F201)</f>
        <v>2.9810000000000514</v>
      </c>
      <c r="G17" s="19">
        <f>(G16-Inputs!G201)</f>
        <v>0.9269999999999641</v>
      </c>
      <c r="H17" s="54">
        <f t="shared" si="4"/>
        <v>-0.9777169811321187</v>
      </c>
    </row>
    <row r="18" ht="15" customHeight="1">
      <c r="B18" s="37" t="s">
        <v>103</v>
      </c>
      <c r="C18" s="19">
        <f>(C16-Inputs!G201)</f>
        <v>0.06700000000000728</v>
      </c>
      <c r="D18" s="20">
        <f t="shared" si="1"/>
        <v>-0.18900000000002137</v>
      </c>
      <c r="E18" s="20"/>
      <c r="F18" s="20">
        <f t="shared" si="5"/>
        <v>2.9750000000000227</v>
      </c>
      <c r="G18" s="20">
        <f t="shared" si="1"/>
        <v>-1.9260000000000446</v>
      </c>
      <c r="H18" s="54">
        <f t="shared" si="1"/>
        <v>-1.8377169811320755</v>
      </c>
    </row>
    <row r="19" ht="15" customHeight="1">
      <c r="B19" s="21" t="s">
        <v>129</v>
      </c>
      <c r="C19" s="40">
        <f>C16/Inputs!C201-1</f>
        <v>0.0012028145304441296</v>
      </c>
      <c r="D19" s="40">
        <f>D16/Inputs!D201-1</f>
        <v>0.0005082627412860141</v>
      </c>
      <c r="E19" s="40">
        <f>E16/Inputs!E201-1</f>
        <v>0.001016824839419339</v>
      </c>
      <c r="F19" s="40">
        <f>F16/Inputs!F201-1</f>
        <v>0.008275337495523782</v>
      </c>
      <c r="G19" s="40">
        <f>G16/Inputs!G201-1</f>
        <v>0.0025724632653909563</v>
      </c>
      <c r="H19" s="41">
        <f>H16/C16-1</f>
        <v>-0.0027127006152013466</v>
      </c>
    </row>
    <row r="20" ht="15" customHeight="1">
      <c r="B20" s="17" t="s">
        <v>412</v>
      </c>
    </row>
    <row r="21" ht="15" customHeight="1">
      <c r="B21" s="15" t="s">
        <v>413</v>
      </c>
      <c r="C21" s="55">
        <v>360.597</v>
      </c>
      <c r="D21" s="55">
        <v>358.622</v>
      </c>
      <c r="E21" s="20">
        <f>D21</f>
        <v>358.622</v>
      </c>
      <c r="F21" s="55">
        <v>362.356</v>
      </c>
      <c r="G21" s="55">
        <v>359.576</v>
      </c>
      <c r="H21" s="54">
        <f>H29</f>
        <v>358.1165660377359</v>
      </c>
      <c r="I21" s="15" t="s">
        <v>414</v>
      </c>
    </row>
    <row r="22" ht="15" customHeight="1">
      <c r="B22" s="44" t="s">
        <v>415</v>
      </c>
      <c r="C22" s="20"/>
      <c r="D22" s="20"/>
      <c r="E22" s="20"/>
      <c r="F22" s="20"/>
      <c r="G22" s="20"/>
      <c r="H22" s="54">
        <f>G21</f>
        <v>359.576</v>
      </c>
      <c r="I22" s="15" t="s">
        <v>416</v>
      </c>
    </row>
    <row r="23" ht="15" customHeight="1">
      <c r="B23" s="44" t="s">
        <v>417</v>
      </c>
      <c r="C23" s="19">
        <f>-'Cash Flow Statement'!C37</f>
        <v>0</v>
      </c>
      <c r="D23" s="19">
        <f>-'Cash Flow Statement'!D37</f>
        <v>257.90000000000003</v>
      </c>
      <c r="E23" s="19">
        <f>-'Cash Flow Statement'!E37</f>
        <v>266.1</v>
      </c>
      <c r="F23" s="19">
        <f>-'Cash Flow Statement'!F37</f>
        <v>538.7</v>
      </c>
      <c r="G23" s="19">
        <f>-'Cash Flow Statement'!G37</f>
        <v>698.2</v>
      </c>
      <c r="H23" s="56">
        <v>400</v>
      </c>
      <c r="I23" s="15" t="s">
        <v>418</v>
      </c>
    </row>
    <row r="24" ht="15" customHeight="1">
      <c r="B24" s="44" t="s">
        <v>419</v>
      </c>
      <c r="C24" s="28"/>
      <c r="D24" s="28"/>
      <c r="E24" s="28"/>
      <c r="F24" s="67">
        <v>291.58</v>
      </c>
      <c r="G24" s="67">
        <v>273.14</v>
      </c>
      <c r="H24" s="74">
        <v>265</v>
      </c>
      <c r="I24" s="15" t="s">
        <v>420</v>
      </c>
    </row>
    <row r="25" ht="15" customHeight="1">
      <c r="B25" s="37" t="s">
        <v>174</v>
      </c>
      <c r="C25" s="28"/>
      <c r="D25" s="28"/>
      <c r="E25" s="28"/>
      <c r="F25" s="28"/>
      <c r="G25" s="27">
        <f t="shared" si="6" ref="G25:H25">G24-F24</f>
        <v>-18.439999999999998</v>
      </c>
      <c r="H25" s="75">
        <f t="shared" si="6"/>
        <v>-8.139999999999986</v>
      </c>
    </row>
    <row r="26" ht="15" customHeight="1">
      <c r="B26" s="37" t="s">
        <v>421</v>
      </c>
      <c r="C26" s="28"/>
      <c r="D26" s="28"/>
      <c r="E26" s="28"/>
      <c r="F26" s="28"/>
      <c r="G26" s="28"/>
      <c r="H26" s="49" t="s">
        <v>91</v>
      </c>
      <c r="I26" s="15" t="s">
        <v>422</v>
      </c>
    </row>
    <row r="27" ht="15" customHeight="1">
      <c r="B27" s="44" t="s">
        <v>423</v>
      </c>
      <c r="C27" s="55">
        <v>0</v>
      </c>
      <c r="D27" s="20"/>
      <c r="E27" s="20"/>
      <c r="F27" s="55">
        <v>1.838492</v>
      </c>
      <c r="G27" s="55">
        <v>2.546284</v>
      </c>
      <c r="H27" s="54">
        <f>H23/H24</f>
        <v>1.509433962264151</v>
      </c>
      <c r="I27" s="15" t="s">
        <v>424</v>
      </c>
    </row>
    <row r="28" ht="15" customHeight="1">
      <c r="B28" s="44" t="s">
        <v>425</v>
      </c>
      <c r="C28" s="20"/>
      <c r="D28" s="20"/>
      <c r="E28" s="20"/>
      <c r="F28" s="20"/>
      <c r="G28" s="20"/>
      <c r="H28" s="76">
        <v>0.05</v>
      </c>
      <c r="I28" s="15" t="s">
        <v>426</v>
      </c>
    </row>
    <row r="29" ht="15" customHeight="1">
      <c r="B29" s="69" t="s">
        <v>427</v>
      </c>
      <c r="C29" s="57"/>
      <c r="D29" s="57"/>
      <c r="E29" s="57"/>
      <c r="F29" s="57"/>
      <c r="G29" s="57"/>
      <c r="H29" s="58">
        <f>H22-H27+H28</f>
        <v>358.1165660377359</v>
      </c>
    </row>
    <row r="30" ht="15" customHeight="1">
      <c r="B30" s="44" t="s">
        <v>428</v>
      </c>
      <c r="C30" s="55">
        <v>3</v>
      </c>
      <c r="D30" s="20"/>
      <c r="E30" s="20"/>
      <c r="F30" s="55">
        <v>2.2</v>
      </c>
      <c r="G30" s="55">
        <v>1.5</v>
      </c>
      <c r="H30" s="54">
        <f>G30-H23/1000</f>
        <v>1.1</v>
      </c>
      <c r="I30" s="15" t="s">
        <v>429</v>
      </c>
    </row>
    <row r="31" ht="15" customHeight="1">
      <c r="B31" s="17" t="s">
        <v>430</v>
      </c>
    </row>
    <row r="32" ht="15" customHeight="1">
      <c r="B32" s="44" t="s">
        <v>431</v>
      </c>
      <c r="C32" s="67">
        <v>1.25</v>
      </c>
      <c r="D32" s="67">
        <v>1.25</v>
      </c>
      <c r="E32" s="28"/>
      <c r="F32" s="67">
        <v>1.3</v>
      </c>
      <c r="G32" s="67">
        <v>1.3</v>
      </c>
      <c r="H32" s="74">
        <v>1.3</v>
      </c>
      <c r="I32" s="15" t="s">
        <v>432</v>
      </c>
    </row>
    <row r="33" ht="15" customHeight="1">
      <c r="B33" s="37" t="s">
        <v>421</v>
      </c>
      <c r="C33" s="28"/>
      <c r="D33" s="28"/>
      <c r="E33" s="28"/>
      <c r="F33" s="28"/>
      <c r="G33" s="28"/>
      <c r="H33" s="75">
        <f t="shared" si="7"/>
        <v>0.050000000000000044</v>
      </c>
    </row>
    <row r="34" ht="15" customHeight="1">
      <c r="B34" s="37" t="s">
        <v>174</v>
      </c>
      <c r="C34" s="28"/>
      <c r="D34" s="27">
        <f t="shared" si="3"/>
        <v>0</v>
      </c>
      <c r="E34" s="27"/>
      <c r="F34" s="27">
        <f t="shared" si="8"/>
        <v>0.050000000000000044</v>
      </c>
      <c r="G34" s="27">
        <f t="shared" si="3"/>
        <v>0</v>
      </c>
      <c r="H34" s="75">
        <f t="shared" si="3"/>
        <v>0</v>
      </c>
    </row>
    <row r="35" ht="15" customHeight="1">
      <c r="B35" s="44" t="s">
        <v>433</v>
      </c>
      <c r="C35" s="28"/>
      <c r="D35" s="28"/>
      <c r="E35" s="28"/>
      <c r="F35" s="67">
        <v>6.15</v>
      </c>
      <c r="G35" s="28"/>
      <c r="H35" s="65"/>
      <c r="I35" s="15" t="s">
        <v>434</v>
      </c>
    </row>
    <row r="36" ht="15" customHeight="1">
      <c r="B36" s="44" t="s">
        <v>435</v>
      </c>
      <c r="C36" s="19">
        <f>-'Cash Flow Statement'!C36</f>
        <v>455.3000000000002</v>
      </c>
      <c r="D36" s="19">
        <f>-'Cash Flow Statement'!D36</f>
        <v>455</v>
      </c>
      <c r="E36" s="19">
        <f>-'Cash Flow Statement'!E36</f>
        <v>3933</v>
      </c>
      <c r="F36" s="19">
        <f>-'Cash Flow Statement'!F36</f>
        <v>2697.6</v>
      </c>
      <c r="G36" s="19">
        <f>-'Cash Flow Statement'!G36</f>
        <v>468.0999999999999</v>
      </c>
      <c r="H36" s="54">
        <f>H32*H10</f>
        <v>466.50016792452834</v>
      </c>
      <c r="I36" s="15" t="s">
        <v>436</v>
      </c>
    </row>
    <row r="37" ht="15" customHeight="1">
      <c r="B37" s="17" t="s">
        <v>437</v>
      </c>
    </row>
    <row r="38" ht="15" customHeight="1">
      <c r="B38" s="17" t="s">
        <v>438</v>
      </c>
      <c r="C38" s="59"/>
      <c r="D38" s="59"/>
      <c r="E38" s="59"/>
      <c r="F38" s="59"/>
      <c r="G38" s="59"/>
      <c r="H38" s="60">
        <f>H16</f>
        <v>359.4442830188679</v>
      </c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A1EFA9E3-68F8-5AE8-7E68-94CCA4D476DC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8" width="12.00390625" customWidth="1"/>
    <col min="9" max="9" width="60.00390625" customWidth="1"/>
  </cols>
  <sheetData>
    <row r="2" ht="15" customHeight="1">
      <c r="B2" s="2" t="s">
        <v>1</v>
      </c>
    </row>
    <row r="3" ht="15" customHeight="1">
      <c r="B3" s="3" t="s">
        <v>439</v>
      </c>
    </row>
    <row r="4" ht="15" customHeight="1">
      <c r="B4" s="4" t="s">
        <v>440</v>
      </c>
    </row>
    <row r="5" ht="15" customHeight="1">
      <c r="B5" s="77"/>
      <c r="C5" s="77"/>
      <c r="D5" s="77"/>
      <c r="E5" s="77"/>
      <c r="F5" s="77"/>
      <c r="G5" s="77"/>
      <c r="H5" s="77"/>
      <c r="I5" s="77"/>
    </row>
    <row r="6" ht="15" customHeight="1">
      <c r="B6" s="77"/>
      <c r="C6" s="77"/>
      <c r="D6" s="77"/>
      <c r="E6" s="77"/>
      <c r="F6" s="77"/>
      <c r="G6" s="77"/>
      <c r="H6" s="77"/>
      <c r="I6" s="78"/>
    </row>
    <row r="7" ht="15" customHeight="1">
      <c r="B7" s="77"/>
      <c r="C7" s="77"/>
      <c r="D7" s="77"/>
      <c r="E7" s="77"/>
      <c r="F7" s="77"/>
      <c r="G7" s="77"/>
      <c r="H7" s="77"/>
      <c r="I7" s="79"/>
    </row>
    <row r="9" ht="15" customHeight="1">
      <c r="B9" s="17" t="s">
        <v>441</v>
      </c>
      <c r="C9" s="18" t="s">
        <v>442</v>
      </c>
      <c r="D9" s="18" t="s">
        <v>4</v>
      </c>
      <c r="E9" s="18" t="s">
        <v>443</v>
      </c>
      <c r="F9" s="18" t="s">
        <v>444</v>
      </c>
      <c r="G9" s="18" t="s">
        <v>445</v>
      </c>
      <c r="H9" s="18" t="s">
        <v>446</v>
      </c>
      <c r="I9" s="17" t="s">
        <v>447</v>
      </c>
    </row>
    <row r="10" ht="15" customHeight="1">
      <c r="B10" s="44" t="s">
        <v>448</v>
      </c>
      <c r="C10" s="16" t="s">
        <v>449</v>
      </c>
      <c r="D10" s="16" t="s">
        <v>450</v>
      </c>
      <c r="E10" s="55">
        <v>1650</v>
      </c>
      <c r="F10" s="55">
        <v>1650</v>
      </c>
      <c r="G10" s="20">
        <f t="shared" si="0" ref="G10:G17">AVERAGE(E10,F10)</f>
        <v>1650</v>
      </c>
      <c r="H10" s="19">
        <f>'Income Statement'!E112</f>
        <v>1624.8</v>
      </c>
      <c r="I10" s="15" t="str">
        <f t="shared" si="1" ref="I10:I12">IF(H10&lt;G10,"Below guide (favorable)",IF(H10&gt;G10,"Above guide","In line"))</f>
        <v>Below guide (favorable)</v>
      </c>
    </row>
    <row r="11" ht="15" customHeight="1">
      <c r="B11" s="44" t="s">
        <v>452</v>
      </c>
      <c r="C11" s="16" t="s">
        <v>453</v>
      </c>
      <c r="D11" s="16" t="s">
        <v>450</v>
      </c>
      <c r="E11" s="55">
        <v>1635</v>
      </c>
      <c r="F11" s="55">
        <v>1635</v>
      </c>
      <c r="G11" s="20">
        <f t="shared" si="0"/>
        <v>1635</v>
      </c>
      <c r="H11" s="19">
        <f>'Income Statement'!E112</f>
        <v>1624.8</v>
      </c>
      <c r="I11" s="15" t="str">
        <f t="shared" si="1"/>
        <v>Below guide (favorable)</v>
      </c>
    </row>
    <row r="12" ht="15" customHeight="1">
      <c r="B12" s="44" t="s">
        <v>454</v>
      </c>
      <c r="C12" s="16" t="s">
        <v>449</v>
      </c>
      <c r="D12" s="16" t="s">
        <v>450</v>
      </c>
      <c r="E12" s="55">
        <v>90</v>
      </c>
      <c r="F12" s="55">
        <v>90</v>
      </c>
      <c r="G12" s="20">
        <f t="shared" si="0"/>
        <v>90</v>
      </c>
      <c r="H12" s="19">
        <f>-'Cash Flow Statement'!E29</f>
        <v>83.5</v>
      </c>
      <c r="I12" s="15" t="str">
        <f t="shared" si="1"/>
        <v>Below guide (favorable)</v>
      </c>
    </row>
    <row r="13" ht="15" customHeight="1">
      <c r="B13" s="45" t="s">
        <v>455</v>
      </c>
      <c r="C13" s="51" t="s">
        <v>449</v>
      </c>
      <c r="D13" s="51" t="s">
        <v>450</v>
      </c>
      <c r="E13" s="50">
        <v>0.225</v>
      </c>
      <c r="F13" s="50">
        <v>0.235</v>
      </c>
      <c r="G13" s="22">
        <f t="shared" si="0"/>
        <v>0.22999999999999998</v>
      </c>
      <c r="H13" s="40">
        <f>'Income Statement'!E139</f>
        <v>0.23193552023447195</v>
      </c>
      <c r="I13" s="15" t="str">
        <f>IF(AND(H13&gt;=E13,H13&lt;=F13),"Within range",IF(H13&lt;E13,"Below range","Above range"))</f>
        <v>Within range</v>
      </c>
    </row>
    <row r="14" ht="15" customHeight="1">
      <c r="B14" s="44" t="s">
        <v>457</v>
      </c>
      <c r="C14" s="16" t="s">
        <v>458</v>
      </c>
      <c r="D14" s="16" t="s">
        <v>459</v>
      </c>
      <c r="E14" s="55">
        <v>1695</v>
      </c>
      <c r="F14" s="55">
        <v>1695</v>
      </c>
      <c r="G14" s="20">
        <f t="shared" si="0"/>
        <v>1695</v>
      </c>
      <c r="H14" s="16" t="s">
        <v>460</v>
      </c>
      <c r="I14" s="15" t="s">
        <v>461</v>
      </c>
    </row>
    <row r="15" ht="15" customHeight="1">
      <c r="B15" s="44" t="s">
        <v>462</v>
      </c>
      <c r="C15" s="16" t="s">
        <v>458</v>
      </c>
      <c r="D15" s="16" t="s">
        <v>459</v>
      </c>
      <c r="E15" s="55">
        <v>85</v>
      </c>
      <c r="F15" s="55">
        <v>85</v>
      </c>
      <c r="G15" s="20">
        <f t="shared" si="0"/>
        <v>85</v>
      </c>
      <c r="H15" s="16" t="s">
        <v>460</v>
      </c>
      <c r="I15" s="15" t="s">
        <v>461</v>
      </c>
    </row>
    <row r="16" ht="15" customHeight="1">
      <c r="B16" s="45" t="s">
        <v>463</v>
      </c>
      <c r="C16" s="51" t="s">
        <v>458</v>
      </c>
      <c r="D16" s="51" t="s">
        <v>459</v>
      </c>
      <c r="E16" s="50">
        <v>0.235</v>
      </c>
      <c r="F16" s="50">
        <v>0.245</v>
      </c>
      <c r="G16" s="22">
        <f t="shared" si="0"/>
        <v>0.24</v>
      </c>
      <c r="H16" s="51" t="s">
        <v>460</v>
      </c>
      <c r="I16" s="15" t="s">
        <v>461</v>
      </c>
    </row>
    <row r="17" ht="15" customHeight="1">
      <c r="B17" s="45" t="s">
        <v>464</v>
      </c>
      <c r="C17" s="51" t="s">
        <v>465</v>
      </c>
      <c r="D17" s="51" t="s">
        <v>459</v>
      </c>
      <c r="E17" s="50">
        <v>0.235</v>
      </c>
      <c r="F17" s="50">
        <v>0.235</v>
      </c>
      <c r="G17" s="22">
        <f t="shared" si="0"/>
        <v>0.235</v>
      </c>
      <c r="H17" s="51" t="s">
        <v>460</v>
      </c>
      <c r="I17" s="15" t="s">
        <v>461</v>
      </c>
    </row>
    <row r="18" ht="15" customHeight="1">
      <c r="B18" s="44" t="s">
        <v>466</v>
      </c>
      <c r="C18" s="16" t="s">
        <v>44</v>
      </c>
      <c r="D18" s="16" t="s">
        <v>467</v>
      </c>
      <c r="E18" s="16" t="s">
        <v>44</v>
      </c>
      <c r="F18" s="16" t="s">
        <v>44</v>
      </c>
      <c r="G18" s="16" t="s">
        <v>44</v>
      </c>
      <c r="H18" s="16" t="s">
        <v>44</v>
      </c>
      <c r="I18" s="15" t="s">
        <v>468</v>
      </c>
    </row>
    <row r="20" ht="15" customHeight="1">
      <c r="B20" s="17" t="s">
        <v>469</v>
      </c>
    </row>
    <row r="21" ht="15" customHeight="1">
      <c r="B21" s="44" t="s">
        <v>470</v>
      </c>
      <c r="C21" s="20"/>
      <c r="D21" s="20"/>
      <c r="E21" s="20"/>
      <c r="F21" s="20"/>
      <c r="G21" s="20"/>
      <c r="H21" s="19">
        <f>'Income Statement'!F112+'Income Statement'!G112</f>
        <v>817</v>
      </c>
    </row>
    <row r="22" ht="15" customHeight="1">
      <c r="B22" s="44" t="s">
        <v>471</v>
      </c>
      <c r="C22" s="20"/>
      <c r="D22" s="20"/>
      <c r="E22" s="20"/>
      <c r="F22" s="20"/>
      <c r="G22" s="20"/>
      <c r="H22" s="19">
        <f>'Income Statement'!H112</f>
        <v>418</v>
      </c>
    </row>
    <row r="23" ht="15" customHeight="1">
      <c r="B23" s="69" t="s">
        <v>472</v>
      </c>
      <c r="C23" s="59"/>
      <c r="D23" s="59"/>
      <c r="E23" s="59"/>
      <c r="F23" s="59"/>
      <c r="G23" s="59"/>
      <c r="H23" s="59">
        <f>G14-H21-H22</f>
        <v>460</v>
      </c>
    </row>
    <row r="24" ht="15" customHeight="1">
      <c r="B24" s="44" t="s">
        <v>473</v>
      </c>
      <c r="C24" s="20"/>
      <c r="D24" s="20"/>
      <c r="E24" s="20"/>
      <c r="F24" s="20"/>
      <c r="G24" s="20"/>
      <c r="H24" s="19">
        <f>'Income Statement'!D112</f>
        <v>446.79999999999995</v>
      </c>
    </row>
    <row r="25" ht="15" customHeight="1">
      <c r="B25" s="17" t="s">
        <v>474</v>
      </c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8C23EA57-A818-B823-3B52-13CE2D0AA80F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8" width="12.00390625" customWidth="1"/>
    <col min="9" max="9" width="60.00390625" customWidth="1"/>
  </cols>
  <sheetData>
    <row r="2" ht="15" customHeight="1">
      <c r="B2" s="2" t="s">
        <v>1</v>
      </c>
    </row>
    <row r="3" ht="15" customHeight="1">
      <c r="B3" s="3" t="s">
        <v>475</v>
      </c>
    </row>
    <row r="4" ht="15" customHeight="1">
      <c r="B4" s="4" t="s">
        <v>3</v>
      </c>
      <c r="I4" s="33" t="s">
        <v>476</v>
      </c>
    </row>
    <row r="5" ht="15" customHeight="1">
      <c r="B5" s="77"/>
      <c r="C5" s="77"/>
      <c r="D5" s="77"/>
      <c r="E5" s="77"/>
      <c r="F5" s="77"/>
      <c r="G5" s="77"/>
      <c r="H5" s="77"/>
      <c r="I5" s="77"/>
    </row>
    <row r="6" ht="15" customHeight="1">
      <c r="B6" s="77"/>
      <c r="C6" s="77"/>
      <c r="D6" s="77"/>
      <c r="E6" s="77"/>
      <c r="F6" s="77"/>
      <c r="G6" s="77"/>
      <c r="H6" s="77"/>
      <c r="I6" s="78"/>
    </row>
    <row r="7" ht="15" customHeight="1">
      <c r="B7" s="77"/>
      <c r="C7" s="77"/>
      <c r="D7" s="77"/>
      <c r="E7" s="77"/>
      <c r="F7" s="77"/>
      <c r="G7" s="77"/>
      <c r="H7" s="77"/>
      <c r="I7" s="79"/>
    </row>
    <row r="9" ht="15" customHeight="1">
      <c r="B9" s="17" t="s">
        <v>477</v>
      </c>
      <c r="C9" s="18" t="s">
        <v>478</v>
      </c>
      <c r="D9" s="18" t="s">
        <v>479</v>
      </c>
      <c r="E9" s="17" t="s">
        <v>480</v>
      </c>
      <c r="F9" s="18"/>
      <c r="G9" s="18"/>
      <c r="H9" s="18"/>
      <c r="I9" s="17" t="s">
        <v>481</v>
      </c>
    </row>
    <row r="10" ht="15" customHeight="1">
      <c r="B10" s="15" t="s">
        <v>482</v>
      </c>
      <c r="C10" s="16" t="s">
        <v>483</v>
      </c>
      <c r="D10" s="16" t="s">
        <v>484</v>
      </c>
      <c r="E10" s="15" t="s">
        <v>485</v>
      </c>
      <c r="F10" s="16"/>
      <c r="G10" s="16"/>
      <c r="H10" s="16"/>
      <c r="I10" s="15" t="s">
        <v>486</v>
      </c>
    </row>
    <row r="11" ht="15" customHeight="1">
      <c r="B11" s="15" t="s">
        <v>487</v>
      </c>
      <c r="C11" s="16" t="s">
        <v>483</v>
      </c>
      <c r="D11" s="16" t="s">
        <v>484</v>
      </c>
      <c r="E11" s="15" t="s">
        <v>488</v>
      </c>
      <c r="F11" s="16"/>
      <c r="G11" s="16"/>
      <c r="H11" s="16"/>
      <c r="I11" s="15" t="s">
        <v>489</v>
      </c>
    </row>
    <row r="12" ht="15" customHeight="1">
      <c r="B12" s="15" t="s">
        <v>490</v>
      </c>
      <c r="C12" s="16" t="s">
        <v>491</v>
      </c>
      <c r="D12" s="16" t="s">
        <v>492</v>
      </c>
      <c r="E12" s="15" t="s">
        <v>493</v>
      </c>
      <c r="F12" s="16"/>
      <c r="G12" s="16"/>
      <c r="H12" s="16"/>
      <c r="I12" s="15" t="s">
        <v>494</v>
      </c>
    </row>
    <row r="13" ht="15" customHeight="1">
      <c r="B13" s="15" t="s">
        <v>495</v>
      </c>
      <c r="C13" s="16" t="s">
        <v>496</v>
      </c>
      <c r="D13" s="16" t="s">
        <v>492</v>
      </c>
      <c r="E13" s="15" t="s">
        <v>497</v>
      </c>
      <c r="F13" s="16"/>
      <c r="G13" s="16"/>
      <c r="H13" s="16"/>
      <c r="I13" s="15" t="s">
        <v>498</v>
      </c>
    </row>
    <row r="14" ht="15" customHeight="1">
      <c r="B14" s="15" t="s">
        <v>499</v>
      </c>
      <c r="C14" s="16" t="s">
        <v>458</v>
      </c>
      <c r="D14" s="16" t="s">
        <v>492</v>
      </c>
      <c r="E14" s="15" t="s">
        <v>500</v>
      </c>
      <c r="F14" s="16"/>
      <c r="G14" s="16"/>
      <c r="H14" s="16"/>
      <c r="I14" s="15" t="s">
        <v>501</v>
      </c>
    </row>
    <row r="15" ht="15" customHeight="1">
      <c r="B15" s="15" t="s">
        <v>502</v>
      </c>
      <c r="C15" s="16" t="s">
        <v>503</v>
      </c>
      <c r="D15" s="16" t="s">
        <v>492</v>
      </c>
      <c r="E15" s="15" t="s">
        <v>504</v>
      </c>
      <c r="F15" s="16"/>
      <c r="G15" s="16"/>
      <c r="H15" s="16"/>
      <c r="I15" s="15" t="s">
        <v>505</v>
      </c>
    </row>
    <row r="16" ht="15" customHeight="1">
      <c r="B16" s="15" t="s">
        <v>506</v>
      </c>
      <c r="C16" s="16" t="s">
        <v>507</v>
      </c>
      <c r="D16" s="16" t="s">
        <v>492</v>
      </c>
      <c r="E16" s="15" t="s">
        <v>508</v>
      </c>
      <c r="F16" s="16"/>
      <c r="G16" s="16"/>
      <c r="H16" s="16"/>
      <c r="I16" s="15" t="s">
        <v>509</v>
      </c>
    </row>
    <row r="17" ht="15" customHeight="1">
      <c r="B17" s="15" t="s">
        <v>510</v>
      </c>
      <c r="C17" s="16" t="s">
        <v>511</v>
      </c>
      <c r="D17" s="16" t="s">
        <v>492</v>
      </c>
      <c r="E17" s="15" t="s">
        <v>512</v>
      </c>
      <c r="F17" s="16"/>
      <c r="G17" s="16"/>
      <c r="H17" s="16"/>
      <c r="I17" s="15" t="s">
        <v>513</v>
      </c>
    </row>
    <row r="18" ht="15" customHeight="1">
      <c r="B18" s="15" t="s">
        <v>514</v>
      </c>
      <c r="C18" s="16" t="s">
        <v>465</v>
      </c>
      <c r="D18" s="16" t="s">
        <v>492</v>
      </c>
      <c r="E18" s="15" t="s">
        <v>515</v>
      </c>
      <c r="F18" s="16"/>
      <c r="G18" s="16"/>
      <c r="H18" s="16"/>
      <c r="I18" s="15" t="s">
        <v>516</v>
      </c>
    </row>
    <row r="19" ht="15" customHeight="1">
      <c r="B19" s="15" t="s">
        <v>517</v>
      </c>
      <c r="C19" s="16" t="s">
        <v>518</v>
      </c>
      <c r="D19" s="16" t="s">
        <v>492</v>
      </c>
      <c r="E19" s="15" t="s">
        <v>519</v>
      </c>
      <c r="F19" s="16"/>
      <c r="G19" s="16"/>
      <c r="H19" s="16"/>
      <c r="I19" s="15" t="s">
        <v>520</v>
      </c>
    </row>
    <row r="20" ht="15" customHeight="1">
      <c r="B20" s="15" t="s">
        <v>521</v>
      </c>
      <c r="C20" s="16" t="s">
        <v>465</v>
      </c>
      <c r="D20" s="16" t="s">
        <v>522</v>
      </c>
      <c r="E20" s="15" t="s">
        <v>523</v>
      </c>
      <c r="F20" s="16"/>
      <c r="G20" s="16"/>
      <c r="H20" s="16"/>
      <c r="I20" s="15" t="s">
        <v>524</v>
      </c>
    </row>
    <row r="21" ht="15" customHeight="1">
      <c r="B21" s="15" t="s">
        <v>525</v>
      </c>
      <c r="C21" s="16" t="s">
        <v>526</v>
      </c>
      <c r="D21" s="16" t="s">
        <v>527</v>
      </c>
      <c r="E21" s="15" t="s">
        <v>528</v>
      </c>
      <c r="F21" s="16"/>
      <c r="G21" s="16"/>
      <c r="H21" s="16"/>
      <c r="I21" s="15" t="s">
        <v>529</v>
      </c>
    </row>
    <row r="22" ht="15" customHeight="1">
      <c r="B22" s="15" t="s">
        <v>530</v>
      </c>
      <c r="C22" s="16" t="s">
        <v>531</v>
      </c>
      <c r="D22" s="16" t="s">
        <v>527</v>
      </c>
      <c r="E22" s="15" t="s">
        <v>532</v>
      </c>
      <c r="F22" s="16"/>
      <c r="G22" s="16"/>
      <c r="H22" s="16"/>
      <c r="I22" s="15" t="s">
        <v>533</v>
      </c>
    </row>
    <row r="23" ht="15" customHeight="1">
      <c r="B23" s="15" t="s">
        <v>534</v>
      </c>
      <c r="C23" s="16" t="s">
        <v>535</v>
      </c>
      <c r="D23" s="16" t="s">
        <v>536</v>
      </c>
      <c r="E23" s="15" t="s">
        <v>537</v>
      </c>
      <c r="F23" s="16"/>
      <c r="G23" s="16"/>
      <c r="H23" s="16"/>
      <c r="I23" s="15" t="s">
        <v>538</v>
      </c>
    </row>
    <row r="24" ht="15" customHeight="1">
      <c r="B24" s="15" t="s">
        <v>539</v>
      </c>
      <c r="C24" s="16" t="s">
        <v>540</v>
      </c>
      <c r="D24" s="16" t="s">
        <v>527</v>
      </c>
      <c r="E24" s="15" t="s">
        <v>541</v>
      </c>
      <c r="F24" s="16"/>
      <c r="G24" s="16"/>
      <c r="H24" s="16"/>
      <c r="I24" s="15" t="s">
        <v>542</v>
      </c>
    </row>
    <row r="25" ht="15" customHeight="1">
      <c r="B25" s="15" t="s">
        <v>543</v>
      </c>
      <c r="C25" s="16" t="s">
        <v>544</v>
      </c>
      <c r="D25" s="16" t="s">
        <v>527</v>
      </c>
      <c r="E25" s="15" t="s">
        <v>545</v>
      </c>
      <c r="F25" s="16"/>
      <c r="G25" s="16"/>
      <c r="H25" s="16"/>
      <c r="I25" s="15" t="s">
        <v>546</v>
      </c>
    </row>
    <row r="26" ht="15" customHeight="1">
      <c r="B26" s="15" t="s">
        <v>547</v>
      </c>
      <c r="C26" s="16" t="s">
        <v>548</v>
      </c>
      <c r="D26" s="16" t="s">
        <v>527</v>
      </c>
      <c r="E26" s="15" t="s">
        <v>549</v>
      </c>
      <c r="F26" s="16"/>
      <c r="G26" s="16"/>
      <c r="H26" s="16"/>
      <c r="I26" s="15" t="s">
        <v>550</v>
      </c>
    </row>
    <row r="27" ht="15" customHeight="1">
      <c r="B27" s="15" t="s">
        <v>551</v>
      </c>
      <c r="C27" s="16" t="s">
        <v>552</v>
      </c>
      <c r="D27" s="16" t="s">
        <v>492</v>
      </c>
      <c r="E27" s="15" t="s">
        <v>553</v>
      </c>
      <c r="F27" s="16"/>
      <c r="G27" s="16"/>
      <c r="H27" s="16"/>
      <c r="I27" s="15" t="s">
        <v>554</v>
      </c>
    </row>
    <row r="28" ht="15" customHeight="1">
      <c r="B28" s="15" t="s">
        <v>555</v>
      </c>
      <c r="C28" s="16" t="s">
        <v>556</v>
      </c>
      <c r="D28" s="16" t="s">
        <v>557</v>
      </c>
      <c r="E28" s="15" t="s">
        <v>558</v>
      </c>
      <c r="F28" s="16"/>
      <c r="G28" s="16"/>
      <c r="H28" s="16"/>
      <c r="I28" s="15" t="s">
        <v>559</v>
      </c>
    </row>
    <row r="29" ht="15" customHeight="1">
      <c r="B29" s="15" t="s">
        <v>560</v>
      </c>
      <c r="C29" s="16" t="s">
        <v>561</v>
      </c>
      <c r="D29" s="16" t="s">
        <v>557</v>
      </c>
      <c r="E29" s="15" t="s">
        <v>562</v>
      </c>
      <c r="F29" s="16"/>
      <c r="G29" s="16"/>
      <c r="H29" s="16"/>
      <c r="I29" s="15" t="s">
        <v>563</v>
      </c>
    </row>
    <row r="30" ht="15" customHeight="1">
      <c r="B30" s="15" t="s">
        <v>564</v>
      </c>
      <c r="C30" s="16" t="s">
        <v>565</v>
      </c>
      <c r="D30" s="16" t="s">
        <v>566</v>
      </c>
      <c r="E30" s="15" t="s">
        <v>567</v>
      </c>
      <c r="F30" s="16"/>
      <c r="G30" s="16"/>
      <c r="H30" s="16"/>
      <c r="I30" s="15" t="s">
        <v>568</v>
      </c>
    </row>
    <row r="31" ht="15" customHeight="1">
      <c r="B31" s="15" t="s">
        <v>569</v>
      </c>
      <c r="C31" s="16" t="s">
        <v>570</v>
      </c>
      <c r="D31" s="16" t="s">
        <v>571</v>
      </c>
      <c r="E31" s="15" t="s">
        <v>572</v>
      </c>
      <c r="F31" s="16"/>
      <c r="G31" s="16"/>
      <c r="H31" s="16"/>
      <c r="I31" s="15" t="s">
        <v>573</v>
      </c>
    </row>
    <row r="32" ht="15" customHeight="1">
      <c r="B32" s="15" t="s">
        <v>574</v>
      </c>
      <c r="C32" s="16" t="s">
        <v>575</v>
      </c>
      <c r="D32" s="16" t="s">
        <v>576</v>
      </c>
      <c r="E32" s="15" t="s">
        <v>577</v>
      </c>
      <c r="F32" s="16"/>
      <c r="G32" s="16"/>
      <c r="H32" s="16"/>
      <c r="I32" s="15" t="s">
        <v>578</v>
      </c>
    </row>
    <row r="33" ht="15" customHeight="1">
      <c r="B33" s="15" t="s">
        <v>579</v>
      </c>
      <c r="C33" s="16" t="s">
        <v>570</v>
      </c>
      <c r="D33" s="16" t="s">
        <v>580</v>
      </c>
      <c r="E33" s="15" t="s">
        <v>581</v>
      </c>
      <c r="F33" s="16"/>
      <c r="G33" s="16"/>
      <c r="H33" s="16"/>
      <c r="I33" s="15" t="s">
        <v>582</v>
      </c>
    </row>
    <row r="34" ht="15" customHeight="1">
      <c r="B34" s="15" t="s">
        <v>583</v>
      </c>
      <c r="C34" s="16" t="s">
        <v>570</v>
      </c>
      <c r="D34" s="16" t="s">
        <v>584</v>
      </c>
      <c r="E34" s="15" t="s">
        <v>585</v>
      </c>
      <c r="F34" s="16"/>
      <c r="G34" s="16"/>
      <c r="H34" s="16"/>
      <c r="I34" s="15" t="s">
        <v>586</v>
      </c>
    </row>
    <row r="35" ht="15" customHeight="1">
      <c r="B35" s="15" t="s">
        <v>587</v>
      </c>
      <c r="C35" s="16" t="s">
        <v>449</v>
      </c>
      <c r="D35" s="16" t="s">
        <v>536</v>
      </c>
      <c r="E35" s="15" t="s">
        <v>588</v>
      </c>
      <c r="F35" s="16"/>
      <c r="G35" s="16"/>
      <c r="H35" s="16"/>
      <c r="I35" s="15" t="s">
        <v>589</v>
      </c>
    </row>
    <row r="36" ht="15" customHeight="1">
      <c r="B36" s="15" t="s">
        <v>590</v>
      </c>
      <c r="C36" s="16" t="s">
        <v>453</v>
      </c>
      <c r="D36" s="16" t="s">
        <v>591</v>
      </c>
      <c r="E36" s="15" t="s">
        <v>592</v>
      </c>
      <c r="F36" s="16"/>
      <c r="G36" s="16"/>
      <c r="H36" s="16"/>
      <c r="I36" s="15" t="s">
        <v>593</v>
      </c>
    </row>
    <row r="37" ht="15" customHeight="1">
      <c r="B37" s="15" t="s">
        <v>594</v>
      </c>
      <c r="C37" s="16" t="s">
        <v>458</v>
      </c>
      <c r="D37" s="16" t="s">
        <v>591</v>
      </c>
      <c r="E37" s="15" t="s">
        <v>595</v>
      </c>
      <c r="F37" s="16"/>
      <c r="G37" s="16"/>
      <c r="H37" s="16"/>
      <c r="I37" s="15" t="s">
        <v>596</v>
      </c>
    </row>
    <row r="38" ht="15" customHeight="1">
      <c r="B38" s="15" t="s">
        <v>597</v>
      </c>
      <c r="C38" s="16" t="s">
        <v>598</v>
      </c>
      <c r="D38" s="16" t="s">
        <v>527</v>
      </c>
      <c r="E38" s="15" t="s">
        <v>599</v>
      </c>
      <c r="F38" s="16"/>
      <c r="G38" s="16"/>
      <c r="H38" s="16"/>
      <c r="I38" s="15" t="s">
        <v>600</v>
      </c>
    </row>
    <row r="39" ht="15" customHeight="1">
      <c r="B39" s="15" t="s">
        <v>601</v>
      </c>
      <c r="C39" s="16" t="s">
        <v>570</v>
      </c>
      <c r="D39" s="16" t="s">
        <v>602</v>
      </c>
      <c r="E39" s="15" t="s">
        <v>603</v>
      </c>
      <c r="F39" s="16"/>
      <c r="G39" s="16"/>
      <c r="H39" s="16"/>
      <c r="I39" s="15" t="s">
        <v>604</v>
      </c>
    </row>
    <row r="41" ht="15" customHeight="1">
      <c r="B41" s="17" t="s">
        <v>605</v>
      </c>
    </row>
    <row r="42" ht="15" customHeight="1">
      <c r="B42" s="17" t="s">
        <v>606</v>
      </c>
    </row>
    <row r="43" ht="15" customHeight="1">
      <c r="B43" s="17" t="s">
        <v>607</v>
      </c>
    </row>
    <row r="44" ht="15" customHeight="1">
      <c r="B44" s="17" t="s">
        <v>608</v>
      </c>
    </row>
    <row r="45" ht="15" customHeight="1">
      <c r="B45" s="17" t="s">
        <v>609</v>
      </c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B94FA188-2D58-1358-116C-C87ED5A109B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8" width="12.00390625" customWidth="1"/>
    <col min="9" max="9" width="60.00390625" customWidth="1"/>
  </cols>
  <sheetData>
    <row r="2" ht="15" customHeight="1">
      <c r="B2" s="2" t="s">
        <v>1</v>
      </c>
    </row>
    <row r="3" ht="15" customHeight="1">
      <c r="B3" s="3" t="s">
        <v>610</v>
      </c>
    </row>
    <row r="4" ht="15" customHeight="1">
      <c r="B4" s="4" t="s">
        <v>3</v>
      </c>
      <c r="I4" s="33" t="s">
        <v>611</v>
      </c>
    </row>
    <row r="5" ht="15" customHeight="1">
      <c r="B5" s="77"/>
      <c r="C5" s="77"/>
      <c r="D5" s="77"/>
      <c r="E5" s="77"/>
      <c r="F5" s="77"/>
      <c r="G5" s="77"/>
      <c r="H5" s="77"/>
      <c r="I5" s="77"/>
    </row>
    <row r="6" ht="15" customHeight="1">
      <c r="B6" s="77"/>
      <c r="C6" s="77"/>
      <c r="D6" s="77"/>
      <c r="E6" s="77"/>
      <c r="F6" s="77"/>
      <c r="G6" s="77"/>
      <c r="H6" s="77"/>
      <c r="I6" s="78"/>
    </row>
    <row r="7" ht="15" customHeight="1">
      <c r="B7" s="77"/>
      <c r="C7" s="77"/>
      <c r="D7" s="77"/>
      <c r="E7" s="77"/>
      <c r="F7" s="77"/>
      <c r="G7" s="77"/>
      <c r="H7" s="77"/>
      <c r="I7" s="79"/>
    </row>
    <row r="9" ht="15" customHeight="1">
      <c r="B9" s="17" t="s">
        <v>612</v>
      </c>
      <c r="I9" s="33" t="s">
        <v>613</v>
      </c>
    </row>
    <row r="10" ht="15" customHeight="1">
      <c r="B10" s="44" t="s">
        <v>614</v>
      </c>
      <c r="C10" s="15" t="s">
        <v>615</v>
      </c>
      <c r="D10" s="16"/>
      <c r="E10" s="16"/>
      <c r="F10" s="16"/>
      <c r="G10" s="16"/>
      <c r="H10" s="16"/>
    </row>
    <row r="11" ht="15" customHeight="1">
      <c r="B11" s="44" t="s">
        <v>616</v>
      </c>
      <c r="C11" s="16" t="s">
        <v>17</v>
      </c>
      <c r="D11" s="16"/>
      <c r="E11" s="16"/>
      <c r="F11" s="16"/>
      <c r="G11" s="16"/>
      <c r="H11" s="16"/>
    </row>
    <row r="12" ht="15" customHeight="1">
      <c r="B12" s="44" t="s">
        <v>617</v>
      </c>
      <c r="C12" s="15" t="s">
        <v>15</v>
      </c>
      <c r="D12" s="16"/>
      <c r="E12" s="16"/>
      <c r="F12" s="16"/>
      <c r="G12" s="16"/>
      <c r="H12" s="16"/>
    </row>
    <row r="13" ht="15" customHeight="1">
      <c r="B13" s="44" t="s">
        <v>618</v>
      </c>
      <c r="C13" s="15" t="s">
        <v>619</v>
      </c>
      <c r="D13" s="16"/>
      <c r="E13" s="16"/>
      <c r="F13" s="16"/>
      <c r="G13" s="16"/>
      <c r="H13" s="16"/>
    </row>
    <row r="14" ht="15" customHeight="1">
      <c r="B14" s="44" t="s">
        <v>620</v>
      </c>
      <c r="C14" s="16" t="s">
        <v>621</v>
      </c>
      <c r="D14" s="16"/>
      <c r="E14" s="16"/>
      <c r="F14" s="16"/>
      <c r="G14" s="16"/>
      <c r="H14" s="16"/>
    </row>
    <row r="15" ht="15" customHeight="1">
      <c r="B15" s="44" t="s">
        <v>622</v>
      </c>
      <c r="C15" s="16" t="s">
        <v>483</v>
      </c>
      <c r="D15" s="16"/>
      <c r="E15" s="16"/>
      <c r="F15" s="16"/>
      <c r="G15" s="16"/>
      <c r="H15" s="16"/>
    </row>
    <row r="16" ht="15" customHeight="1">
      <c r="B16" s="44" t="s">
        <v>623</v>
      </c>
      <c r="C16" s="34">
        <v>14</v>
      </c>
      <c r="D16" s="38"/>
      <c r="E16" s="38"/>
      <c r="F16" s="38"/>
      <c r="G16" s="38"/>
      <c r="H16" s="38"/>
    </row>
    <row r="17" ht="15" customHeight="1">
      <c r="B17" s="44" t="s">
        <v>624</v>
      </c>
      <c r="C17" s="67">
        <v>2.98</v>
      </c>
      <c r="D17" s="28"/>
      <c r="E17" s="28"/>
      <c r="F17" s="28"/>
      <c r="G17" s="28"/>
      <c r="H17" s="28"/>
    </row>
    <row r="18" ht="15" customHeight="1">
      <c r="B18" s="44" t="s">
        <v>625</v>
      </c>
      <c r="C18" s="15" t="s">
        <v>626</v>
      </c>
      <c r="D18" s="16"/>
      <c r="E18" s="16"/>
      <c r="F18" s="16"/>
      <c r="G18" s="16"/>
      <c r="H18" s="16"/>
    </row>
    <row r="19" ht="15" customHeight="1">
      <c r="B19" s="44" t="s">
        <v>627</v>
      </c>
      <c r="C19" s="55">
        <v>1714.33</v>
      </c>
      <c r="D19" s="20"/>
      <c r="E19" s="20"/>
      <c r="F19" s="20"/>
      <c r="G19" s="20"/>
      <c r="H19" s="20"/>
    </row>
    <row r="20" ht="15" customHeight="1">
      <c r="B20" s="44" t="s">
        <v>628</v>
      </c>
      <c r="C20" s="16" t="s">
        <v>23</v>
      </c>
      <c r="D20" s="16"/>
      <c r="E20" s="16"/>
      <c r="F20" s="16"/>
      <c r="G20" s="16"/>
      <c r="H20" s="16"/>
    </row>
    <row r="21" ht="15" customHeight="1">
      <c r="B21" s="44" t="s">
        <v>629</v>
      </c>
      <c r="C21" s="15" t="s">
        <v>630</v>
      </c>
      <c r="D21" s="16"/>
      <c r="E21" s="16"/>
      <c r="F21" s="16"/>
      <c r="G21" s="16"/>
      <c r="H21" s="16"/>
    </row>
    <row r="22" ht="15" customHeight="1">
      <c r="B22" s="44" t="s">
        <v>631</v>
      </c>
      <c r="C22" s="15" t="s">
        <v>632</v>
      </c>
      <c r="D22" s="16"/>
      <c r="E22" s="16"/>
      <c r="F22" s="16"/>
      <c r="G22" s="16"/>
      <c r="H22" s="16"/>
    </row>
    <row r="23" ht="15" customHeight="1">
      <c r="B23" s="44" t="s">
        <v>633</v>
      </c>
      <c r="C23" s="16" t="s">
        <v>23</v>
      </c>
      <c r="D23" s="16"/>
      <c r="E23" s="16"/>
      <c r="F23" s="16"/>
      <c r="G23" s="16"/>
      <c r="H23" s="16"/>
    </row>
    <row r="24" ht="15" customHeight="1">
      <c r="B24" s="44" t="s">
        <v>634</v>
      </c>
      <c r="C24" s="16" t="s">
        <v>23</v>
      </c>
      <c r="D24" s="16"/>
      <c r="E24" s="16"/>
      <c r="F24" s="16"/>
      <c r="G24" s="16"/>
      <c r="H24" s="16"/>
    </row>
    <row r="25" ht="15" customHeight="1">
      <c r="B25" s="44" t="s">
        <v>635</v>
      </c>
      <c r="C25" s="15" t="s">
        <v>636</v>
      </c>
      <c r="D25" s="16"/>
      <c r="E25" s="16"/>
      <c r="F25" s="16"/>
      <c r="G25" s="16"/>
      <c r="H25" s="16"/>
    </row>
    <row r="26" ht="15" customHeight="1">
      <c r="B26" s="44" t="s">
        <v>637</v>
      </c>
      <c r="C26" s="16" t="s">
        <v>23</v>
      </c>
      <c r="D26" s="16"/>
      <c r="E26" s="16"/>
      <c r="F26" s="16"/>
      <c r="G26" s="16"/>
      <c r="H26" s="16"/>
    </row>
    <row r="27" ht="15" customHeight="1">
      <c r="B27" s="44" t="s">
        <v>638</v>
      </c>
      <c r="C27" s="16" t="s">
        <v>639</v>
      </c>
      <c r="D27" s="16"/>
      <c r="E27" s="16"/>
      <c r="F27" s="16"/>
      <c r="G27" s="16"/>
      <c r="H27" s="16"/>
    </row>
    <row r="29" ht="15" customHeight="1">
      <c r="B29" s="17" t="s">
        <v>640</v>
      </c>
    </row>
    <row r="30" ht="15" customHeight="1">
      <c r="B30" s="44" t="s">
        <v>616</v>
      </c>
      <c r="C30" s="16" t="s">
        <v>17</v>
      </c>
      <c r="D30" s="16"/>
      <c r="E30" s="16"/>
      <c r="F30" s="16"/>
      <c r="G30" s="16"/>
      <c r="H30" s="16"/>
    </row>
    <row r="31" ht="15" customHeight="1">
      <c r="B31" s="44" t="s">
        <v>641</v>
      </c>
      <c r="C31" s="15" t="s">
        <v>15</v>
      </c>
      <c r="D31" s="16"/>
      <c r="E31" s="16"/>
      <c r="F31" s="16"/>
      <c r="G31" s="16"/>
      <c r="H31" s="16"/>
    </row>
    <row r="32" ht="15" customHeight="1">
      <c r="B32" s="44" t="s">
        <v>642</v>
      </c>
      <c r="C32" s="16" t="s">
        <v>643</v>
      </c>
      <c r="D32" s="16"/>
      <c r="E32" s="16"/>
      <c r="F32" s="16"/>
      <c r="G32" s="16"/>
      <c r="H32" s="16"/>
    </row>
    <row r="33" ht="15" customHeight="1">
      <c r="B33" s="44" t="s">
        <v>644</v>
      </c>
      <c r="C33" s="16" t="s">
        <v>645</v>
      </c>
      <c r="D33" s="16"/>
      <c r="E33" s="16"/>
      <c r="F33" s="16"/>
      <c r="G33" s="16"/>
      <c r="H33" s="16"/>
    </row>
    <row r="34" ht="15" customHeight="1">
      <c r="B34" s="44" t="s">
        <v>646</v>
      </c>
      <c r="C34" s="16" t="s">
        <v>23</v>
      </c>
      <c r="D34" s="16"/>
      <c r="E34" s="16"/>
      <c r="F34" s="16"/>
      <c r="G34" s="16"/>
      <c r="H34" s="16"/>
    </row>
    <row r="35" ht="15" customHeight="1">
      <c r="B35" s="44" t="s">
        <v>647</v>
      </c>
      <c r="C35" s="16" t="s">
        <v>648</v>
      </c>
      <c r="D35" s="16"/>
      <c r="E35" s="16"/>
      <c r="F35" s="16"/>
      <c r="G35" s="16"/>
      <c r="H35" s="16"/>
    </row>
    <row r="36" ht="15" customHeight="1">
      <c r="B36" s="44" t="s">
        <v>649</v>
      </c>
      <c r="C36" s="15" t="s">
        <v>619</v>
      </c>
      <c r="D36" s="16"/>
      <c r="E36" s="16"/>
      <c r="F36" s="16"/>
      <c r="G36" s="16"/>
      <c r="H36" s="16"/>
    </row>
    <row r="37" ht="15" customHeight="1">
      <c r="B37" s="44" t="s">
        <v>650</v>
      </c>
      <c r="C37" s="16" t="s">
        <v>621</v>
      </c>
      <c r="D37" s="16"/>
      <c r="E37" s="16"/>
      <c r="F37" s="16"/>
      <c r="G37" s="16"/>
      <c r="H37" s="16"/>
    </row>
    <row r="38" ht="15" customHeight="1">
      <c r="B38" s="44" t="s">
        <v>651</v>
      </c>
      <c r="C38" s="16" t="s">
        <v>652</v>
      </c>
      <c r="D38" s="16"/>
      <c r="E38" s="16"/>
      <c r="F38" s="16"/>
      <c r="G38" s="16"/>
      <c r="H38" s="16"/>
    </row>
    <row r="39" ht="15" customHeight="1">
      <c r="B39" s="44" t="s">
        <v>625</v>
      </c>
      <c r="C39" s="15" t="s">
        <v>653</v>
      </c>
      <c r="D39" s="16"/>
      <c r="E39" s="16"/>
      <c r="F39" s="16"/>
      <c r="G39" s="16"/>
      <c r="H39" s="16"/>
    </row>
    <row r="40" ht="15" customHeight="1">
      <c r="B40" s="44" t="s">
        <v>654</v>
      </c>
      <c r="C40" s="34">
        <v>14</v>
      </c>
      <c r="D40" s="38"/>
      <c r="E40" s="38"/>
      <c r="F40" s="38"/>
      <c r="G40" s="38"/>
      <c r="H40" s="38"/>
    </row>
    <row r="41" ht="15" customHeight="1">
      <c r="B41" s="44" t="s">
        <v>655</v>
      </c>
      <c r="C41" s="34">
        <v>14</v>
      </c>
      <c r="D41" s="38"/>
      <c r="E41" s="38"/>
      <c r="F41" s="38"/>
      <c r="G41" s="38"/>
      <c r="H41" s="38"/>
    </row>
    <row r="42" ht="15" customHeight="1">
      <c r="B42" s="44" t="s">
        <v>656</v>
      </c>
      <c r="C42" s="16"/>
      <c r="D42" s="16"/>
      <c r="E42" s="16"/>
      <c r="F42" s="16"/>
      <c r="G42" s="16"/>
      <c r="H42" s="16"/>
    </row>
    <row r="43" ht="15" customHeight="1">
      <c r="B43" s="44" t="s">
        <v>657</v>
      </c>
      <c r="C43" s="67">
        <v>2.98</v>
      </c>
      <c r="D43" s="28"/>
      <c r="E43" s="28"/>
      <c r="F43" s="28"/>
      <c r="G43" s="28"/>
      <c r="H43" s="28"/>
    </row>
    <row r="44" ht="15" customHeight="1">
      <c r="B44" s="44" t="s">
        <v>658</v>
      </c>
      <c r="C44" s="67">
        <v>2.97</v>
      </c>
      <c r="D44" s="28"/>
      <c r="E44" s="28"/>
      <c r="F44" s="28"/>
      <c r="G44" s="28"/>
      <c r="H44" s="28"/>
    </row>
    <row r="45" ht="15" customHeight="1">
      <c r="B45" s="44" t="s">
        <v>659</v>
      </c>
      <c r="C45" s="67">
        <v>3.07</v>
      </c>
      <c r="D45" s="28"/>
      <c r="E45" s="28"/>
      <c r="F45" s="28"/>
      <c r="G45" s="28"/>
      <c r="H45" s="28"/>
    </row>
    <row r="46" ht="15" customHeight="1">
      <c r="B46" s="44" t="s">
        <v>660</v>
      </c>
      <c r="C46" s="67">
        <v>2.9</v>
      </c>
      <c r="D46" s="28"/>
      <c r="E46" s="28"/>
      <c r="F46" s="28"/>
      <c r="G46" s="28"/>
      <c r="H46" s="28"/>
    </row>
    <row r="47" ht="15" customHeight="1">
      <c r="B47" s="44" t="s">
        <v>661</v>
      </c>
      <c r="C47" s="67">
        <v>0.05</v>
      </c>
      <c r="D47" s="28"/>
      <c r="E47" s="28"/>
      <c r="F47" s="28"/>
      <c r="G47" s="28"/>
      <c r="H47" s="28"/>
    </row>
    <row r="48" ht="15" customHeight="1">
      <c r="B48" s="44" t="s">
        <v>662</v>
      </c>
      <c r="C48" s="34">
        <v>14</v>
      </c>
      <c r="D48" s="38"/>
      <c r="E48" s="38"/>
      <c r="F48" s="38"/>
      <c r="G48" s="38"/>
      <c r="H48" s="38"/>
    </row>
    <row r="49" ht="15" customHeight="1">
      <c r="B49" s="44" t="s">
        <v>663</v>
      </c>
      <c r="C49" s="16"/>
      <c r="D49" s="16"/>
      <c r="E49" s="16"/>
      <c r="F49" s="16"/>
      <c r="G49" s="16"/>
      <c r="H49" s="16"/>
    </row>
    <row r="50" ht="15" customHeight="1">
      <c r="B50" s="44" t="s">
        <v>664</v>
      </c>
      <c r="C50" s="16"/>
      <c r="D50" s="16"/>
      <c r="E50" s="16"/>
      <c r="F50" s="16"/>
      <c r="G50" s="16"/>
      <c r="H50" s="16"/>
    </row>
    <row r="51" ht="15" customHeight="1">
      <c r="B51" s="44" t="s">
        <v>665</v>
      </c>
      <c r="C51" s="16"/>
      <c r="D51" s="16"/>
      <c r="E51" s="16"/>
      <c r="F51" s="16"/>
      <c r="G51" s="16"/>
      <c r="H51" s="16"/>
    </row>
    <row r="52" ht="15" customHeight="1">
      <c r="B52" s="44" t="s">
        <v>666</v>
      </c>
      <c r="C52" s="67">
        <v>2.91</v>
      </c>
      <c r="D52" s="28"/>
      <c r="E52" s="28"/>
      <c r="F52" s="28"/>
      <c r="G52" s="28"/>
      <c r="H52" s="28"/>
    </row>
    <row r="53" ht="15" customHeight="1">
      <c r="B53" s="44" t="s">
        <v>667</v>
      </c>
      <c r="C53" s="67">
        <v>2.91</v>
      </c>
      <c r="D53" s="28"/>
      <c r="E53" s="28"/>
      <c r="F53" s="28"/>
      <c r="G53" s="28"/>
      <c r="H53" s="28"/>
    </row>
    <row r="54" ht="15" customHeight="1">
      <c r="B54" s="44" t="s">
        <v>668</v>
      </c>
      <c r="C54" s="67">
        <v>2.92</v>
      </c>
      <c r="D54" s="28"/>
      <c r="E54" s="28"/>
      <c r="F54" s="28"/>
      <c r="G54" s="28"/>
      <c r="H54" s="28"/>
    </row>
    <row r="55" ht="15" customHeight="1">
      <c r="B55" s="44" t="s">
        <v>669</v>
      </c>
      <c r="C55" s="67">
        <v>2.91</v>
      </c>
      <c r="D55" s="28"/>
      <c r="E55" s="28"/>
      <c r="F55" s="28"/>
      <c r="G55" s="28"/>
      <c r="H55" s="28"/>
    </row>
    <row r="56" ht="15" customHeight="1">
      <c r="B56" s="44" t="s">
        <v>670</v>
      </c>
      <c r="C56" s="67">
        <v>0.01</v>
      </c>
      <c r="D56" s="28"/>
      <c r="E56" s="28"/>
      <c r="F56" s="28"/>
      <c r="G56" s="28"/>
      <c r="H56" s="28"/>
    </row>
    <row r="57" ht="15" customHeight="1">
      <c r="B57" s="44" t="s">
        <v>671</v>
      </c>
      <c r="C57" s="34">
        <v>2</v>
      </c>
      <c r="D57" s="38"/>
      <c r="E57" s="38"/>
      <c r="F57" s="38"/>
      <c r="G57" s="38"/>
      <c r="H57" s="38"/>
    </row>
    <row r="58" ht="15" customHeight="1">
      <c r="B58" s="44" t="s">
        <v>672</v>
      </c>
      <c r="C58" s="16"/>
      <c r="D58" s="16"/>
      <c r="E58" s="16"/>
      <c r="F58" s="16"/>
      <c r="G58" s="16"/>
      <c r="H58" s="16"/>
    </row>
    <row r="59" ht="15" customHeight="1">
      <c r="B59" s="44" t="s">
        <v>673</v>
      </c>
      <c r="C59" s="16"/>
      <c r="D59" s="16"/>
      <c r="E59" s="16"/>
      <c r="F59" s="16"/>
      <c r="G59" s="16"/>
      <c r="H59" s="16"/>
    </row>
    <row r="60" ht="15" customHeight="1">
      <c r="B60" s="44" t="s">
        <v>674</v>
      </c>
      <c r="C60" s="16"/>
      <c r="D60" s="16"/>
      <c r="E60" s="16"/>
      <c r="F60" s="16"/>
      <c r="G60" s="16"/>
      <c r="H60" s="16"/>
    </row>
    <row r="61" ht="15" customHeight="1">
      <c r="B61" s="44" t="s">
        <v>675</v>
      </c>
      <c r="C61" s="55">
        <v>1714.33</v>
      </c>
      <c r="D61" s="20"/>
      <c r="E61" s="20"/>
      <c r="F61" s="20"/>
      <c r="G61" s="20"/>
      <c r="H61" s="20"/>
    </row>
    <row r="62" ht="15" customHeight="1">
      <c r="B62" s="44" t="s">
        <v>676</v>
      </c>
      <c r="C62" s="55">
        <v>1722.32</v>
      </c>
      <c r="D62" s="20"/>
      <c r="E62" s="20"/>
      <c r="F62" s="20"/>
      <c r="G62" s="20"/>
      <c r="H62" s="20"/>
    </row>
    <row r="63" ht="15" customHeight="1">
      <c r="B63" s="44" t="s">
        <v>677</v>
      </c>
      <c r="C63" s="55">
        <v>1736.51</v>
      </c>
      <c r="D63" s="20"/>
      <c r="E63" s="20"/>
      <c r="F63" s="20"/>
      <c r="G63" s="20"/>
      <c r="H63" s="20"/>
    </row>
    <row r="64" ht="15" customHeight="1">
      <c r="B64" s="44" t="s">
        <v>678</v>
      </c>
      <c r="C64" s="55">
        <v>1678</v>
      </c>
      <c r="D64" s="20"/>
      <c r="E64" s="20"/>
      <c r="F64" s="20"/>
      <c r="G64" s="20"/>
      <c r="H64" s="20"/>
    </row>
    <row r="65" ht="15" customHeight="1">
      <c r="B65" s="44" t="s">
        <v>679</v>
      </c>
      <c r="C65" s="55">
        <v>18.79</v>
      </c>
      <c r="D65" s="20"/>
      <c r="E65" s="20"/>
      <c r="F65" s="20"/>
      <c r="G65" s="20"/>
      <c r="H65" s="20"/>
    </row>
    <row r="66" ht="15" customHeight="1">
      <c r="B66" s="44" t="s">
        <v>680</v>
      </c>
      <c r="C66" s="34">
        <v>10</v>
      </c>
      <c r="D66" s="38"/>
      <c r="E66" s="38"/>
      <c r="F66" s="38"/>
      <c r="G66" s="38"/>
      <c r="H66" s="38"/>
    </row>
    <row r="67" ht="15" customHeight="1">
      <c r="B67" s="44" t="s">
        <v>681</v>
      </c>
      <c r="C67" s="16"/>
      <c r="D67" s="16"/>
      <c r="E67" s="16"/>
      <c r="F67" s="16"/>
      <c r="G67" s="16"/>
      <c r="H67" s="16"/>
    </row>
    <row r="68" ht="15" customHeight="1">
      <c r="B68" s="44" t="s">
        <v>682</v>
      </c>
      <c r="C68" s="16"/>
      <c r="D68" s="16"/>
      <c r="E68" s="16"/>
      <c r="F68" s="16"/>
      <c r="G68" s="16"/>
      <c r="H68" s="16"/>
    </row>
    <row r="69" ht="15" customHeight="1">
      <c r="B69" s="44" t="s">
        <v>683</v>
      </c>
      <c r="C69" s="16"/>
      <c r="D69" s="16"/>
      <c r="E69" s="16"/>
      <c r="F69" s="16"/>
      <c r="G69" s="16"/>
      <c r="H69" s="16"/>
    </row>
    <row r="70" ht="15" customHeight="1">
      <c r="B70" s="44" t="s">
        <v>684</v>
      </c>
      <c r="C70" s="55">
        <v>1227.41</v>
      </c>
      <c r="D70" s="20"/>
      <c r="E70" s="20"/>
      <c r="F70" s="20"/>
      <c r="G70" s="20"/>
      <c r="H70" s="20"/>
    </row>
    <row r="71" ht="15" customHeight="1">
      <c r="B71" s="44" t="s">
        <v>685</v>
      </c>
      <c r="C71" s="55">
        <v>1195.31</v>
      </c>
      <c r="D71" s="20"/>
      <c r="E71" s="20"/>
      <c r="F71" s="20"/>
      <c r="G71" s="20"/>
      <c r="H71" s="20"/>
      <c r="I71" s="15" t="s">
        <v>686</v>
      </c>
    </row>
    <row r="72" ht="15" customHeight="1">
      <c r="B72" s="44" t="s">
        <v>687</v>
      </c>
      <c r="C72" s="55">
        <v>1396.09</v>
      </c>
      <c r="D72" s="20"/>
      <c r="E72" s="20"/>
      <c r="F72" s="20"/>
      <c r="G72" s="20"/>
      <c r="H72" s="20"/>
      <c r="I72" s="15" t="s">
        <v>688</v>
      </c>
    </row>
    <row r="73" ht="15" customHeight="1">
      <c r="B73" s="44" t="s">
        <v>689</v>
      </c>
      <c r="C73" s="55">
        <v>1382.03</v>
      </c>
      <c r="D73" s="20"/>
      <c r="E73" s="20"/>
      <c r="F73" s="20"/>
      <c r="G73" s="20"/>
      <c r="H73" s="20"/>
      <c r="I73" s="15" t="s">
        <v>690</v>
      </c>
    </row>
    <row r="74" ht="15" customHeight="1">
      <c r="B74" s="44" t="s">
        <v>691</v>
      </c>
      <c r="C74" s="55">
        <v>1067.89</v>
      </c>
      <c r="D74" s="20"/>
      <c r="E74" s="20"/>
      <c r="F74" s="20"/>
      <c r="G74" s="20"/>
      <c r="H74" s="20"/>
    </row>
    <row r="75" ht="15" customHeight="1">
      <c r="B75" s="44" t="s">
        <v>692</v>
      </c>
      <c r="C75" s="16"/>
      <c r="D75" s="16"/>
      <c r="E75" s="16"/>
      <c r="F75" s="16"/>
      <c r="G75" s="16"/>
      <c r="H75" s="16"/>
    </row>
    <row r="76" ht="15" customHeight="1">
      <c r="B76" s="44" t="s">
        <v>693</v>
      </c>
      <c r="C76" s="16"/>
      <c r="D76" s="16"/>
      <c r="E76" s="16"/>
      <c r="F76" s="16"/>
      <c r="G76" s="16"/>
      <c r="H76" s="16"/>
    </row>
    <row r="77" ht="15" customHeight="1">
      <c r="B77" s="44" t="s">
        <v>694</v>
      </c>
      <c r="C77" s="16"/>
      <c r="D77" s="16"/>
      <c r="E77" s="16"/>
      <c r="F77" s="16"/>
      <c r="G77" s="16"/>
      <c r="H77" s="16"/>
    </row>
    <row r="78" ht="15" customHeight="1">
      <c r="B78" s="44" t="s">
        <v>695</v>
      </c>
      <c r="C78" s="55">
        <v>27.52</v>
      </c>
      <c r="D78" s="20"/>
      <c r="E78" s="20"/>
      <c r="F78" s="20"/>
      <c r="G78" s="20"/>
      <c r="H78" s="20"/>
    </row>
    <row r="79" ht="15" customHeight="1">
      <c r="B79" s="44" t="s">
        <v>696</v>
      </c>
      <c r="C79" s="55">
        <v>-22</v>
      </c>
      <c r="D79" s="20"/>
      <c r="E79" s="20"/>
      <c r="F79" s="20"/>
      <c r="G79" s="20"/>
      <c r="H79" s="20"/>
    </row>
    <row r="80" ht="15" customHeight="1">
      <c r="B80" s="44" t="s">
        <v>697</v>
      </c>
      <c r="C80" s="55">
        <v>1161</v>
      </c>
      <c r="D80" s="20"/>
      <c r="E80" s="20"/>
      <c r="F80" s="20"/>
      <c r="G80" s="20"/>
      <c r="H80" s="20"/>
    </row>
    <row r="81" ht="15" customHeight="1">
      <c r="B81" s="44" t="s">
        <v>698</v>
      </c>
      <c r="C81" s="16"/>
      <c r="D81" s="16"/>
      <c r="E81" s="16"/>
      <c r="F81" s="16"/>
      <c r="G81" s="16"/>
      <c r="H81" s="16"/>
    </row>
    <row r="82" ht="15" customHeight="1">
      <c r="B82" s="44" t="s">
        <v>699</v>
      </c>
      <c r="C82" s="55">
        <v>-43.66</v>
      </c>
      <c r="D82" s="20"/>
      <c r="E82" s="20"/>
      <c r="F82" s="20"/>
      <c r="G82" s="20"/>
      <c r="H82" s="20"/>
    </row>
    <row r="83" ht="15" customHeight="1">
      <c r="B83" s="44" t="s">
        <v>700</v>
      </c>
      <c r="C83" s="16"/>
      <c r="D83" s="16"/>
      <c r="E83" s="16"/>
      <c r="F83" s="16"/>
      <c r="G83" s="16"/>
      <c r="H83" s="16"/>
    </row>
    <row r="84" ht="15" customHeight="1">
      <c r="B84" s="44" t="s">
        <v>701</v>
      </c>
      <c r="C84" s="16"/>
      <c r="D84" s="16"/>
      <c r="E84" s="16"/>
      <c r="F84" s="16"/>
      <c r="G84" s="16"/>
      <c r="H84" s="16"/>
    </row>
    <row r="85" ht="15" customHeight="1">
      <c r="B85" s="44" t="s">
        <v>702</v>
      </c>
      <c r="C85" s="16"/>
      <c r="D85" s="16"/>
      <c r="E85" s="16"/>
      <c r="F85" s="16"/>
      <c r="G85" s="16"/>
      <c r="H85" s="16"/>
    </row>
    <row r="86" ht="15" customHeight="1">
      <c r="B86" s="44" t="s">
        <v>703</v>
      </c>
      <c r="C86" s="67">
        <v>292.94</v>
      </c>
      <c r="D86" s="28"/>
      <c r="E86" s="28"/>
      <c r="F86" s="28"/>
      <c r="G86" s="28"/>
      <c r="H86" s="28"/>
    </row>
    <row r="87" ht="15" customHeight="1">
      <c r="B87" s="44" t="s">
        <v>704</v>
      </c>
      <c r="C87" s="67">
        <v>297.5</v>
      </c>
      <c r="D87" s="28"/>
      <c r="E87" s="28"/>
      <c r="F87" s="28"/>
      <c r="G87" s="28"/>
      <c r="H87" s="28"/>
    </row>
    <row r="88" ht="15" customHeight="1">
      <c r="B88" s="44" t="s">
        <v>705</v>
      </c>
      <c r="C88" s="67">
        <v>337</v>
      </c>
      <c r="D88" s="28"/>
      <c r="E88" s="28"/>
      <c r="F88" s="28"/>
      <c r="G88" s="28"/>
      <c r="H88" s="28"/>
    </row>
    <row r="89" ht="15" customHeight="1">
      <c r="B89" s="44" t="s">
        <v>706</v>
      </c>
      <c r="C89" s="67">
        <v>218</v>
      </c>
      <c r="D89" s="28"/>
      <c r="E89" s="28"/>
      <c r="F89" s="28"/>
      <c r="G89" s="28"/>
      <c r="H89" s="28"/>
    </row>
    <row r="90" ht="15" customHeight="1">
      <c r="B90" s="44" t="s">
        <v>707</v>
      </c>
      <c r="C90" s="67">
        <v>32.49</v>
      </c>
      <c r="D90" s="28"/>
      <c r="E90" s="28"/>
      <c r="F90" s="28"/>
      <c r="G90" s="28"/>
      <c r="H90" s="28"/>
    </row>
    <row r="91" ht="15" customHeight="1">
      <c r="B91" s="44" t="s">
        <v>708</v>
      </c>
      <c r="C91" s="34">
        <v>16</v>
      </c>
      <c r="D91" s="38"/>
      <c r="E91" s="38"/>
      <c r="F91" s="38"/>
      <c r="G91" s="38"/>
      <c r="H91" s="38"/>
    </row>
    <row r="92" ht="15" customHeight="1">
      <c r="B92" s="44" t="s">
        <v>709</v>
      </c>
      <c r="C92" s="16" t="s">
        <v>710</v>
      </c>
      <c r="D92" s="16"/>
      <c r="E92" s="16"/>
      <c r="F92" s="16"/>
      <c r="G92" s="16"/>
      <c r="H92" s="16"/>
    </row>
    <row r="93" ht="15" customHeight="1">
      <c r="B93" s="44" t="s">
        <v>711</v>
      </c>
      <c r="C93" s="80">
        <v>2.53</v>
      </c>
      <c r="D93" s="81"/>
      <c r="E93" s="81"/>
      <c r="F93" s="81"/>
      <c r="G93" s="81"/>
      <c r="H93" s="81"/>
    </row>
    <row r="94" ht="15" customHeight="1">
      <c r="B94" s="44" t="s">
        <v>712</v>
      </c>
      <c r="C94" s="67">
        <v>293.87</v>
      </c>
      <c r="D94" s="28"/>
      <c r="E94" s="28"/>
      <c r="F94" s="28"/>
      <c r="G94" s="28"/>
      <c r="H94" s="28"/>
    </row>
    <row r="95" ht="15" customHeight="1">
      <c r="B95" s="44" t="s">
        <v>713</v>
      </c>
      <c r="C95" s="15" t="s">
        <v>714</v>
      </c>
      <c r="D95" s="16"/>
      <c r="E95" s="16"/>
      <c r="F95" s="16"/>
      <c r="G95" s="16"/>
      <c r="H95" s="16"/>
    </row>
    <row r="96" ht="15" customHeight="1">
      <c r="B96" s="44" t="s">
        <v>715</v>
      </c>
      <c r="C96" s="16" t="s">
        <v>483</v>
      </c>
      <c r="D96" s="16"/>
      <c r="E96" s="16"/>
      <c r="F96" s="16"/>
      <c r="G96" s="16"/>
      <c r="H96" s="16"/>
    </row>
    <row r="97" ht="15" customHeight="1">
      <c r="B97" s="44" t="s">
        <v>716</v>
      </c>
      <c r="C97" s="15" t="s">
        <v>717</v>
      </c>
      <c r="D97" s="16"/>
      <c r="E97" s="16"/>
      <c r="F97" s="16"/>
      <c r="G97" s="16"/>
      <c r="H97" s="16"/>
    </row>
    <row r="99" ht="15" customHeight="1">
      <c r="B99" s="17" t="s">
        <v>718</v>
      </c>
    </row>
    <row r="100" ht="15" customHeight="1">
      <c r="B100" s="44" t="s">
        <v>719</v>
      </c>
      <c r="C100" s="15" t="s">
        <v>720</v>
      </c>
      <c r="D100" s="16"/>
      <c r="E100" s="16"/>
      <c r="F100" s="16"/>
      <c r="G100" s="16"/>
      <c r="H100" s="16"/>
    </row>
    <row r="101" ht="15" customHeight="1">
      <c r="B101" s="44" t="s">
        <v>721</v>
      </c>
      <c r="C101" s="15" t="s">
        <v>722</v>
      </c>
      <c r="D101" s="16"/>
      <c r="E101" s="16"/>
      <c r="F101" s="16"/>
      <c r="G101" s="16"/>
      <c r="H101" s="16"/>
    </row>
    <row r="103" ht="15" customHeight="1">
      <c r="B103" s="17" t="s">
        <v>723</v>
      </c>
      <c r="I103" s="33" t="s">
        <v>724</v>
      </c>
    </row>
    <row r="104" ht="15" customHeight="1">
      <c r="B104" s="69" t="s">
        <v>725</v>
      </c>
      <c r="C104" s="18" t="s">
        <v>726</v>
      </c>
      <c r="D104" s="18" t="s">
        <v>727</v>
      </c>
      <c r="E104" s="18" t="s">
        <v>5</v>
      </c>
      <c r="F104" s="18" t="s">
        <v>6</v>
      </c>
      <c r="G104" s="18" t="s">
        <v>8</v>
      </c>
      <c r="H104" s="18" t="s">
        <v>9</v>
      </c>
    </row>
    <row r="105" ht="15" customHeight="1">
      <c r="B105" s="44" t="s">
        <v>620</v>
      </c>
      <c r="C105" s="16" t="s">
        <v>728</v>
      </c>
      <c r="D105" s="16" t="s">
        <v>729</v>
      </c>
      <c r="E105" s="16" t="s">
        <v>730</v>
      </c>
      <c r="F105" s="16" t="s">
        <v>731</v>
      </c>
      <c r="G105" s="16" t="s">
        <v>732</v>
      </c>
      <c r="H105" s="16" t="s">
        <v>733</v>
      </c>
    </row>
    <row r="106" ht="15" customHeight="1">
      <c r="B106" s="44" t="s">
        <v>734</v>
      </c>
      <c r="C106" s="16" t="s">
        <v>735</v>
      </c>
      <c r="D106" s="16" t="s">
        <v>453</v>
      </c>
      <c r="E106" s="16" t="s">
        <v>491</v>
      </c>
      <c r="F106" s="16" t="s">
        <v>458</v>
      </c>
      <c r="G106" s="16" t="s">
        <v>507</v>
      </c>
      <c r="H106" s="16" t="s">
        <v>465</v>
      </c>
    </row>
    <row r="107" ht="15" customHeight="1">
      <c r="B107" s="44" t="s">
        <v>736</v>
      </c>
      <c r="C107" s="67">
        <v>2.81</v>
      </c>
      <c r="D107" s="67">
        <v>2.92</v>
      </c>
      <c r="E107" s="67">
        <v>2.63</v>
      </c>
      <c r="F107" s="67">
        <v>2.74</v>
      </c>
      <c r="G107" s="67">
        <v>3.37</v>
      </c>
      <c r="H107" s="67">
        <v>2.91</v>
      </c>
    </row>
    <row r="108" ht="15" customHeight="1">
      <c r="B108" s="44" t="s">
        <v>737</v>
      </c>
      <c r="C108" s="67">
        <v>2.8</v>
      </c>
      <c r="D108" s="67">
        <v>2.96</v>
      </c>
      <c r="E108" s="67">
        <v>2.68</v>
      </c>
      <c r="F108" s="67">
        <v>2.77</v>
      </c>
      <c r="G108" s="67">
        <v>3.36</v>
      </c>
      <c r="H108" s="67">
        <v>2.99</v>
      </c>
    </row>
    <row r="109" ht="15" customHeight="1">
      <c r="B109" s="44" t="s">
        <v>738</v>
      </c>
      <c r="C109" s="67">
        <v>2.68</v>
      </c>
      <c r="D109" s="67">
        <v>2.8</v>
      </c>
      <c r="E109" s="67">
        <v>2.46</v>
      </c>
      <c r="F109" s="67">
        <v>2.63</v>
      </c>
      <c r="G109" s="67">
        <v>3.29</v>
      </c>
      <c r="H109" s="67">
        <v>2.78</v>
      </c>
    </row>
    <row r="110" ht="15" customHeight="1">
      <c r="B110" s="44" t="s">
        <v>739</v>
      </c>
      <c r="C110" s="67">
        <v>2.62</v>
      </c>
      <c r="D110" s="67">
        <v>2.81</v>
      </c>
      <c r="E110" s="67">
        <v>2.49</v>
      </c>
      <c r="F110" s="67">
        <v>3.24</v>
      </c>
      <c r="G110" s="67">
        <v>3.18</v>
      </c>
      <c r="H110" s="67">
        <v>2.88</v>
      </c>
    </row>
    <row r="111" ht="15" customHeight="1">
      <c r="B111" s="44" t="s">
        <v>740</v>
      </c>
      <c r="C111" s="55">
        <v>1661.94</v>
      </c>
      <c r="D111" s="55">
        <v>1682.71</v>
      </c>
      <c r="E111" s="55">
        <v>1529.9</v>
      </c>
      <c r="F111" s="55">
        <v>1643.86</v>
      </c>
      <c r="G111" s="55">
        <v>1901.58</v>
      </c>
      <c r="H111" s="55">
        <v>1682.67</v>
      </c>
    </row>
    <row r="112" ht="15" customHeight="1">
      <c r="B112" s="44" t="s">
        <v>741</v>
      </c>
      <c r="C112" s="55">
        <v>1642.3</v>
      </c>
      <c r="D112" s="55">
        <v>1692</v>
      </c>
      <c r="E112" s="55">
        <v>1537.6</v>
      </c>
      <c r="F112" s="55">
        <v>1648.7</v>
      </c>
      <c r="G112" s="55">
        <v>1880.1</v>
      </c>
      <c r="H112" s="55">
        <v>1706.2</v>
      </c>
    </row>
    <row r="113" ht="15" customHeight="1">
      <c r="B113" s="37" t="s">
        <v>742</v>
      </c>
      <c r="C113" s="27">
        <f t="shared" si="0" ref="C113:H115">C108-C107</f>
        <v>-0.010000000000000231</v>
      </c>
      <c r="D113" s="27">
        <f t="shared" si="0"/>
        <v>0.040000000000000036</v>
      </c>
      <c r="E113" s="27">
        <f t="shared" si="0"/>
        <v>0.050000000000000266</v>
      </c>
      <c r="F113" s="27">
        <f t="shared" si="0"/>
        <v>0.029999999999999805</v>
      </c>
      <c r="G113" s="27">
        <f t="shared" si="0"/>
        <v>-0.010000000000000231</v>
      </c>
      <c r="H113" s="27">
        <f t="shared" si="0"/>
        <v>0.08000000000000007</v>
      </c>
    </row>
    <row r="114" ht="15" customHeight="1">
      <c r="B114" s="37" t="s">
        <v>743</v>
      </c>
      <c r="C114" s="38">
        <f t="shared" si="1" ref="C114:H114">IF(C108&gt;C107,1,0)</f>
        <v>0</v>
      </c>
      <c r="D114" s="38">
        <f t="shared" si="1"/>
        <v>1</v>
      </c>
      <c r="E114" s="38">
        <f t="shared" si="1"/>
        <v>1</v>
      </c>
      <c r="F114" s="38">
        <f t="shared" si="1"/>
        <v>1</v>
      </c>
      <c r="G114" s="38">
        <f t="shared" si="1"/>
        <v>0</v>
      </c>
      <c r="H114" s="38">
        <f t="shared" si="1"/>
        <v>1</v>
      </c>
    </row>
    <row r="115" ht="15" customHeight="1">
      <c r="B115" s="37" t="s">
        <v>744</v>
      </c>
      <c r="C115" s="27">
        <f t="shared" si="0"/>
        <v>-0.06000000000000005</v>
      </c>
      <c r="D115" s="27">
        <f t="shared" si="0"/>
        <v>0.010000000000000231</v>
      </c>
      <c r="E115" s="27">
        <f t="shared" si="0"/>
        <v>0.03000000000000025</v>
      </c>
      <c r="F115" s="27">
        <f t="shared" si="0"/>
        <v>0.6100000000000003</v>
      </c>
      <c r="G115" s="27">
        <f t="shared" si="0"/>
        <v>-0.10999999999999988</v>
      </c>
      <c r="H115" s="27">
        <f t="shared" si="0"/>
        <v>0.10000000000000009</v>
      </c>
    </row>
    <row r="116" ht="15" customHeight="1">
      <c r="B116" s="21" t="s">
        <v>745</v>
      </c>
      <c r="C116" s="22">
        <f t="shared" si="2" ref="C116:H116">C112/C111-1</f>
        <v>-0.011817514471039958</v>
      </c>
      <c r="D116" s="22">
        <f t="shared" si="2"/>
        <v>0.005520856237854366</v>
      </c>
      <c r="E116" s="22">
        <f t="shared" si="2"/>
        <v>0.005033008693378527</v>
      </c>
      <c r="F116" s="22">
        <f t="shared" si="2"/>
        <v>0.002944289659703392</v>
      </c>
      <c r="G116" s="22">
        <f t="shared" si="2"/>
        <v>-0.011295869750418075</v>
      </c>
      <c r="H116" s="22">
        <f t="shared" si="2"/>
        <v>0.013983728241425908</v>
      </c>
    </row>
    <row r="117" ht="15" customHeight="1">
      <c r="B117" s="37" t="s">
        <v>746</v>
      </c>
      <c r="C117" s="28">
        <f t="shared" si="3" ref="C117:D117">F209</f>
        <v>2.8</v>
      </c>
      <c r="D117" s="28">
        <f t="shared" si="3"/>
        <v>2.96</v>
      </c>
      <c r="E117" s="26">
        <f>'Income Statement'!C147</f>
        <v>2.680469005776562</v>
      </c>
      <c r="F117" s="26">
        <f>'Income Statement'!D147</f>
        <v>2.769596344588086</v>
      </c>
      <c r="G117" s="26">
        <f>'Income Statement'!F147</f>
        <v>3.3592321755027417</v>
      </c>
      <c r="H117" s="26">
        <f>'Income Statement'!G147</f>
        <v>2.9940600417402474</v>
      </c>
    </row>
    <row r="118" ht="15" customHeight="1">
      <c r="B118" s="68" t="s">
        <v>747</v>
      </c>
      <c r="C118" s="27">
        <f t="shared" si="4" ref="C118:H122">C108-C117</f>
        <v>0</v>
      </c>
      <c r="D118" s="27">
        <f t="shared" si="4"/>
        <v>0</v>
      </c>
      <c r="E118" s="27">
        <f t="shared" si="4"/>
        <v>-0.00046900577656172615</v>
      </c>
      <c r="F118" s="27">
        <f t="shared" si="4"/>
        <v>0.00040365541191400567</v>
      </c>
      <c r="G118" s="27">
        <f t="shared" si="4"/>
        <v>0.0007678244972582071</v>
      </c>
      <c r="H118" s="27">
        <f t="shared" si="4"/>
        <v>-0.004060041740247211</v>
      </c>
    </row>
    <row r="119" ht="15" customHeight="1">
      <c r="B119" s="37" t="s">
        <v>748</v>
      </c>
      <c r="C119" s="28">
        <f t="shared" si="5" ref="C119:D119">F202</f>
        <v>2.62</v>
      </c>
      <c r="D119" s="28">
        <f t="shared" si="5"/>
        <v>2.81</v>
      </c>
      <c r="E119" s="26">
        <f>'Income Statement'!C95</f>
        <v>2.49</v>
      </c>
      <c r="F119" s="26">
        <f>'Income Statement'!D95</f>
        <v>3.24</v>
      </c>
      <c r="G119" s="26">
        <f>'Income Statement'!F95</f>
        <v>3.18</v>
      </c>
      <c r="H119" s="26">
        <f>'Income Statement'!G95</f>
        <v>2.88</v>
      </c>
    </row>
    <row r="120" ht="15" customHeight="1">
      <c r="B120" s="68" t="s">
        <v>749</v>
      </c>
      <c r="C120" s="27">
        <f t="shared" si="4"/>
        <v>0</v>
      </c>
      <c r="D120" s="27">
        <f t="shared" si="4"/>
        <v>0</v>
      </c>
      <c r="E120" s="27">
        <f t="shared" si="4"/>
        <v>0</v>
      </c>
      <c r="F120" s="27">
        <f t="shared" si="4"/>
        <v>0</v>
      </c>
      <c r="G120" s="27">
        <f t="shared" si="4"/>
        <v>0</v>
      </c>
      <c r="H120" s="27">
        <f t="shared" si="4"/>
        <v>0</v>
      </c>
    </row>
    <row r="121" ht="15" customHeight="1">
      <c r="B121" s="37" t="s">
        <v>750</v>
      </c>
      <c r="C121" s="20">
        <f t="shared" si="6" ref="C121:D121">F154</f>
        <v>1642.3</v>
      </c>
      <c r="D121" s="20">
        <f t="shared" si="6"/>
        <v>1692</v>
      </c>
      <c r="E121" s="19">
        <f>'Income Statement'!C16</f>
        <v>1537.6</v>
      </c>
      <c r="F121" s="19">
        <f>'Income Statement'!D16</f>
        <v>1648.6999999999998</v>
      </c>
      <c r="G121" s="19">
        <f>'Income Statement'!F16</f>
        <v>1880.1000000000001</v>
      </c>
      <c r="H121" s="19">
        <f>'Income Statement'!G16</f>
        <v>1706.1999999999998</v>
      </c>
    </row>
    <row r="122" ht="15" customHeight="1">
      <c r="B122" s="68" t="s">
        <v>751</v>
      </c>
      <c r="C122" s="20">
        <f t="shared" si="4"/>
        <v>0</v>
      </c>
      <c r="D122" s="20">
        <f t="shared" si="4"/>
        <v>0</v>
      </c>
      <c r="E122" s="20">
        <f t="shared" si="4"/>
        <v>0</v>
      </c>
      <c r="F122" s="20">
        <f t="shared" si="4"/>
        <v>0</v>
      </c>
      <c r="G122" s="20">
        <f t="shared" si="4"/>
        <v>0</v>
      </c>
      <c r="H122" s="20">
        <f t="shared" si="4"/>
        <v>0</v>
      </c>
    </row>
    <row r="124" ht="15" customHeight="1">
      <c r="B124" s="17" t="s">
        <v>752</v>
      </c>
      <c r="I124" s="33" t="s">
        <v>753</v>
      </c>
    </row>
    <row r="125" ht="15" customHeight="1">
      <c r="B125" s="44" t="s">
        <v>754</v>
      </c>
      <c r="C125" s="55">
        <v>105.67</v>
      </c>
      <c r="D125" s="20"/>
      <c r="E125" s="20"/>
      <c r="F125" s="20"/>
      <c r="G125" s="20"/>
      <c r="H125" s="20"/>
    </row>
    <row r="126" ht="15" customHeight="1">
      <c r="B126" s="44" t="s">
        <v>755</v>
      </c>
      <c r="C126" s="15" t="s">
        <v>756</v>
      </c>
      <c r="D126" s="16"/>
      <c r="E126" s="16"/>
      <c r="F126" s="16"/>
      <c r="G126" s="16"/>
      <c r="H126" s="16"/>
    </row>
    <row r="127" ht="15" customHeight="1">
      <c r="B127" s="44" t="s">
        <v>757</v>
      </c>
      <c r="C127" s="16" t="s">
        <v>758</v>
      </c>
      <c r="D127" s="16"/>
      <c r="E127" s="16"/>
      <c r="F127" s="16"/>
      <c r="G127" s="16"/>
      <c r="H127" s="16"/>
    </row>
    <row r="128" ht="15" customHeight="1">
      <c r="B128" s="45" t="s">
        <v>759</v>
      </c>
      <c r="C128" s="50">
        <v>0.78</v>
      </c>
      <c r="D128" s="22"/>
      <c r="E128" s="22"/>
      <c r="F128" s="22"/>
      <c r="G128" s="22"/>
      <c r="H128" s="22"/>
    </row>
    <row r="129" ht="15" customHeight="1">
      <c r="B129" s="44" t="s">
        <v>760</v>
      </c>
      <c r="C129" s="38">
        <f>SUM(C114:H114)</f>
        <v>4</v>
      </c>
      <c r="D129" s="38"/>
      <c r="E129" s="38"/>
      <c r="F129" s="38"/>
      <c r="G129" s="38"/>
      <c r="H129" s="38"/>
    </row>
    <row r="130" ht="15" customHeight="1">
      <c r="B130" s="44" t="s">
        <v>761</v>
      </c>
      <c r="C130" s="38">
        <f>COUNT(C108:H108)</f>
        <v>6</v>
      </c>
      <c r="D130" s="38"/>
      <c r="E130" s="38"/>
      <c r="F130" s="38"/>
      <c r="G130" s="38"/>
      <c r="H130" s="38"/>
    </row>
    <row r="131" ht="15" customHeight="1">
      <c r="B131" s="44" t="s">
        <v>762</v>
      </c>
      <c r="C131" s="34">
        <v>8</v>
      </c>
      <c r="D131" s="38"/>
      <c r="E131" s="38"/>
      <c r="F131" s="38"/>
      <c r="G131" s="38"/>
      <c r="H131" s="38"/>
    </row>
    <row r="132" ht="15" customHeight="1">
      <c r="B132" s="45" t="s">
        <v>763</v>
      </c>
      <c r="C132" s="22">
        <f>(C131*C128+C129)/(C131+C130)</f>
        <v>0.7314285714285714</v>
      </c>
      <c r="D132" s="22"/>
      <c r="E132" s="22"/>
      <c r="F132" s="22"/>
      <c r="G132" s="22"/>
      <c r="H132" s="22"/>
    </row>
    <row r="133" ht="15" customHeight="1">
      <c r="B133" s="69" t="s">
        <v>764</v>
      </c>
      <c r="C133" s="82">
        <v>0.72</v>
      </c>
      <c r="D133" s="83"/>
      <c r="E133" s="83"/>
      <c r="F133" s="83"/>
      <c r="G133" s="83"/>
      <c r="H133" s="83"/>
      <c r="I133" s="15" t="s">
        <v>765</v>
      </c>
    </row>
    <row r="134" ht="15" customHeight="1">
      <c r="B134" s="45" t="s">
        <v>766</v>
      </c>
      <c r="C134" s="22">
        <f>C133-C132</f>
        <v>-0.011428571428571455</v>
      </c>
      <c r="D134" s="22"/>
      <c r="E134" s="22"/>
      <c r="F134" s="22"/>
      <c r="G134" s="22"/>
      <c r="H134" s="22"/>
    </row>
    <row r="135" ht="15" customHeight="1">
      <c r="B135" s="44" t="s">
        <v>767</v>
      </c>
      <c r="C135" s="27">
        <f>AVERAGE(C113:H113)</f>
        <v>0.029999999999999954</v>
      </c>
      <c r="D135" s="28"/>
      <c r="E135" s="28"/>
      <c r="F135" s="28"/>
      <c r="G135" s="28"/>
      <c r="H135" s="28"/>
    </row>
    <row r="136" ht="15" customHeight="1">
      <c r="B136" s="44" t="s">
        <v>768</v>
      </c>
      <c r="C136" s="28">
        <f>STDEV(C113:H113)</f>
        <v>0.03521363372331818</v>
      </c>
      <c r="D136" s="28"/>
      <c r="E136" s="28"/>
      <c r="F136" s="28"/>
      <c r="G136" s="28"/>
      <c r="H136" s="28"/>
    </row>
    <row r="138" ht="15" customHeight="1">
      <c r="B138" s="17" t="s">
        <v>769</v>
      </c>
      <c r="I138" s="33" t="s">
        <v>770</v>
      </c>
    </row>
    <row r="139" ht="15" customHeight="1">
      <c r="B139" s="69" t="s">
        <v>771</v>
      </c>
      <c r="C139" s="18" t="s">
        <v>772</v>
      </c>
      <c r="D139" s="18" t="s">
        <v>773</v>
      </c>
      <c r="E139" s="18" t="s">
        <v>774</v>
      </c>
      <c r="F139" s="18" t="s">
        <v>726</v>
      </c>
      <c r="G139" s="18" t="s">
        <v>727</v>
      </c>
      <c r="H139" s="18" t="s">
        <v>775</v>
      </c>
    </row>
    <row r="140" ht="15" customHeight="1">
      <c r="B140" s="44" t="s">
        <v>776</v>
      </c>
      <c r="C140" s="55">
        <v>445.8</v>
      </c>
      <c r="D140" s="20">
        <f t="shared" si="7" ref="D140:D193">E140-H140</f>
        <v>410.5</v>
      </c>
      <c r="E140" s="55">
        <v>1659.6</v>
      </c>
      <c r="F140" s="55">
        <v>436.3</v>
      </c>
      <c r="G140" s="55">
        <v>461.6</v>
      </c>
      <c r="H140" s="55">
        <v>1249.1</v>
      </c>
    </row>
    <row r="141" ht="15" customHeight="1">
      <c r="B141" s="44" t="s">
        <v>777</v>
      </c>
      <c r="C141" s="55">
        <v>291.8</v>
      </c>
      <c r="D141" s="20">
        <f t="shared" si="7"/>
        <v>267.19999999999993</v>
      </c>
      <c r="E141" s="55">
        <v>1095.3</v>
      </c>
      <c r="F141" s="55">
        <v>304.2</v>
      </c>
      <c r="G141" s="55">
        <v>301.6</v>
      </c>
      <c r="H141" s="55">
        <v>828.1</v>
      </c>
    </row>
    <row r="142" ht="15" customHeight="1">
      <c r="B142" s="44" t="s">
        <v>778</v>
      </c>
      <c r="C142" s="55">
        <v>51.9</v>
      </c>
      <c r="D142" s="20">
        <f t="shared" si="7"/>
        <v>48.30000000000001</v>
      </c>
      <c r="E142" s="55">
        <v>198.5</v>
      </c>
      <c r="F142" s="55">
        <v>53.4</v>
      </c>
      <c r="G142" s="55">
        <v>52.4</v>
      </c>
      <c r="H142" s="55">
        <v>150.2</v>
      </c>
    </row>
    <row r="143" ht="15" customHeight="1">
      <c r="B143" s="44" t="s">
        <v>779</v>
      </c>
      <c r="C143" s="55">
        <v>204.9</v>
      </c>
      <c r="D143" s="20">
        <f t="shared" si="7"/>
        <v>199.5</v>
      </c>
      <c r="E143" s="55">
        <v>800.5</v>
      </c>
      <c r="F143" s="55">
        <v>216.4</v>
      </c>
      <c r="G143" s="55">
        <v>217.4</v>
      </c>
      <c r="H143" s="55">
        <v>601</v>
      </c>
    </row>
    <row r="144" ht="15" customHeight="1">
      <c r="B144" s="44" t="s">
        <v>780</v>
      </c>
      <c r="C144" s="55">
        <v>139.1</v>
      </c>
      <c r="D144" s="20">
        <f t="shared" si="7"/>
        <v>152.60000000000002</v>
      </c>
      <c r="E144" s="55">
        <v>585.1</v>
      </c>
      <c r="F144" s="55">
        <v>164.3</v>
      </c>
      <c r="G144" s="55">
        <v>174.7</v>
      </c>
      <c r="H144" s="55">
        <v>432.5</v>
      </c>
    </row>
    <row r="145" ht="15" customHeight="1">
      <c r="B145" s="44" t="s">
        <v>781</v>
      </c>
      <c r="C145" s="55">
        <v>71.8</v>
      </c>
      <c r="D145" s="20">
        <f t="shared" si="7"/>
        <v>65.9</v>
      </c>
      <c r="E145" s="55">
        <v>284.3</v>
      </c>
      <c r="F145" s="55">
        <v>70.9</v>
      </c>
      <c r="G145" s="55">
        <v>85.1</v>
      </c>
      <c r="H145" s="55">
        <v>218.4</v>
      </c>
    </row>
    <row r="146" ht="15" customHeight="1">
      <c r="B146" s="44" t="s">
        <v>782</v>
      </c>
      <c r="C146" s="55">
        <v>33.3</v>
      </c>
      <c r="D146" s="20">
        <f t="shared" si="7"/>
        <v>36.19999999999999</v>
      </c>
      <c r="E146" s="55">
        <v>145.1</v>
      </c>
      <c r="F146" s="55">
        <v>35.9</v>
      </c>
      <c r="G146" s="55">
        <v>37.1</v>
      </c>
      <c r="H146" s="55">
        <v>108.9</v>
      </c>
    </row>
    <row r="147" ht="15" customHeight="1">
      <c r="B147" s="44" t="s">
        <v>783</v>
      </c>
      <c r="C147" s="55">
        <v>35.2</v>
      </c>
      <c r="D147" s="20">
        <f t="shared" si="7"/>
        <v>32.599999999999994</v>
      </c>
      <c r="E147" s="55">
        <v>131.6</v>
      </c>
      <c r="F147" s="55">
        <v>35.1</v>
      </c>
      <c r="G147" s="55">
        <v>37.5</v>
      </c>
      <c r="H147" s="55">
        <v>99</v>
      </c>
    </row>
    <row r="148" ht="15" customHeight="1">
      <c r="B148" s="44" t="s">
        <v>784</v>
      </c>
      <c r="C148" s="55">
        <v>23.3</v>
      </c>
      <c r="D148" s="20">
        <f t="shared" si="7"/>
        <v>19.5</v>
      </c>
      <c r="E148" s="55">
        <v>88.2</v>
      </c>
      <c r="F148" s="55">
        <v>20.8</v>
      </c>
      <c r="G148" s="55">
        <v>20.6</v>
      </c>
      <c r="H148" s="55">
        <v>68.7</v>
      </c>
    </row>
    <row r="149" ht="15" customHeight="1">
      <c r="B149" s="69" t="s">
        <v>166</v>
      </c>
      <c r="C149" s="57">
        <f t="shared" si="8" ref="C149:H149">SUM(C140:C148)</f>
        <v>1297.1000000000001</v>
      </c>
      <c r="D149" s="57">
        <f t="shared" si="8"/>
        <v>1232.3</v>
      </c>
      <c r="E149" s="57">
        <f t="shared" si="8"/>
        <v>4988.2</v>
      </c>
      <c r="F149" s="57">
        <f t="shared" si="8"/>
        <v>1337.3</v>
      </c>
      <c r="G149" s="57">
        <f t="shared" si="8"/>
        <v>1388</v>
      </c>
      <c r="H149" s="57">
        <f t="shared" si="8"/>
        <v>3755.9</v>
      </c>
    </row>
    <row r="150" ht="15" customHeight="1">
      <c r="B150" s="69" t="s">
        <v>785</v>
      </c>
      <c r="C150" s="57">
        <f t="shared" si="9" ref="C150:H150">C146+C147+C148</f>
        <v>91.8</v>
      </c>
      <c r="D150" s="57">
        <f t="shared" si="9"/>
        <v>88.29999999999998</v>
      </c>
      <c r="E150" s="57">
        <f t="shared" si="9"/>
        <v>364.9</v>
      </c>
      <c r="F150" s="57">
        <f t="shared" si="9"/>
        <v>91.8</v>
      </c>
      <c r="G150" s="57">
        <f t="shared" si="9"/>
        <v>95.19999999999999</v>
      </c>
      <c r="H150" s="57">
        <f t="shared" si="9"/>
        <v>276.6</v>
      </c>
    </row>
    <row r="151" ht="15" customHeight="1">
      <c r="B151" s="69" t="s">
        <v>786</v>
      </c>
      <c r="C151" s="57">
        <f t="shared" si="10" ref="C151:H151">C149-C146-C147-C148</f>
        <v>1205.3000000000002</v>
      </c>
      <c r="D151" s="57">
        <f t="shared" si="10"/>
        <v>1144</v>
      </c>
      <c r="E151" s="57">
        <f t="shared" si="10"/>
        <v>4623.299999999999</v>
      </c>
      <c r="F151" s="57">
        <f t="shared" si="10"/>
        <v>1245.5</v>
      </c>
      <c r="G151" s="57">
        <f t="shared" si="10"/>
        <v>1292.8000000000002</v>
      </c>
      <c r="H151" s="57">
        <f t="shared" si="10"/>
        <v>3479.3</v>
      </c>
    </row>
    <row r="152" ht="15" customHeight="1">
      <c r="B152" s="44" t="s">
        <v>170</v>
      </c>
      <c r="C152" s="55">
        <v>178.2</v>
      </c>
      <c r="D152" s="55">
        <v>181.6</v>
      </c>
      <c r="E152" s="55">
        <v>710.2</v>
      </c>
      <c r="F152" s="55">
        <v>194.5</v>
      </c>
      <c r="G152" s="55">
        <v>198.1</v>
      </c>
      <c r="H152" s="20"/>
    </row>
    <row r="153" ht="15" customHeight="1">
      <c r="B153" s="44" t="s">
        <v>178</v>
      </c>
      <c r="C153" s="55">
        <v>109.1</v>
      </c>
      <c r="D153" s="55">
        <v>111.4</v>
      </c>
      <c r="E153" s="55">
        <v>431.7</v>
      </c>
      <c r="F153" s="55">
        <v>110.5</v>
      </c>
      <c r="G153" s="55">
        <v>105.9</v>
      </c>
      <c r="H153" s="20"/>
    </row>
    <row r="154" ht="15" customHeight="1">
      <c r="B154" s="69" t="s">
        <v>185</v>
      </c>
      <c r="C154" s="57">
        <f t="shared" si="11" ref="C154:G154">C149+C152+C153</f>
        <v>1584.4</v>
      </c>
      <c r="D154" s="57">
        <f t="shared" si="11"/>
        <v>1525.3</v>
      </c>
      <c r="E154" s="57">
        <f t="shared" si="11"/>
        <v>6130.099999999999</v>
      </c>
      <c r="F154" s="57">
        <f t="shared" si="11"/>
        <v>1642.3</v>
      </c>
      <c r="G154" s="57">
        <f t="shared" si="11"/>
        <v>1692</v>
      </c>
      <c r="H154" s="57"/>
    </row>
    <row r="155" ht="15" customHeight="1">
      <c r="B155" s="44" t="s">
        <v>65</v>
      </c>
      <c r="C155" s="34">
        <v>64</v>
      </c>
      <c r="D155" s="34">
        <v>64</v>
      </c>
      <c r="E155" s="38"/>
      <c r="F155" s="34">
        <v>61</v>
      </c>
      <c r="G155" s="34">
        <v>62</v>
      </c>
      <c r="H155" s="38"/>
    </row>
    <row r="156" ht="15" customHeight="1">
      <c r="B156" s="44" t="s">
        <v>787</v>
      </c>
      <c r="C156" s="34">
        <v>14881</v>
      </c>
      <c r="D156" s="34">
        <v>13244</v>
      </c>
      <c r="E156" s="34">
        <v>13716</v>
      </c>
      <c r="F156" s="34">
        <v>15029</v>
      </c>
      <c r="G156" s="34">
        <v>15472</v>
      </c>
      <c r="H156" s="38"/>
    </row>
    <row r="157" ht="15" customHeight="1">
      <c r="B157" s="44" t="s">
        <v>788</v>
      </c>
      <c r="C157" s="34">
        <v>7407</v>
      </c>
      <c r="D157" s="34">
        <v>6343</v>
      </c>
      <c r="E157" s="34">
        <v>6847</v>
      </c>
      <c r="F157" s="34">
        <v>7997</v>
      </c>
      <c r="G157" s="34">
        <v>7661</v>
      </c>
      <c r="H157" s="38"/>
    </row>
    <row r="158" ht="15" customHeight="1">
      <c r="B158" s="44" t="s">
        <v>789</v>
      </c>
      <c r="C158" s="34">
        <v>1089</v>
      </c>
      <c r="D158" s="34">
        <v>969</v>
      </c>
      <c r="E158" s="34">
        <v>1030</v>
      </c>
      <c r="F158" s="34">
        <v>1149</v>
      </c>
      <c r="G158" s="34">
        <v>1096</v>
      </c>
      <c r="H158" s="38"/>
    </row>
    <row r="159" ht="15" customHeight="1">
      <c r="B159" s="44" t="s">
        <v>790</v>
      </c>
      <c r="C159" s="34">
        <v>2571</v>
      </c>
      <c r="D159" s="34">
        <v>2519</v>
      </c>
      <c r="E159" s="34">
        <v>2488</v>
      </c>
      <c r="F159" s="34">
        <v>2903</v>
      </c>
      <c r="G159" s="34">
        <v>3082</v>
      </c>
      <c r="H159" s="38"/>
    </row>
    <row r="160" ht="15" customHeight="1">
      <c r="B160" s="44" t="s">
        <v>791</v>
      </c>
      <c r="C160" s="34">
        <v>1614</v>
      </c>
      <c r="D160" s="34">
        <v>1755</v>
      </c>
      <c r="E160" s="34">
        <v>1711</v>
      </c>
      <c r="F160" s="34">
        <v>1958</v>
      </c>
      <c r="G160" s="34">
        <v>1964</v>
      </c>
      <c r="H160" s="38"/>
    </row>
    <row r="161" ht="15" customHeight="1">
      <c r="B161" s="44" t="s">
        <v>792</v>
      </c>
      <c r="C161" s="34">
        <v>728</v>
      </c>
      <c r="D161" s="34">
        <v>673</v>
      </c>
      <c r="E161" s="34">
        <v>736</v>
      </c>
      <c r="F161" s="34">
        <v>732</v>
      </c>
      <c r="G161" s="34">
        <v>943</v>
      </c>
      <c r="H161" s="38"/>
    </row>
    <row r="162" ht="15" customHeight="1">
      <c r="B162" s="69" t="s">
        <v>793</v>
      </c>
      <c r="C162" s="42">
        <f t="shared" si="12" ref="C162:G162">SUM(C156:C161)</f>
        <v>28290</v>
      </c>
      <c r="D162" s="42">
        <f t="shared" si="12"/>
        <v>25503</v>
      </c>
      <c r="E162" s="42">
        <f t="shared" si="12"/>
        <v>26528</v>
      </c>
      <c r="F162" s="42">
        <f t="shared" si="12"/>
        <v>29768</v>
      </c>
      <c r="G162" s="42">
        <f t="shared" si="12"/>
        <v>30218</v>
      </c>
      <c r="H162" s="42"/>
    </row>
    <row r="163" ht="15" customHeight="1">
      <c r="B163" s="44" t="s">
        <v>794</v>
      </c>
      <c r="C163" s="34">
        <v>28289</v>
      </c>
      <c r="D163" s="34">
        <v>25503</v>
      </c>
      <c r="E163" s="34">
        <v>26528</v>
      </c>
      <c r="F163" s="34">
        <v>29768</v>
      </c>
      <c r="G163" s="34">
        <v>30217</v>
      </c>
      <c r="H163" s="38"/>
    </row>
    <row r="164" ht="15" customHeight="1">
      <c r="B164" s="44" t="s">
        <v>795</v>
      </c>
      <c r="C164" s="34">
        <v>26199</v>
      </c>
      <c r="D164" s="34">
        <v>23684</v>
      </c>
      <c r="E164" s="34">
        <v>24510</v>
      </c>
      <c r="F164" s="34">
        <v>27732</v>
      </c>
      <c r="G164" s="34">
        <v>28097</v>
      </c>
      <c r="H164" s="38"/>
    </row>
    <row r="165" ht="15" customHeight="1">
      <c r="B165" s="44" t="s">
        <v>796</v>
      </c>
      <c r="C165" s="34">
        <v>1096</v>
      </c>
      <c r="D165" s="34">
        <v>848</v>
      </c>
      <c r="E165" s="34">
        <v>1023</v>
      </c>
      <c r="F165" s="34">
        <v>881</v>
      </c>
      <c r="G165" s="34">
        <v>993</v>
      </c>
      <c r="H165" s="38"/>
    </row>
    <row r="166" ht="15" customHeight="1">
      <c r="B166" s="44" t="s">
        <v>797</v>
      </c>
      <c r="C166" s="34">
        <v>994</v>
      </c>
      <c r="D166" s="34">
        <v>971</v>
      </c>
      <c r="E166" s="34">
        <v>995</v>
      </c>
      <c r="F166" s="34">
        <v>1154</v>
      </c>
      <c r="G166" s="34">
        <v>1127</v>
      </c>
      <c r="H166" s="38"/>
    </row>
    <row r="167" ht="15" customHeight="1">
      <c r="B167" s="44" t="s">
        <v>798</v>
      </c>
      <c r="C167" s="55">
        <v>46.8</v>
      </c>
      <c r="D167" s="55">
        <v>48.5</v>
      </c>
      <c r="E167" s="20"/>
      <c r="F167" s="55">
        <v>47.6</v>
      </c>
      <c r="G167" s="55">
        <v>48.1</v>
      </c>
      <c r="H167" s="20"/>
    </row>
    <row r="168" ht="15" customHeight="1">
      <c r="B168" s="44" t="s">
        <v>799</v>
      </c>
      <c r="C168" s="55">
        <v>61.6</v>
      </c>
      <c r="D168" s="55">
        <v>65.8</v>
      </c>
      <c r="E168" s="20"/>
      <c r="F168" s="55">
        <v>62.4</v>
      </c>
      <c r="G168" s="55">
        <v>63.5</v>
      </c>
      <c r="H168" s="20"/>
    </row>
    <row r="169" ht="15" customHeight="1">
      <c r="B169" s="44" t="s">
        <v>800</v>
      </c>
      <c r="C169" s="55">
        <v>74.4</v>
      </c>
      <c r="D169" s="55">
        <v>77.8</v>
      </c>
      <c r="E169" s="20"/>
      <c r="F169" s="55">
        <v>76.2</v>
      </c>
      <c r="G169" s="55">
        <v>77.2</v>
      </c>
      <c r="H169" s="20"/>
    </row>
    <row r="170" ht="15" customHeight="1">
      <c r="B170" s="44" t="s">
        <v>801</v>
      </c>
      <c r="C170" s="55">
        <v>124.6</v>
      </c>
      <c r="D170" s="55">
        <v>123.7</v>
      </c>
      <c r="E170" s="20"/>
      <c r="F170" s="55">
        <v>122.2</v>
      </c>
      <c r="G170" s="55">
        <v>113.8</v>
      </c>
      <c r="H170" s="20"/>
    </row>
    <row r="171" ht="15" customHeight="1">
      <c r="B171" s="44" t="s">
        <v>802</v>
      </c>
      <c r="C171" s="55">
        <v>134.6</v>
      </c>
      <c r="D171" s="55">
        <v>135.9</v>
      </c>
      <c r="E171" s="20"/>
      <c r="F171" s="55">
        <v>137.6</v>
      </c>
      <c r="G171" s="55">
        <v>143.5</v>
      </c>
      <c r="H171" s="20"/>
    </row>
    <row r="172" ht="15" customHeight="1">
      <c r="B172" s="44" t="s">
        <v>803</v>
      </c>
      <c r="C172" s="55">
        <v>154</v>
      </c>
      <c r="D172" s="55">
        <v>153</v>
      </c>
      <c r="E172" s="20"/>
      <c r="F172" s="55">
        <v>158.8</v>
      </c>
      <c r="G172" s="55">
        <v>145.6</v>
      </c>
      <c r="H172" s="20"/>
    </row>
    <row r="173" ht="15" customHeight="1">
      <c r="B173" s="44" t="s">
        <v>804</v>
      </c>
      <c r="C173" s="55">
        <v>66.6</v>
      </c>
      <c r="D173" s="55">
        <v>70.1</v>
      </c>
      <c r="E173" s="20"/>
      <c r="F173" s="55">
        <v>68.6</v>
      </c>
      <c r="G173" s="55">
        <v>69</v>
      </c>
      <c r="H173" s="20"/>
    </row>
    <row r="174" ht="15" customHeight="1">
      <c r="B174" s="44" t="s">
        <v>805</v>
      </c>
      <c r="C174" s="20">
        <f t="shared" si="13" ref="C174:G174">C151/(C162*C155/1000)*100</f>
        <v>66.57056380346414</v>
      </c>
      <c r="D174" s="20">
        <f t="shared" si="13"/>
        <v>70.0897933576442</v>
      </c>
      <c r="E174" s="20"/>
      <c r="F174" s="20">
        <f t="shared" si="13"/>
        <v>68.59054282076474</v>
      </c>
      <c r="G174" s="20">
        <f t="shared" si="13"/>
        <v>69.00394765777288</v>
      </c>
      <c r="H174" s="20"/>
    </row>
    <row r="175" ht="15" customHeight="1">
      <c r="B175" s="44" t="s">
        <v>147</v>
      </c>
      <c r="C175" s="55">
        <v>297.2</v>
      </c>
      <c r="D175" s="20"/>
      <c r="E175" s="20"/>
      <c r="F175" s="55">
        <v>331.5</v>
      </c>
      <c r="G175" s="55">
        <v>362.9</v>
      </c>
      <c r="H175" s="20"/>
    </row>
    <row r="176" ht="15" customHeight="1">
      <c r="B176" s="44" t="s">
        <v>149</v>
      </c>
      <c r="C176" s="55">
        <v>285.9</v>
      </c>
      <c r="D176" s="20"/>
      <c r="E176" s="20"/>
      <c r="F176" s="55">
        <v>325.8</v>
      </c>
      <c r="G176" s="55">
        <v>310.9</v>
      </c>
      <c r="H176" s="20"/>
    </row>
    <row r="177" ht="15" customHeight="1">
      <c r="B177" s="44" t="s">
        <v>151</v>
      </c>
      <c r="C177" s="55">
        <v>109.3</v>
      </c>
      <c r="D177" s="20"/>
      <c r="E177" s="20"/>
      <c r="F177" s="55">
        <v>111.7</v>
      </c>
      <c r="G177" s="55">
        <v>114.1</v>
      </c>
      <c r="H177" s="20"/>
    </row>
    <row r="178" ht="15" customHeight="1">
      <c r="B178" s="44" t="s">
        <v>155</v>
      </c>
      <c r="C178" s="55">
        <v>67</v>
      </c>
      <c r="D178" s="20"/>
      <c r="E178" s="20"/>
      <c r="F178" s="55">
        <v>70.9</v>
      </c>
      <c r="G178" s="55">
        <v>73.7</v>
      </c>
      <c r="H178" s="20"/>
    </row>
    <row r="179" ht="15" customHeight="1">
      <c r="B179" s="44" t="s">
        <v>199</v>
      </c>
      <c r="C179" s="55">
        <v>218.8</v>
      </c>
      <c r="D179" s="55">
        <v>220.8</v>
      </c>
      <c r="E179" s="55">
        <v>850.3</v>
      </c>
      <c r="F179" s="55">
        <v>206.7</v>
      </c>
      <c r="G179" s="55">
        <v>221.6</v>
      </c>
      <c r="H179" s="20"/>
    </row>
    <row r="180" ht="15" customHeight="1">
      <c r="B180" s="44" t="s">
        <v>201</v>
      </c>
      <c r="C180" s="55">
        <v>66.6</v>
      </c>
      <c r="D180" s="55">
        <v>65.7</v>
      </c>
      <c r="E180" s="55">
        <v>255.8</v>
      </c>
      <c r="F180" s="55">
        <v>65.7</v>
      </c>
      <c r="G180" s="55">
        <v>70.9</v>
      </c>
      <c r="H180" s="20"/>
    </row>
    <row r="181" ht="15" customHeight="1">
      <c r="B181" s="44" t="s">
        <v>203</v>
      </c>
      <c r="C181" s="55">
        <v>31</v>
      </c>
      <c r="D181" s="55">
        <v>33.9</v>
      </c>
      <c r="E181" s="55">
        <v>132.7</v>
      </c>
      <c r="F181" s="55">
        <v>28.5</v>
      </c>
      <c r="G181" s="55">
        <v>37.4</v>
      </c>
      <c r="H181" s="20"/>
    </row>
    <row r="182" ht="15" customHeight="1">
      <c r="B182" s="44" t="s">
        <v>205</v>
      </c>
      <c r="C182" s="55">
        <v>55.7</v>
      </c>
      <c r="D182" s="55">
        <v>55.3</v>
      </c>
      <c r="E182" s="55">
        <v>221.7</v>
      </c>
      <c r="F182" s="55">
        <v>55.2</v>
      </c>
      <c r="G182" s="55">
        <v>56.1</v>
      </c>
      <c r="H182" s="20"/>
    </row>
    <row r="183" ht="15" customHeight="1">
      <c r="B183" s="44" t="s">
        <v>207</v>
      </c>
      <c r="C183" s="55">
        <v>28.2</v>
      </c>
      <c r="D183" s="55">
        <v>28.1</v>
      </c>
      <c r="E183" s="55">
        <v>115.1</v>
      </c>
      <c r="F183" s="55">
        <v>27.3</v>
      </c>
      <c r="G183" s="55">
        <v>27.3</v>
      </c>
      <c r="H183" s="20"/>
    </row>
    <row r="184" ht="15" customHeight="1">
      <c r="B184" s="44" t="s">
        <v>211</v>
      </c>
      <c r="C184" s="55">
        <v>97.6</v>
      </c>
      <c r="D184" s="55">
        <v>84</v>
      </c>
      <c r="E184" s="55">
        <v>355.4</v>
      </c>
      <c r="F184" s="55">
        <v>96.6</v>
      </c>
      <c r="G184" s="55">
        <v>96.2</v>
      </c>
      <c r="H184" s="20"/>
    </row>
    <row r="185" ht="15" customHeight="1">
      <c r="B185" s="44" t="s">
        <v>806</v>
      </c>
      <c r="C185" s="55">
        <v>62.3</v>
      </c>
      <c r="D185" s="55">
        <v>90.4</v>
      </c>
      <c r="E185" s="55">
        <v>267.6</v>
      </c>
      <c r="F185" s="55">
        <v>54.3</v>
      </c>
      <c r="G185" s="55">
        <v>53.2</v>
      </c>
      <c r="H185" s="20"/>
    </row>
    <row r="186" ht="15" customHeight="1">
      <c r="B186" s="69" t="s">
        <v>213</v>
      </c>
      <c r="C186" s="57">
        <f t="shared" si="14" ref="C186:G186">SUM(C179:C185)</f>
        <v>560.2</v>
      </c>
      <c r="D186" s="57">
        <f t="shared" si="14"/>
        <v>578.2</v>
      </c>
      <c r="E186" s="57">
        <f t="shared" si="14"/>
        <v>2198.6</v>
      </c>
      <c r="F186" s="57">
        <f t="shared" si="14"/>
        <v>534.3</v>
      </c>
      <c r="G186" s="57">
        <f t="shared" si="14"/>
        <v>562.7</v>
      </c>
      <c r="H186" s="57"/>
    </row>
    <row r="187" ht="15" customHeight="1">
      <c r="B187" s="69" t="s">
        <v>216</v>
      </c>
      <c r="C187" s="57">
        <f t="shared" si="15" ref="C187:G187">C154-C186</f>
        <v>1024.2</v>
      </c>
      <c r="D187" s="57">
        <f t="shared" si="15"/>
        <v>947.0999999999999</v>
      </c>
      <c r="E187" s="57">
        <f t="shared" si="15"/>
        <v>3931.4999999999995</v>
      </c>
      <c r="F187" s="57">
        <f t="shared" si="15"/>
        <v>1108</v>
      </c>
      <c r="G187" s="57">
        <f t="shared" si="15"/>
        <v>1129.3</v>
      </c>
      <c r="H187" s="57"/>
    </row>
    <row r="188" ht="15" customHeight="1">
      <c r="B188" s="44" t="s">
        <v>224</v>
      </c>
      <c r="C188" s="55">
        <v>1026.8</v>
      </c>
      <c r="D188" s="55">
        <v>936.5</v>
      </c>
      <c r="E188" s="55">
        <v>4079.1</v>
      </c>
      <c r="F188" s="55">
        <v>892.7</v>
      </c>
      <c r="G188" s="55">
        <v>1518.4</v>
      </c>
      <c r="H188" s="20"/>
    </row>
    <row r="189" ht="15" customHeight="1">
      <c r="B189" s="37" t="s">
        <v>807</v>
      </c>
      <c r="C189" s="55">
        <v>991.3</v>
      </c>
      <c r="D189" s="20">
        <f t="shared" si="7"/>
        <v>908.2000000000003</v>
      </c>
      <c r="E189" s="55">
        <v>3943.8</v>
      </c>
      <c r="F189" s="55">
        <v>873.6</v>
      </c>
      <c r="G189" s="55">
        <v>1487.6</v>
      </c>
      <c r="H189" s="55">
        <v>3035.6</v>
      </c>
    </row>
    <row r="190" ht="15" customHeight="1">
      <c r="B190" s="44" t="s">
        <v>225</v>
      </c>
      <c r="C190" s="55">
        <v>-40.2</v>
      </c>
      <c r="D190" s="55">
        <v>-40.7</v>
      </c>
      <c r="E190" s="55">
        <v>-160.9</v>
      </c>
      <c r="F190" s="55">
        <v>-41.7</v>
      </c>
      <c r="G190" s="55">
        <v>-44</v>
      </c>
      <c r="H190" s="20"/>
    </row>
    <row r="191" ht="15" customHeight="1">
      <c r="B191" s="44" t="s">
        <v>227</v>
      </c>
      <c r="C191" s="55">
        <v>86.1</v>
      </c>
      <c r="D191" s="55">
        <v>91.2</v>
      </c>
      <c r="E191" s="55">
        <v>350.9</v>
      </c>
      <c r="F191" s="55">
        <v>88.2</v>
      </c>
      <c r="G191" s="55">
        <v>99</v>
      </c>
      <c r="H191" s="20"/>
    </row>
    <row r="192" ht="15" customHeight="1">
      <c r="B192" s="44" t="s">
        <v>233</v>
      </c>
      <c r="C192" s="55">
        <v>-920</v>
      </c>
      <c r="D192" s="55">
        <v>-837.5</v>
      </c>
      <c r="E192" s="55">
        <v>-3659.2</v>
      </c>
      <c r="F192" s="55">
        <v>-802.4</v>
      </c>
      <c r="G192" s="55">
        <v>-1372.4</v>
      </c>
      <c r="H192" s="20"/>
    </row>
    <row r="193" ht="15" customHeight="1">
      <c r="B193" s="37" t="s">
        <v>808</v>
      </c>
      <c r="C193" s="55">
        <v>-922.6</v>
      </c>
      <c r="D193" s="20">
        <f t="shared" si="7"/>
        <v>-840</v>
      </c>
      <c r="E193" s="55">
        <v>-3669.4</v>
      </c>
      <c r="F193" s="55">
        <v>-804.8</v>
      </c>
      <c r="G193" s="55">
        <v>-1374.5</v>
      </c>
      <c r="H193" s="55">
        <v>-2829.4</v>
      </c>
    </row>
    <row r="194" ht="15" customHeight="1">
      <c r="B194" s="69" t="s">
        <v>234</v>
      </c>
      <c r="C194" s="57">
        <f t="shared" si="16" ref="C194:G194">C188+C190+C191+C192</f>
        <v>152.69999999999982</v>
      </c>
      <c r="D194" s="57">
        <f t="shared" si="16"/>
        <v>149.5</v>
      </c>
      <c r="E194" s="57">
        <f t="shared" si="16"/>
        <v>609.8999999999996</v>
      </c>
      <c r="F194" s="57">
        <f t="shared" si="16"/>
        <v>136.80000000000007</v>
      </c>
      <c r="G194" s="57">
        <f t="shared" si="16"/>
        <v>201</v>
      </c>
      <c r="H194" s="57"/>
    </row>
    <row r="195" ht="15" customHeight="1">
      <c r="B195" s="69" t="s">
        <v>243</v>
      </c>
      <c r="C195" s="57">
        <f t="shared" si="17" ref="C195:G195">C187+C194</f>
        <v>1176.8999999999999</v>
      </c>
      <c r="D195" s="57">
        <f t="shared" si="17"/>
        <v>1096.6</v>
      </c>
      <c r="E195" s="57">
        <f t="shared" si="17"/>
        <v>4541.4</v>
      </c>
      <c r="F195" s="57">
        <f t="shared" si="17"/>
        <v>1244.8000000000002</v>
      </c>
      <c r="G195" s="57">
        <f t="shared" si="17"/>
        <v>1330.3</v>
      </c>
      <c r="H195" s="57"/>
    </row>
    <row r="196" ht="15" customHeight="1">
      <c r="B196" s="44" t="s">
        <v>245</v>
      </c>
      <c r="C196" s="55">
        <v>264.1</v>
      </c>
      <c r="D196" s="55">
        <v>222</v>
      </c>
      <c r="E196" s="55">
        <v>1015.6</v>
      </c>
      <c r="F196" s="55">
        <v>288.6</v>
      </c>
      <c r="G196" s="55">
        <v>305.2</v>
      </c>
      <c r="H196" s="20"/>
    </row>
    <row r="197" ht="15" customHeight="1">
      <c r="B197" s="69" t="s">
        <v>352</v>
      </c>
      <c r="C197" s="57">
        <f t="shared" si="18" ref="C197:G197">C195-C196</f>
        <v>912.7999999999998</v>
      </c>
      <c r="D197" s="57">
        <f t="shared" si="18"/>
        <v>874.5999999999999</v>
      </c>
      <c r="E197" s="57">
        <f t="shared" si="18"/>
        <v>3525.7999999999997</v>
      </c>
      <c r="F197" s="57">
        <f t="shared" si="18"/>
        <v>956.2000000000002</v>
      </c>
      <c r="G197" s="57">
        <f t="shared" si="18"/>
        <v>1025.1</v>
      </c>
      <c r="H197" s="57"/>
    </row>
    <row r="198" ht="15" customHeight="1">
      <c r="B198" s="44" t="s">
        <v>252</v>
      </c>
      <c r="C198" s="55">
        <v>901.3</v>
      </c>
      <c r="D198" s="55">
        <v>863.7</v>
      </c>
      <c r="E198" s="55">
        <v>3481.5</v>
      </c>
      <c r="F198" s="55">
        <v>944.2</v>
      </c>
      <c r="G198" s="55">
        <v>1012.2</v>
      </c>
      <c r="H198" s="20"/>
    </row>
    <row r="199" ht="15" customHeight="1">
      <c r="B199" s="44" t="s">
        <v>254</v>
      </c>
      <c r="C199" s="55">
        <v>901.3</v>
      </c>
      <c r="D199" s="55">
        <v>863.7</v>
      </c>
      <c r="E199" s="55">
        <v>3481.5</v>
      </c>
      <c r="F199" s="55">
        <v>944.2</v>
      </c>
      <c r="G199" s="55">
        <v>1012.2</v>
      </c>
      <c r="H199" s="20"/>
    </row>
    <row r="200" ht="15" customHeight="1">
      <c r="B200" s="44" t="s">
        <v>255</v>
      </c>
      <c r="C200" s="55">
        <v>359.4</v>
      </c>
      <c r="D200" s="55">
        <v>359.568</v>
      </c>
      <c r="E200" s="55">
        <v>359.389</v>
      </c>
      <c r="F200" s="55">
        <v>359.613</v>
      </c>
      <c r="G200" s="55">
        <v>359.658</v>
      </c>
      <c r="H200" s="20"/>
    </row>
    <row r="201" ht="15" customHeight="1">
      <c r="B201" s="44" t="s">
        <v>256</v>
      </c>
      <c r="C201" s="55">
        <v>359.989</v>
      </c>
      <c r="D201" s="55">
        <v>360.05</v>
      </c>
      <c r="E201" s="55">
        <v>359.944</v>
      </c>
      <c r="F201" s="55">
        <v>360.227</v>
      </c>
      <c r="G201" s="55">
        <v>360.355</v>
      </c>
      <c r="H201" s="20"/>
    </row>
    <row r="202" ht="15" customHeight="1">
      <c r="B202" s="44" t="s">
        <v>809</v>
      </c>
      <c r="C202" s="67">
        <v>2.5</v>
      </c>
      <c r="D202" s="67">
        <v>2.4</v>
      </c>
      <c r="E202" s="67">
        <v>9.67</v>
      </c>
      <c r="F202" s="67">
        <v>2.62</v>
      </c>
      <c r="G202" s="67">
        <v>2.81</v>
      </c>
      <c r="H202" s="28"/>
    </row>
    <row r="203" ht="15" customHeight="1">
      <c r="B203" s="44" t="s">
        <v>810</v>
      </c>
      <c r="C203" s="67">
        <v>2.51</v>
      </c>
      <c r="D203" s="67">
        <v>2.4</v>
      </c>
      <c r="E203" s="67">
        <v>9.69</v>
      </c>
      <c r="F203" s="67">
        <v>2.63</v>
      </c>
      <c r="G203" s="67">
        <v>2.81</v>
      </c>
      <c r="H203" s="28"/>
    </row>
    <row r="204" ht="15" customHeight="1">
      <c r="B204" s="44" t="s">
        <v>811</v>
      </c>
      <c r="C204" s="55">
        <v>488.8</v>
      </c>
      <c r="D204" s="55">
        <v>520.2</v>
      </c>
      <c r="E204" s="55">
        <v>1945</v>
      </c>
      <c r="F204" s="55">
        <v>474.6</v>
      </c>
      <c r="G204" s="55">
        <v>491.2</v>
      </c>
      <c r="H204" s="20"/>
    </row>
    <row r="205" ht="15" customHeight="1">
      <c r="B205" s="44" t="s">
        <v>812</v>
      </c>
      <c r="C205" s="20">
        <f t="shared" si="19" ref="C205:G205">C204-C184</f>
        <v>391.20000000000005</v>
      </c>
      <c r="D205" s="20">
        <f t="shared" si="19"/>
        <v>436.20000000000005</v>
      </c>
      <c r="E205" s="20">
        <f t="shared" si="19"/>
        <v>1589.6</v>
      </c>
      <c r="F205" s="20">
        <f t="shared" si="19"/>
        <v>378</v>
      </c>
      <c r="G205" s="20">
        <f t="shared" si="19"/>
        <v>395</v>
      </c>
      <c r="H205" s="20"/>
    </row>
    <row r="206" ht="15" customHeight="1">
      <c r="B206" s="69" t="s">
        <v>277</v>
      </c>
      <c r="C206" s="57">
        <f t="shared" si="20" ref="C206:G206">C154-C204</f>
        <v>1095.6000000000001</v>
      </c>
      <c r="D206" s="57">
        <f t="shared" si="20"/>
        <v>1005.0999999999999</v>
      </c>
      <c r="E206" s="57">
        <f t="shared" si="20"/>
        <v>4185.099999999999</v>
      </c>
      <c r="F206" s="57">
        <f t="shared" si="20"/>
        <v>1167.6999999999998</v>
      </c>
      <c r="G206" s="57">
        <f t="shared" si="20"/>
        <v>1200.8</v>
      </c>
      <c r="H206" s="57"/>
    </row>
    <row r="207" ht="15" customHeight="1">
      <c r="B207" s="44" t="s">
        <v>813</v>
      </c>
      <c r="C207" s="55">
        <v>977</v>
      </c>
      <c r="D207" s="55">
        <v>918.9</v>
      </c>
      <c r="E207" s="55">
        <v>3739.2</v>
      </c>
      <c r="F207" s="55">
        <v>1019.9</v>
      </c>
      <c r="G207" s="55">
        <v>1079.4</v>
      </c>
      <c r="H207" s="20"/>
    </row>
    <row r="208" ht="15" customHeight="1">
      <c r="B208" s="44" t="s">
        <v>302</v>
      </c>
      <c r="C208" s="55">
        <v>964.7</v>
      </c>
      <c r="D208" s="55">
        <v>907.4</v>
      </c>
      <c r="E208" s="55">
        <v>3692.2</v>
      </c>
      <c r="F208" s="55">
        <v>1007.1</v>
      </c>
      <c r="G208" s="55">
        <v>1065.8</v>
      </c>
      <c r="H208" s="20"/>
    </row>
    <row r="209" ht="15" customHeight="1">
      <c r="B209" s="44" t="s">
        <v>814</v>
      </c>
      <c r="C209" s="67">
        <v>2.68</v>
      </c>
      <c r="D209" s="67">
        <v>2.52</v>
      </c>
      <c r="E209" s="67">
        <v>10.26</v>
      </c>
      <c r="F209" s="67">
        <v>2.8</v>
      </c>
      <c r="G209" s="67">
        <v>2.96</v>
      </c>
      <c r="H209" s="28"/>
    </row>
    <row r="210" ht="15" customHeight="1">
      <c r="B210" s="17" t="s">
        <v>815</v>
      </c>
    </row>
    <row r="211" ht="15" customHeight="1">
      <c r="B211" s="44" t="s">
        <v>816</v>
      </c>
      <c r="C211" s="20"/>
      <c r="D211" s="20"/>
      <c r="E211" s="20"/>
      <c r="F211" s="55">
        <v>-1.1</v>
      </c>
      <c r="G211" s="55">
        <v>-1.4</v>
      </c>
      <c r="H211" s="20"/>
    </row>
    <row r="212" ht="15" customHeight="1">
      <c r="B212" s="44" t="s">
        <v>817</v>
      </c>
      <c r="C212" s="20"/>
      <c r="D212" s="20"/>
      <c r="E212" s="20"/>
      <c r="F212" s="55">
        <v>2.2</v>
      </c>
      <c r="G212" s="55">
        <v>-7.7</v>
      </c>
      <c r="H212" s="20"/>
    </row>
    <row r="213" ht="15" customHeight="1">
      <c r="B213" s="44" t="s">
        <v>818</v>
      </c>
      <c r="C213" s="20"/>
      <c r="D213" s="20"/>
      <c r="E213" s="20"/>
      <c r="F213" s="55">
        <v>-55.2</v>
      </c>
      <c r="G213" s="55">
        <v>-56.2</v>
      </c>
      <c r="H213" s="20"/>
    </row>
    <row r="214" ht="15" customHeight="1">
      <c r="B214" s="44" t="s">
        <v>819</v>
      </c>
      <c r="C214" s="20"/>
      <c r="D214" s="20"/>
      <c r="E214" s="20"/>
      <c r="F214" s="55">
        <v>0</v>
      </c>
      <c r="G214" s="55">
        <v>-2.8</v>
      </c>
      <c r="H214" s="20"/>
    </row>
    <row r="215" ht="15" customHeight="1">
      <c r="B215" s="44" t="s">
        <v>820</v>
      </c>
      <c r="C215" s="20"/>
      <c r="D215" s="20"/>
      <c r="E215" s="20"/>
      <c r="F215" s="55">
        <v>0</v>
      </c>
      <c r="G215" s="55">
        <v>8.1</v>
      </c>
      <c r="H215" s="20"/>
    </row>
    <row r="216" ht="15" customHeight="1">
      <c r="B216" s="44" t="s">
        <v>821</v>
      </c>
      <c r="C216" s="20"/>
      <c r="D216" s="20"/>
      <c r="E216" s="20"/>
      <c r="F216" s="55">
        <v>-2.3</v>
      </c>
      <c r="G216" s="55">
        <v>-3.5</v>
      </c>
      <c r="H216" s="20"/>
    </row>
    <row r="217" ht="15" customHeight="1">
      <c r="B217" s="44" t="s">
        <v>822</v>
      </c>
      <c r="C217" s="20"/>
      <c r="D217" s="20"/>
      <c r="E217" s="20"/>
      <c r="F217" s="55">
        <v>0</v>
      </c>
      <c r="G217" s="55">
        <v>-0.4</v>
      </c>
      <c r="H217" s="20"/>
    </row>
    <row r="218" ht="15" customHeight="1">
      <c r="B218" s="44" t="s">
        <v>823</v>
      </c>
      <c r="C218" s="20"/>
      <c r="D218" s="20"/>
      <c r="E218" s="20"/>
      <c r="F218" s="55">
        <v>-3.3</v>
      </c>
      <c r="G218" s="55">
        <v>-7.6</v>
      </c>
      <c r="H218" s="20"/>
    </row>
    <row r="219" ht="15" customHeight="1">
      <c r="B219" s="44" t="s">
        <v>824</v>
      </c>
      <c r="C219" s="20"/>
      <c r="D219" s="20"/>
      <c r="E219" s="20"/>
      <c r="F219" s="55">
        <v>1.1</v>
      </c>
      <c r="G219" s="55">
        <v>1.4</v>
      </c>
      <c r="H219" s="20"/>
    </row>
    <row r="220" ht="15" customHeight="1">
      <c r="B220" s="44" t="s">
        <v>825</v>
      </c>
      <c r="C220" s="20"/>
      <c r="D220" s="20"/>
      <c r="E220" s="20"/>
      <c r="F220" s="55">
        <v>68.2</v>
      </c>
      <c r="G220" s="55">
        <v>69.4</v>
      </c>
      <c r="H220" s="20"/>
    </row>
    <row r="221" ht="15" customHeight="1">
      <c r="B221" s="44" t="s">
        <v>826</v>
      </c>
      <c r="C221" s="20"/>
      <c r="D221" s="20"/>
      <c r="E221" s="20"/>
      <c r="F221" s="55">
        <v>0</v>
      </c>
      <c r="G221" s="55">
        <v>2.8</v>
      </c>
      <c r="H221" s="20"/>
    </row>
    <row r="222" ht="15" customHeight="1">
      <c r="B222" s="44" t="s">
        <v>827</v>
      </c>
      <c r="C222" s="20"/>
      <c r="D222" s="20"/>
      <c r="E222" s="20"/>
      <c r="F222" s="55">
        <v>0</v>
      </c>
      <c r="G222" s="55">
        <v>-8.1</v>
      </c>
      <c r="H222" s="20"/>
    </row>
    <row r="223" ht="15" customHeight="1">
      <c r="B223" s="44" t="s">
        <v>828</v>
      </c>
      <c r="C223" s="20"/>
      <c r="D223" s="20"/>
      <c r="E223" s="20"/>
      <c r="F223" s="55">
        <v>2.3</v>
      </c>
      <c r="G223" s="55">
        <v>3.6</v>
      </c>
      <c r="H223" s="20"/>
    </row>
    <row r="224" ht="15" customHeight="1">
      <c r="B224" s="44" t="s">
        <v>829</v>
      </c>
      <c r="C224" s="20"/>
      <c r="D224" s="20"/>
      <c r="E224" s="20"/>
      <c r="F224" s="55">
        <v>6.5</v>
      </c>
      <c r="G224" s="55">
        <v>0</v>
      </c>
      <c r="H224" s="20"/>
    </row>
    <row r="225" ht="15" customHeight="1">
      <c r="B225" s="44" t="s">
        <v>830</v>
      </c>
      <c r="C225" s="20"/>
      <c r="D225" s="20"/>
      <c r="E225" s="20"/>
      <c r="F225" s="55">
        <v>0</v>
      </c>
      <c r="G225" s="55">
        <v>0.4</v>
      </c>
      <c r="H225" s="20"/>
    </row>
    <row r="226" ht="15" customHeight="1">
      <c r="B226" s="44" t="s">
        <v>831</v>
      </c>
      <c r="C226" s="20"/>
      <c r="D226" s="20"/>
      <c r="E226" s="20"/>
      <c r="F226" s="55">
        <v>3.3</v>
      </c>
      <c r="G226" s="55">
        <v>7.6</v>
      </c>
      <c r="H226" s="20"/>
    </row>
    <row r="227" ht="15" customHeight="1">
      <c r="B227" s="44" t="s">
        <v>832</v>
      </c>
      <c r="C227" s="20"/>
      <c r="D227" s="20"/>
      <c r="E227" s="20"/>
      <c r="F227" s="55">
        <v>-16.1</v>
      </c>
      <c r="G227" s="55">
        <v>-15.5</v>
      </c>
      <c r="H227" s="20"/>
    </row>
    <row r="228" ht="15" customHeight="1">
      <c r="B228" s="44" t="s">
        <v>833</v>
      </c>
      <c r="C228" s="20"/>
      <c r="D228" s="20"/>
      <c r="E228" s="20"/>
      <c r="F228" s="55">
        <v>-1.6</v>
      </c>
      <c r="G228" s="55">
        <v>-7.3</v>
      </c>
      <c r="H228" s="20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2026-10-19T16:57:15Z</dcterms:created>
</cp:coreProperties>
</file>