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3"/>
    <sheet name="Segment - Residential C&amp;P" sheetId="3" r:id="rId4"/>
    <sheet name="Segment - Business Services" sheetId="4" r:id="rId5"/>
    <sheet name="Segment - Media" sheetId="5" r:id="rId6"/>
    <sheet name="Segment - Studios" sheetId="6" r:id="rId7"/>
    <sheet name="Segment - Theme Parks" sheetId="7" r:id="rId8"/>
    <sheet name="Income Statement" sheetId="8" r:id="rId9"/>
    <sheet name="Balance Sheet" sheetId="9" r:id="rId10"/>
    <sheet name="Cash Flow Statement" sheetId="10" r:id="rId11"/>
    <sheet name="Geo" sheetId="11" r:id="rId12"/>
    <sheet name="Share Count" sheetId="12" r:id="rId13"/>
    <sheet name="Guidance" sheetId="13" r:id="rId14"/>
    <sheet name="Inputs" sheetId="14" r:id="rId15"/>
    <sheet name="Sources" sheetId="15" r:id="rId16"/>
  </sheets>
  <calcPr calcId="0"/>
</workbook>
</file>

<file path=xl/sharedStrings.xml><?xml version="1.0" encoding="utf-8"?>
<sst xmlns="http://schemas.openxmlformats.org/spreadsheetml/2006/main" count="4675" uniqueCount="1056">
  <si>
    <t>Comcast Corporation (NasdaqGS: CMCSA)</t>
  </si>
  <si>
    <t>Cover — Company Model — built by Shortcut</t>
  </si>
  <si>
    <t>$ millions, except per share</t>
  </si>
  <si>
    <t>Period</t>
  </si>
  <si>
    <t>3Q26E</t>
  </si>
  <si>
    <t>Period end</t>
  </si>
  <si>
    <t>Days in period</t>
  </si>
  <si>
    <t>Company</t>
  </si>
  <si>
    <t>Comcast Corporation</t>
  </si>
  <si>
    <t>Ticker</t>
  </si>
  <si>
    <t>CMCSA</t>
  </si>
  <si>
    <t>Exchange</t>
  </si>
  <si>
    <t>NasdaqGS (Nasdaq Global Select Market)</t>
  </si>
  <si>
    <t>Fiscal year end</t>
  </si>
  <si>
    <t>December 31 (calendar year)</t>
  </si>
  <si>
    <t>Reporting currency</t>
  </si>
  <si>
    <t>USD; financial amounts in $ millions</t>
  </si>
  <si>
    <t>EPS basis</t>
  </si>
  <si>
    <t>Normalized diluted EPS per common share, USD (model-normalized; history ties to CapIQ actual / Comcast Adjusted EPS, IS row 136; 3Q26E conditional on restructuring exclusion, IS rows 153-157)</t>
  </si>
  <si>
    <t>Forecast period</t>
  </si>
  <si>
    <t>FQ3 2026 (quarter ended 2026-09-30); supplied label "FQ3 2026 - Sep 2026"</t>
  </si>
  <si>
    <t>Information cutoff</t>
  </si>
  <si>
    <t>2026-10-18 21:34:46 UTC</t>
  </si>
  <si>
    <t>Task specification</t>
  </si>
  <si>
    <t>Expected report date (issuer)</t>
  </si>
  <si>
    <t>2026-10-22 before market open (Comcast release, Sep-15-2026)</t>
  </si>
  <si>
    <t>S14</t>
  </si>
  <si>
    <t>Expected report date (CapIQ supplied)</t>
  </si>
  <si>
    <t>Author</t>
  </si>
  <si>
    <t>Shortcut — Company Model built by Shortcut</t>
  </si>
  <si>
    <t>Headline estimates — 3Q26E</t>
  </si>
  <si>
    <t>Shortcut est.</t>
  </si>
  <si>
    <t>Consensus (CapIQ)</t>
  </si>
  <si>
    <t>Variance</t>
  </si>
  <si>
    <t>Variance %</t>
  </si>
  <si>
    <t>Guidance mid.</t>
  </si>
  <si>
    <t># est.</t>
  </si>
  <si>
    <t>Revenue ($M)</t>
  </si>
  <si>
    <t>Net income — adjusted ($M)</t>
  </si>
  <si>
    <t>Net income — GAAP ($M)</t>
  </si>
  <si>
    <t>n.a.</t>
  </si>
  <si>
    <t>EPS — normalized diluted ($)</t>
  </si>
  <si>
    <t>Conditional: primary assumes est. $175M restructuring (IS I82, model assumption; size and exclusion not established by issuer policy) is excluded; if not excluded, EPS = $0.951 (IS I155). Treatment unresolved</t>
  </si>
  <si>
    <t>EPS — GAAP diluted ($)</t>
  </si>
  <si>
    <t>Adjusted EBITDA ($M)</t>
  </si>
  <si>
    <t>P(beat consensus EPS)</t>
  </si>
  <si>
    <t>Judgmental; not an EPS input. Rationale in Inputs J36</t>
  </si>
  <si>
    <t>Confidence</t>
  </si>
  <si>
    <t>Overall check (scope in J29)</t>
  </si>
  <si>
    <t>PASS = AND of (a) genuine historical ties to reported data: segment builds/EBITDA, Rev summary rows 22 &amp; 29, IS rows 66/73/85/105/115 (±5 residual)/132/136, BS row 24 (BS row 46 history repeats it via the row-44 plug), CF rows 49/57, Geo F16; (b) 3Q26E BS articulation I46 (roll-forward, genuine); plus (c) structural identities TRUE by construction: CF rows 48/51, Geo row 29, Rev summary I29, IS I74/I115/I149, Cover C31:C33 links. Identities are not independent validation; no 3Q26E forecast value is validated</t>
  </si>
  <si>
    <t>Link check: Cover revenue = IS</t>
  </si>
  <si>
    <t>Link check: Cover EPS = IS</t>
  </si>
  <si>
    <t>Link check: Cover NI = IS</t>
  </si>
  <si>
    <t>Revenue summary (segment revenue, pro forma ex-Versant &amp; Sky Germany; reconciled to GAAP)</t>
  </si>
  <si>
    <t>1Q25A</t>
  </si>
  <si>
    <t>2Q25A</t>
  </si>
  <si>
    <t>3Q25A</t>
  </si>
  <si>
    <t>4Q25A</t>
  </si>
  <si>
    <t>FY25A</t>
  </si>
  <si>
    <t>1Q26A</t>
  </si>
  <si>
    <t>2Q26A</t>
  </si>
  <si>
    <t>Source / notes</t>
  </si>
  <si>
    <t>Segment revenue</t>
  </si>
  <si>
    <t>Residential Connectivity &amp; Platforms</t>
  </si>
  <si>
    <t>Business Services Connectivity</t>
  </si>
  <si>
    <t>Total Connectivity &amp; Platforms</t>
  </si>
  <si>
    <t>Media</t>
  </si>
  <si>
    <t>Studios</t>
  </si>
  <si>
    <t>Theme Parks</t>
  </si>
  <si>
    <t>C&amp;E Headquarters &amp; Other</t>
  </si>
  <si>
    <t>(3Q26E = assumption); 3Q26E assumption</t>
  </si>
  <si>
    <t>Content &amp; Experiences Eliminations</t>
  </si>
  <si>
    <t>(3Q26E = assumption); 3Q26E assumption: Studios-to-Peacock licensing eliminations</t>
  </si>
  <si>
    <t>Total Content &amp; Experiences</t>
  </si>
  <si>
    <t>Corporate &amp; Other (E: input)</t>
  </si>
  <si>
    <t>3Q26E assumption (2Q26 368)</t>
  </si>
  <si>
    <t>Eliminations (E: input)</t>
  </si>
  <si>
    <t>3Q26E assumption (2Q26 −1,324)</t>
  </si>
  <si>
    <t>Total pro forma consolidated revenue</t>
  </si>
  <si>
    <t xml:space="preserve">   Memo: reported pro forma revenue</t>
  </si>
  <si>
    <t>(2Q26 trending schedule); S4 (pro forma reconciliation); S6</t>
  </si>
  <si>
    <t xml:space="preserve">   Check: segments = reported PF total</t>
  </si>
  <si>
    <t>(±5 rounding)</t>
  </si>
  <si>
    <t>Reconciliation to GAAP revenue</t>
  </si>
  <si>
    <t>Versant (separated January 2, 2026)</t>
  </si>
  <si>
    <t>Versant spun off Jan-2-2026 (S4)</t>
  </si>
  <si>
    <t>Sky operations in Germany</t>
  </si>
  <si>
    <t>(sold May 31, 2026); Sky Germany sold May-31-2026 (S1, S25)</t>
  </si>
  <si>
    <t>Eliminations: Versant / Sky Germany</t>
  </si>
  <si>
    <t>S4 (pro forma reconciliation); S6</t>
  </si>
  <si>
    <t>Rounding</t>
  </si>
  <si>
    <t>(reported consolidated less sum of rounded components); history only, max |4| (C27: segment build C20 is 3 below reported PF C21; F27 = sum of quarterly plugs)</t>
  </si>
  <si>
    <t>Total consolidated revenue (GAAP)</t>
  </si>
  <si>
    <t xml:space="preserve">   Check: reported PF recon = GAAP (±3)</t>
  </si>
  <si>
    <t>History: genuine tie of reported PF (row 21) + Versant + Sky Germany + eliminations to IS revenue (±3). 3Q26E I29: link identity (I28 = IS I9), not independent validation</t>
  </si>
  <si>
    <t>Growth, mix and decomposition by line</t>
  </si>
  <si>
    <t xml:space="preserve">   % Q/Q</t>
  </si>
  <si>
    <t xml:space="preserve">   % of total pro forma revenue</t>
  </si>
  <si>
    <t xml:space="preserve">   % Y/Y (total, reported)</t>
  </si>
  <si>
    <t xml:space="preserve">   M&amp;A / scope impact</t>
  </si>
  <si>
    <t>No M&amp;A in segment (S4)</t>
  </si>
  <si>
    <t xml:space="preserve">   FX incl. rounding residual</t>
  </si>
  <si>
    <t>3Q26E = connectivity-only FX (see Residential C&amp;P J192); not comparable with history</t>
  </si>
  <si>
    <t xml:space="preserve">   Organic growth</t>
  </si>
  <si>
    <t xml:space="preserve">   FX/rounding residual</t>
  </si>
  <si>
    <t>History = FX plus rounding residual (Business Services J31); 3Q26E 0</t>
  </si>
  <si>
    <t xml:space="preserve">   FX impact</t>
  </si>
  <si>
    <t>C&amp;E Eliminations</t>
  </si>
  <si>
    <t>Corporate &amp; Other</t>
  </si>
  <si>
    <t>Eliminations</t>
  </si>
  <si>
    <t>Total pro forma revenue</t>
  </si>
  <si>
    <t>Scope = Versant + Sky Germany exclusion</t>
  </si>
  <si>
    <t>Consolidated FX not disclosed (C&amp;P only) → n.a.</t>
  </si>
  <si>
    <t xml:space="preserve">   Pro forma % Y/Y</t>
  </si>
  <si>
    <t>(like-for-like, ex-Versant &amp; Sky Germany)</t>
  </si>
  <si>
    <t>Segment - Residential Connectivity &amp; Platforms</t>
  </si>
  <si>
    <t>Domestic residential passings (000s)</t>
  </si>
  <si>
    <t>Opening balance</t>
  </si>
  <si>
    <t>S4 (2Q26 trending schedule); S1, S3</t>
  </si>
  <si>
    <t>Net additions (closing less opening)</t>
  </si>
  <si>
    <t>3Q26E assumption +280k (2Q26 +279k)</t>
  </si>
  <si>
    <t xml:space="preserve">   Net additions Y/Y change</t>
  </si>
  <si>
    <t xml:space="preserve">   Rounding / methodology difference</t>
  </si>
  <si>
    <t>Closing balance</t>
  </si>
  <si>
    <t>Average balance</t>
  </si>
  <si>
    <t xml:space="preserve">   % Y/Y (closing)</t>
  </si>
  <si>
    <t xml:space="preserve">   Y/Y change (closing)</t>
  </si>
  <si>
    <t xml:space="preserve">   Q/Q change (closing)</t>
  </si>
  <si>
    <t>Dom. residential customer rel. (000s)</t>
  </si>
  <si>
    <t xml:space="preserve">   Gross additions (not disclosed)</t>
  </si>
  <si>
    <t xml:space="preserve">   Disconnects / churn (not disclosed)</t>
  </si>
  <si>
    <t>Net additions (losses)</t>
  </si>
  <si>
    <t>3Q26E assumption −140k (tracks broadband)</t>
  </si>
  <si>
    <t>Intl residential customer rel. (000s)</t>
  </si>
  <si>
    <t>3Q26E assumption −60k (3Q25 −95k; 2Q26 −64k)</t>
  </si>
  <si>
    <t>Total residential customer rel. (000s)</t>
  </si>
  <si>
    <t>Dom. broadband residential (000s)</t>
  </si>
  <si>
    <t>3Q26E −135k: CFO Sep-9 losses will not improve vs −91k (S5); KeyBanc −140k vs cons −119k (S18)</t>
  </si>
  <si>
    <t>Penetration of residential passings (%)</t>
  </si>
  <si>
    <t xml:space="preserve">   Y/Y change (bps)</t>
  </si>
  <si>
    <t xml:space="preserve">   Q/Q change (bps)</t>
  </si>
  <si>
    <t>Domestic wireless lines (000s)</t>
  </si>
  <si>
    <t>3Q26E +430k (3Q25 +414k; 2Q26 record +448k)</t>
  </si>
  <si>
    <t>Wireless lines / broadband custs (%)</t>
  </si>
  <si>
    <t>Domestic video customers (000s)</t>
  </si>
  <si>
    <t>3Q26E −250k (3Q25 −257k)</t>
  </si>
  <si>
    <t>Video / broadband customers (%)</t>
  </si>
  <si>
    <t>Per-unit economics ($ per month)</t>
  </si>
  <si>
    <t>Domestic broadband ARPU</t>
  </si>
  <si>
    <t>($/customer/month)</t>
  </si>
  <si>
    <t xml:space="preserve">   % Y/Y (E: input)</t>
  </si>
  <si>
    <t>3Q26E −3.4%: "modest improvement" vs −3.8% in 2Q26 (S2, S5)</t>
  </si>
  <si>
    <t xml:space="preserve">   Q/Q change ($)</t>
  </si>
  <si>
    <t>Wireless service rev. per line</t>
  </si>
  <si>
    <t>($/line/month)</t>
  </si>
  <si>
    <t>3Q26E −3.0%: free lines convert to paid in 2H26 (S2)</t>
  </si>
  <si>
    <t>Video revenue per customer ($/month)</t>
  </si>
  <si>
    <t>3Q26E +1.5% (2Q26 +1.8%)</t>
  </si>
  <si>
    <t>Revenue build ($ millions)</t>
  </si>
  <si>
    <t>Domestic broadband</t>
  </si>
  <si>
    <t>Domestic wireless service</t>
  </si>
  <si>
    <t>Domestic convergence revenue (subtotal)</t>
  </si>
  <si>
    <t>Domestic wireless equipment</t>
  </si>
  <si>
    <t xml:space="preserve">   Wireless equipment % Y/Y</t>
  </si>
  <si>
    <t>(3Q26E = assumption); 3Q26E +20% (2Q26 +28.8%)</t>
  </si>
  <si>
    <t>International connectivity (UK &amp; Italy)</t>
  </si>
  <si>
    <t xml:space="preserve">   Constant-currency growth (E: input)</t>
  </si>
  <si>
    <t>+1.5% CC (1Q26 +2.0%, 2Q26 +1.3%)</t>
  </si>
  <si>
    <t xml:space="preserve">   FX assumption (GBP/EUR vs USD, 3Q26E)</t>
  </si>
  <si>
    <t>GBP/USD Q3 avg ~1.344 vs ~1.348; EUR/USD ~1.150 vs ~1.168 (S19)</t>
  </si>
  <si>
    <t>Total residential connectivity</t>
  </si>
  <si>
    <t>(subtotal)</t>
  </si>
  <si>
    <t>Video</t>
  </si>
  <si>
    <t>Advertising</t>
  </si>
  <si>
    <t xml:space="preserve">   Advertising % Y/Y (E: input)</t>
  </si>
  <si>
    <t>+5%: 2026 midterm political</t>
  </si>
  <si>
    <t>Other</t>
  </si>
  <si>
    <t>(wireline voice, security, licensing); S4 (2Q26 trending schedule); S1, S3</t>
  </si>
  <si>
    <t xml:space="preserve">   Other % Y/Y (E: input)</t>
  </si>
  <si>
    <t>−7%: wireline voice decline trend</t>
  </si>
  <si>
    <t>Total Residential C&amp;P revenue</t>
  </si>
  <si>
    <t xml:space="preserve">   Memo: reported segment revenue</t>
  </si>
  <si>
    <t>S4</t>
  </si>
  <si>
    <t xml:space="preserve">   Check: build ties to reported</t>
  </si>
  <si>
    <t>(within rounding ±3)</t>
  </si>
  <si>
    <t>Revenue growth decomposition</t>
  </si>
  <si>
    <t xml:space="preserve">   Constant-currency Y/Y (reported)</t>
  </si>
  <si>
    <t xml:space="preserve">   FX/rounding residual (USD line)</t>
  </si>
  <si>
    <t>USD-only domestic line: no FX exposure; G:H = rounding residual ($M-rounded lines and 0.1%-rounded CC growth); 3Q26E 0</t>
  </si>
  <si>
    <t xml:space="preserve">   Q/Q change ($M)</t>
  </si>
  <si>
    <t>Domestic convergence revenue</t>
  </si>
  <si>
    <t>International connectivity</t>
  </si>
  <si>
    <t>3Q26E = international connectivity FX only (I113 × intl share); intl video/advertising/other split not disclosed, so not comparable with G:H total-segment FX</t>
  </si>
  <si>
    <t>Connectivity &amp; Platforms costs</t>
  </si>
  <si>
    <t>Programming</t>
  </si>
  <si>
    <t>−7.5%: video customers −9% (2Q26 −7.5%)</t>
  </si>
  <si>
    <t>Marketing &amp; promotion</t>
  </si>
  <si>
    <t>+1%: laps 3Q25 go-to-market step-up (S2)</t>
  </si>
  <si>
    <t>Direct product costs</t>
  </si>
  <si>
    <t>+6%: wireless devices/access (2Q26 +8.9%)</t>
  </si>
  <si>
    <t>Technical &amp; support</t>
  </si>
  <si>
    <t>0% (2Q26 −0.3%)</t>
  </si>
  <si>
    <t>Customer service</t>
  </si>
  <si>
    <t>−1% (2Q26 −0.9%)</t>
  </si>
  <si>
    <t>−1% (2Q26 −2.1%)</t>
  </si>
  <si>
    <t>Severance — cost transformation</t>
  </si>
  <si>
    <t>(row would hold severance inside segment Adj. EBITDA; set to 0): CFO reiterated modest C&amp;P EBITDA improvement on Sep-9 after launching the cost transformation (S5); charge modeled at Income Statement I82, excluded from Adj. EBITDA/EPS (unresolved; see IS rows 153-157)</t>
  </si>
  <si>
    <t>Total C&amp;P costs</t>
  </si>
  <si>
    <t xml:space="preserve">   Memo: reported total C&amp;P costs</t>
  </si>
  <si>
    <t xml:space="preserve">   Check: cost lines tie to reported (±3)</t>
  </si>
  <si>
    <t xml:space="preserve">   Total C&amp;P costs % Y/Y</t>
  </si>
  <si>
    <t xml:space="preserve">   Total C&amp;P costs Q/Q change ($M)</t>
  </si>
  <si>
    <t>Less: Business Services costs</t>
  </si>
  <si>
    <t>Total C&amp;P costs (I216) are built independently, so Residential costs are a residual: BSC revenue changes flow fully to C&amp;P EBITDA</t>
  </si>
  <si>
    <t>Residential C&amp;P costs</t>
  </si>
  <si>
    <t xml:space="preserve">   of which programming</t>
  </si>
  <si>
    <t xml:space="preserve">   of which non-programming</t>
  </si>
  <si>
    <t xml:space="preserve">   % Y/Y</t>
  </si>
  <si>
    <t>Residential C&amp;P Adjusted EBITDA</t>
  </si>
  <si>
    <t>Adjusted EBITDA margin (%)</t>
  </si>
  <si>
    <t xml:space="preserve">   Memo: reported Adjusted EBITDA</t>
  </si>
  <si>
    <t>S1, S3, S4</t>
  </si>
  <si>
    <t xml:space="preserve">   Check: EBITDA ties to reported (±3)</t>
  </si>
  <si>
    <t>Segment - Business Services Connectivity</t>
  </si>
  <si>
    <t>Business Services customer relationships</t>
  </si>
  <si>
    <t>S4; S1; S3</t>
  </si>
  <si>
    <t xml:space="preserve">   Acquired</t>
  </si>
  <si>
    <t>(Nitel and conforming changes, Apr-1-2025); Nitel acquisition and conforming changes +124k at Apr-1-2025 (S9)</t>
  </si>
  <si>
    <t>(3Q26E = estimate from Y/Y assumption); 2025 releases (S10, S9, S8, S7); not disclosed from 1Q26</t>
  </si>
  <si>
    <t>3Q26E = 3Q25 average × (1 + I16 Y/Y), same average-customer basis as ARPU (I18); I14 = closing estimate</t>
  </si>
  <si>
    <t xml:space="preserve">   Customer relationships % Y/Y</t>
  </si>
  <si>
    <t>(3Q26E = assumption); 3Q26E −1.8% (2025 organic net losses −48k on ~2.7M)</t>
  </si>
  <si>
    <t>Revenue per avg customer ($/month)</t>
  </si>
  <si>
    <t>3Q26E +4.7%: revenue growth ≈ +2.8%, underlying just under 3% (S2)</t>
  </si>
  <si>
    <t>Revenue and Adjusted EBITDA ($ millions)</t>
  </si>
  <si>
    <t>Business Services Connectivity revenue</t>
  </si>
  <si>
    <t xml:space="preserve">   Revenue % Y/Y</t>
  </si>
  <si>
    <t>1Q26 n.a.: Nitel (acquired Apr-1-2025) effect not quantified; 2Q26/3Q26 0%: Nitel in both periods (S2)</t>
  </si>
  <si>
    <t>History = (reported Y/Y)/(1 + 0.1%-rounded CC Y/Y) − 1: FX plus rounding residual, not disclosed FX; 3Q26E 0</t>
  </si>
  <si>
    <t>Operating expenses (excl. D&amp;A)</t>
  </si>
  <si>
    <t>Business Services Adjusted EBITDA</t>
  </si>
  <si>
    <t>(3Q26E = assumption); 3Q26E 56.2% (3Q25 56.4%; 1Q26 55.9%)</t>
  </si>
  <si>
    <t xml:space="preserve">   Adjusted EBITDA % Y/Y</t>
  </si>
  <si>
    <t xml:space="preserve">   Adjusted EBITDA Q/Q change ($M)</t>
  </si>
  <si>
    <t>Segment - Media (incl. Peacock)</t>
  </si>
  <si>
    <t>Peacock paid subscribers (millions)</t>
  </si>
  <si>
    <t>Opening paid subscribers</t>
  </si>
  <si>
    <t>S4; S6 (Peacock detail); S1; S3; S26</t>
  </si>
  <si>
    <t xml:space="preserve">   Churn (not disclosed)</t>
  </si>
  <si>
    <t>Net additions</t>
  </si>
  <si>
    <t>(closing less opening; 3Q26E = assumption); 3Q26E +1M: post-World Cup churn vs NFL / Premier League start</t>
  </si>
  <si>
    <t>Closing paid subscribers</t>
  </si>
  <si>
    <t>Average paid subscribers</t>
  </si>
  <si>
    <t>Peacock P&amp;L</t>
  </si>
  <si>
    <t>Peacock advertising revenue</t>
  </si>
  <si>
    <t xml:space="preserve">   Ad % Y/Y (hist. reported incl. events; 3Q26E underlying)</t>
  </si>
  <si>
    <t>(3Q26E = assumption); 3Q26E +20% underlying ex-World Cup (row 23 separate); history = total reported incl. events (2Q26 ~+68%)</t>
  </si>
  <si>
    <t xml:space="preserve">   World Cup simulcast ads in Peacock</t>
  </si>
  <si>
    <t>(3Q26E est.); Est. July knockout-round simulcast</t>
  </si>
  <si>
    <t xml:space="preserve">   Advertising rev. per avg sub ($/mo)</t>
  </si>
  <si>
    <t>Peacock distribution revenue</t>
  </si>
  <si>
    <t xml:space="preserve">   Distribution rev. per avg sub ($/mo)</t>
  </si>
  <si>
    <t>(3Q26E = assumption); 3Q26E $8.20 (2Q26 $8.19); summer-2026 price increase (S23)</t>
  </si>
  <si>
    <t>Peacock other revenue</t>
  </si>
  <si>
    <t>(total less advertising and distribution; 3Q26E = assumption); 3Q26E assumption</t>
  </si>
  <si>
    <t>Peacock revenue</t>
  </si>
  <si>
    <t>Peacock programming &amp; production</t>
  </si>
  <si>
    <t>+15%: WNBA, NFL, Premier League; no NBA games in Q3</t>
  </si>
  <si>
    <t>Peacock marketing, promotion &amp; other</t>
  </si>
  <si>
    <t>+12% (2Q26 +16%)</t>
  </si>
  <si>
    <t>Peacock costs</t>
  </si>
  <si>
    <t>Peacock Adjusted EBITDA</t>
  </si>
  <si>
    <t xml:space="preserve">   Y/Y change ($M)</t>
  </si>
  <si>
    <t>Peacock Adjusted EBITDA margin (%)</t>
  </si>
  <si>
    <t xml:space="preserve">   Memo: reported Peacock Adjusted EBITDA</t>
  </si>
  <si>
    <t xml:space="preserve">   Check: Peacock EBITDA = reported (±3)</t>
  </si>
  <si>
    <t>Peacock revenue growth decomposition</t>
  </si>
  <si>
    <t>Peacock advertising</t>
  </si>
  <si>
    <t>Peacock distribution</t>
  </si>
  <si>
    <t>Peacock other</t>
  </si>
  <si>
    <t>Media revenue build ($ millions)</t>
  </si>
  <si>
    <t>Domestic advertising</t>
  </si>
  <si>
    <t xml:space="preserve">   Peacock advertising</t>
  </si>
  <si>
    <t xml:space="preserve">   Non-Peacock domestic advertising</t>
  </si>
  <si>
    <t>(NBC, Telemundo, cable nets, stations)</t>
  </si>
  <si>
    <t xml:space="preserve">      % Y/Y (hist. reported incl. events; 3Q26E underlying)</t>
  </si>
  <si>
    <t>(3Q26E = assumption); +3%: linear ~−2% underlying plus midterm political on owned stations, ex-World Cup (row 83). History = total reported incl. events</t>
  </si>
  <si>
    <t xml:space="preserve">      World Cup incremental, linear networks</t>
  </si>
  <si>
    <t>(3Q26E est.); Est.: $440M incremental on 78 June matches in 2Q26 (S1); 28 July knockout matches incl. final</t>
  </si>
  <si>
    <t xml:space="preserve">   Memo: reported domestic advertising</t>
  </si>
  <si>
    <t>Domestic distribution</t>
  </si>
  <si>
    <t xml:space="preserve">   Peacock distribution</t>
  </si>
  <si>
    <t xml:space="preserve">   Non-Peacock distribution</t>
  </si>
  <si>
    <t>(retrans, affiliates, vMVPDs)</t>
  </si>
  <si>
    <t xml:space="preserve">      % Y/Y (E: input)</t>
  </si>
  <si>
    <t>−4% (1Q26/2Q26 ex-Peacock ~−4%)</t>
  </si>
  <si>
    <t xml:space="preserve">   Memo: reported domestic distribution</t>
  </si>
  <si>
    <t>International networks</t>
  </si>
  <si>
    <t>(Sky Sports UK &amp; Italy, other); S4; S6 (Peacock detail); S1; S3; S26</t>
  </si>
  <si>
    <t>+3% CC (2Q26 +6.1% reported)</t>
  </si>
  <si>
    <t xml:space="preserve">   FX assumption (3Q26E)</t>
  </si>
  <si>
    <t>S19</t>
  </si>
  <si>
    <t>(content licensing, Versant commercial services commission); S4; S6 (Peacock detail); S1; S3; S26</t>
  </si>
  <si>
    <t>−12% (2Q26 −21.9%)</t>
  </si>
  <si>
    <t>Total Media revenue</t>
  </si>
  <si>
    <t xml:space="preserve">   Memo: reported Media revenue</t>
  </si>
  <si>
    <t xml:space="preserve">   Check: build ties to reported (±3)</t>
  </si>
  <si>
    <t>Major events in Media revenue</t>
  </si>
  <si>
    <t>Milan Cortina Olympics</t>
  </si>
  <si>
    <t>(advertising + distribution); S4; S6 (Peacock detail); S1; S3; S26</t>
  </si>
  <si>
    <t>Super Bowl LX (advertising)</t>
  </si>
  <si>
    <t>FIFA World Cup 2026</t>
  </si>
  <si>
    <t>(incremental; 3Q26E = linear + Peacock est.); S4; S6 (Peacock detail); S1; S3; S26</t>
  </si>
  <si>
    <t>Media revenue excluding major events</t>
  </si>
  <si>
    <t>Media revenue growth decomposition (Y/Y)</t>
  </si>
  <si>
    <t>FX not disclosed for Media (n.a.); domestic lines 0% in forecast</t>
  </si>
  <si>
    <t>Non-Peacock domestic advertising</t>
  </si>
  <si>
    <t>Non-Peacock distribution</t>
  </si>
  <si>
    <t>No acquisitions; Versant excluded in both periods (S4)</t>
  </si>
  <si>
    <t>Media costs and Adjusted EBITDA</t>
  </si>
  <si>
    <t>Programming &amp; production</t>
  </si>
  <si>
    <t>(by nature; not forecast); S4; forecast built on Peacock / non-Peacock split</t>
  </si>
  <si>
    <t>(by nature; not forecast); S4; S6 (Peacock detail); S1; S3; S26</t>
  </si>
  <si>
    <t>Other (by nature; not forecast)</t>
  </si>
  <si>
    <t>Non-Peacock Media costs</t>
  </si>
  <si>
    <t xml:space="preserve">   % Y/Y (hist. reported incl. events; 3Q26E underlying)</t>
  </si>
  <si>
    <t>(3Q26E = assumption); +1% underlying ex-World Cup (row 166 separate). History = total reported incl. events</t>
  </si>
  <si>
    <t xml:space="preserve">   FIFA World Cup costs on linear networks</t>
  </si>
  <si>
    <t>(3Q26E est.); Est. World Cup rights/production cost in July</t>
  </si>
  <si>
    <t>Total Media costs</t>
  </si>
  <si>
    <t>Media Adjusted EBITDA</t>
  </si>
  <si>
    <t>Media Adjusted EBITDA margin (%)</t>
  </si>
  <si>
    <t xml:space="preserve">   of which non-Peacock Media EBITDA</t>
  </si>
  <si>
    <t xml:space="preserve">   Memo: reported Media Adjusted EBITDA</t>
  </si>
  <si>
    <t>Segment - Studios</t>
  </si>
  <si>
    <t>Theatrical drivers</t>
  </si>
  <si>
    <t>Universal-group domestic box office</t>
  </si>
  <si>
    <t>($M, Box Office Mojo); Box Office Mojo calendar-quarter domestic gross: Universal + Focus + DreamWorks titles (S15)</t>
  </si>
  <si>
    <t>Theatrical rev. % of domestic box office</t>
  </si>
  <si>
    <t>(3Q26E = assumption); 3Q26E 110% vs 106% in 3Q25: The Odyssey ~65% international, $1.7bn+ worldwide (S16)</t>
  </si>
  <si>
    <t>Studios revenue build ($ millions)</t>
  </si>
  <si>
    <t>Content licensing</t>
  </si>
  <si>
    <t>S4; S6; S1; S3</t>
  </si>
  <si>
    <t>−2% assumption</t>
  </si>
  <si>
    <t>Theatrical</t>
  </si>
  <si>
    <t>(home entertainment, stage plays, third-party distribution); S4; S6; S1; S3</t>
  </si>
  <si>
    <t>−10% (2Q26 −21.5%)</t>
  </si>
  <si>
    <t>Total Studios revenue</t>
  </si>
  <si>
    <t xml:space="preserve">   Memo: reported Studios revenue</t>
  </si>
  <si>
    <t>Studios growth decomposition (Y/Y)</t>
  </si>
  <si>
    <t>FX not disclosed for Studios (n.a.)</t>
  </si>
  <si>
    <t>Studios costs and Adjusted EBITDA</t>
  </si>
  <si>
    <t xml:space="preserve">   % of Studios revenue</t>
  </si>
  <si>
    <t>(3Q26E = assumption); 62%: theatrical windfall carries a lower P&amp;P ratio (3Q25 65.4%)</t>
  </si>
  <si>
    <t>(3Q26E = assumption); 470: summer launch spend partly in 2Q26</t>
  </si>
  <si>
    <t>Other (E: input)</t>
  </si>
  <si>
    <t>265 (flat)</t>
  </si>
  <si>
    <t>Total Studios costs</t>
  </si>
  <si>
    <t>Studios Adjusted EBITDA</t>
  </si>
  <si>
    <t>Studios Adjusted EBITDA margin (%)</t>
  </si>
  <si>
    <t xml:space="preserve">   Memo: reported Studios Adjusted EBITDA</t>
  </si>
  <si>
    <t>Segment - Theme Parks</t>
  </si>
  <si>
    <t>Operating drivers</t>
  </si>
  <si>
    <t>Attendance ladder (not disclosed)</t>
  </si>
  <si>
    <t>(not disclosed by Comcast)</t>
  </si>
  <si>
    <t>Attendance (not disclosed by Comcast)</t>
  </si>
  <si>
    <t>Not disclosed by Comcast</t>
  </si>
  <si>
    <t xml:space="preserve">   Attendance volume % Y/Y</t>
  </si>
  <si>
    <t>(3Q26E = assumption); −8%: Orlando softness into 3Q, laps Epic first summer; Osaka China curbs (JNTO −59% Aug, S22); Beijing weak (S2, S5)</t>
  </si>
  <si>
    <t>Per-capita spending</t>
  </si>
  <si>
    <t xml:space="preserve">   Per-capita spending % Y/Y</t>
  </si>
  <si>
    <t>(3Q26E = assumption); +2.7%: Epic lifts per-caps; pricing (S2)</t>
  </si>
  <si>
    <t>Destinations operated</t>
  </si>
  <si>
    <t>(Orlando, Hollywood, Osaka, Beijing; Frisco Kids Resort opened summer 2026)</t>
  </si>
  <si>
    <t>Theme Parks revenue and Adjusted EBITDA</t>
  </si>
  <si>
    <t>Theme Parks revenue</t>
  </si>
  <si>
    <t>(3Q26E = 3Q25 × volume × per-cap); S4; S1; S3</t>
  </si>
  <si>
    <t>FX not disclosed (n.a.)</t>
  </si>
  <si>
    <t>+1%: Frisco Kids Resort, Hollywood coaster pre-opening; lower variable cost</t>
  </si>
  <si>
    <t>Theme Parks Adjusted EBITDA</t>
  </si>
  <si>
    <t xml:space="preserve">   Memo: reported Theme Parks EBITDA</t>
  </si>
  <si>
    <t>Income Statement (GAAP to Adjusted / normalized EPS)</t>
  </si>
  <si>
    <t>GAAP income statement ($ millions)</t>
  </si>
  <si>
    <t>Revenue</t>
  </si>
  <si>
    <t>History = CapIQ revenue actual (Inputs); 3Q26E = Revenue summary</t>
  </si>
  <si>
    <t>(Versant, Sky Germany)</t>
  </si>
  <si>
    <t xml:space="preserve">   FX impact (not disclosed at group level)</t>
  </si>
  <si>
    <t xml:space="preserve">   Pro forma (like-for-like) % Y/Y</t>
  </si>
  <si>
    <t>Programming and production</t>
  </si>
  <si>
    <t>S1, S3, S7, S8, S10; S4 note 21; 3Q26E = derived residual (I25 − I19 − I22)</t>
  </si>
  <si>
    <t>Marketing and promotion</t>
  </si>
  <si>
    <t>S1, S3, S7, S8, S10; S4 note 21</t>
  </si>
  <si>
    <t>Other operating and administrative</t>
  </si>
  <si>
    <t>Costs and expenses excl. D&amp;A</t>
  </si>
  <si>
    <t xml:space="preserve">   Marketing % of costs ex-D&amp;A</t>
  </si>
  <si>
    <t>(3Q26E = assumption); 3Q26E = 2Q26 mix</t>
  </si>
  <si>
    <t xml:space="preserve">   Other op. &amp; admin % of costs ex-D&amp;A</t>
  </si>
  <si>
    <t xml:space="preserve">   Marketing share Y/Y change (bps)</t>
  </si>
  <si>
    <t xml:space="preserve">   Other op. &amp; admin share Y/Y change (bps)</t>
  </si>
  <si>
    <t>Depreciation (E: input)</t>
  </si>
  <si>
    <t>3Q26E 2,410 (2Q26 2,391)</t>
  </si>
  <si>
    <t>Amortization</t>
  </si>
  <si>
    <t xml:space="preserve">   of which acquisition-related intangibles</t>
  </si>
  <si>
    <t>(3Q26E = assumption); 3Q26E 520 (2Q26 525)</t>
  </si>
  <si>
    <t xml:space="preserve">   of which other</t>
  </si>
  <si>
    <t>(software, IP; incl. impairments; 3Q26E = assumption); 3Q26E 780 (2Q26 772)</t>
  </si>
  <si>
    <t>Total costs and expenses</t>
  </si>
  <si>
    <t>Operating income</t>
  </si>
  <si>
    <t>Operating margin (%)</t>
  </si>
  <si>
    <t>Interest expense (E: input)</t>
  </si>
  <si>
    <t>3Q26E −1,020: debt down after $7.3bn 1H26 repayments (S1)</t>
  </si>
  <si>
    <t>Equity in net income of investees</t>
  </si>
  <si>
    <t>(3Q26E = assumption); 3Q26E −140 assumption</t>
  </si>
  <si>
    <t>Gains (losses) on equity securities, net</t>
  </si>
  <si>
    <t>Other income (loss), net</t>
  </si>
  <si>
    <t>(3Q26E = assumption); 3Q26E 160 (4-qtr avg ~170)</t>
  </si>
  <si>
    <t>Investment and other income (loss), net</t>
  </si>
  <si>
    <t>Income before income taxes</t>
  </si>
  <si>
    <t>Income tax (expense) benefit</t>
  </si>
  <si>
    <t>Effective tax rate (%)</t>
  </si>
  <si>
    <t>Net income</t>
  </si>
  <si>
    <t>Less: NCI share of net income (loss)</t>
  </si>
  <si>
    <t>(3Q26E = assumption); 3Q26E −90 (3Q25 −83)</t>
  </si>
  <si>
    <t>Net income attributable to Comcast</t>
  </si>
  <si>
    <t>Net margin (%)</t>
  </si>
  <si>
    <t xml:space="preserve">   Memo: reported net income to Comcast</t>
  </si>
  <si>
    <t xml:space="preserve">   Check: P&amp;L ties to reported NI (±3)</t>
  </si>
  <si>
    <t>Weighted-average basic shares (M)</t>
  </si>
  <si>
    <t>Weighted-average diluted shares (M)</t>
  </si>
  <si>
    <t>Basic EPS (computed)</t>
  </si>
  <si>
    <t>Diluted EPS — GAAP</t>
  </si>
  <si>
    <t>(net income / diluted shares)</t>
  </si>
  <si>
    <t xml:space="preserve">   Memo: reported GAAP diluted EPS</t>
  </si>
  <si>
    <t>(CapIQ actual; FY from 10-K); FY: 10-K</t>
  </si>
  <si>
    <t xml:space="preserve">   Check: EPS = net income / diluted shares</t>
  </si>
  <si>
    <t>(vs reported, ±$0.006)</t>
  </si>
  <si>
    <t xml:space="preserve">   Identity: EPS = NI / dil. shares (E)</t>
  </si>
  <si>
    <t>Adjusted EBITDA reconciliation</t>
  </si>
  <si>
    <t>Depreciation and amortization</t>
  </si>
  <si>
    <t>Transaction costs (Versant separation)</t>
  </si>
  <si>
    <t>Transaction-related costs</t>
  </si>
  <si>
    <t>(Versant separation); S1, S3, S7, S8, S10; S4 note 21</t>
  </si>
  <si>
    <t>Other adjustments</t>
  </si>
  <si>
    <t>(certain SBC, investment portfolio, legal settlement; 3Q26E = assumption); 3Q26E 55 (2Q26 SBC adjustment 58)</t>
  </si>
  <si>
    <t>Restructuring</t>
  </si>
  <si>
    <t>(3Q26E est.; none in history); Est. $175M cost-transformation charge (S5, S24); size and exclusion from Adj. EPS are model assumptions, not issuer policy; unresolved (rows 153-157)</t>
  </si>
  <si>
    <t>Adjusted EBITDA</t>
  </si>
  <si>
    <t>(consolidated, from GAAP)</t>
  </si>
  <si>
    <t xml:space="preserve">   Memo: reported consolidated Adj. EBITDA</t>
  </si>
  <si>
    <t xml:space="preserve">   Check: ties to reported (±3)</t>
  </si>
  <si>
    <t>Adjusted EBITDA by segment ($ millions)</t>
  </si>
  <si>
    <t xml:space="preserve">   C&amp;E Headquarters &amp; Other costs</t>
  </si>
  <si>
    <t>(3Q26E = assumption); 3Q26E 230 (2Q26 233)</t>
  </si>
  <si>
    <t>C&amp;E Eliminations (E: input)</t>
  </si>
  <si>
    <t>3Q26E +20 assumption</t>
  </si>
  <si>
    <t xml:space="preserve">   Corporate &amp; Other costs</t>
  </si>
  <si>
    <t>(3Q26E = assumption); 3Q26E 700 (1Q26 669; 2Q26 742)</t>
  </si>
  <si>
    <t xml:space="preserve">   Eliminations costs</t>
  </si>
  <si>
    <t>3Q26E 0 (2Q26 +3)</t>
  </si>
  <si>
    <t>Pro forma Adjusted EBITDA</t>
  </si>
  <si>
    <t xml:space="preserve">   % Y/Y (pro forma)</t>
  </si>
  <si>
    <t>Pro forma Adjusted EBITDA margin (%)</t>
  </si>
  <si>
    <t xml:space="preserve">   Memo: reported pro forma Adjusted EBITDA</t>
  </si>
  <si>
    <t xml:space="preserve">   Check: segment EBITDA = reported PF</t>
  </si>
  <si>
    <t>Versant</t>
  </si>
  <si>
    <t>(GAAP-derived less segment build)</t>
  </si>
  <si>
    <t>Adjusted EBITDA (consolidated)</t>
  </si>
  <si>
    <t xml:space="preserve">   Check: seg. build vs GAAP (±5)</t>
  </si>
  <si>
    <t>History: genuine ±5 tolerance on row 109 residual (segment build vs GAAP-derived Adj. EBITDA; same tolerance as row 105). 3Q26E I115: identity by construction (I25 derived from segment build), not independent validation</t>
  </si>
  <si>
    <t>GAAP to non-GAAP bridge — after tax</t>
  </si>
  <si>
    <t>Net income to Comcast (GAAP)</t>
  </si>
  <si>
    <t>Acq.-related amortization, net of tax</t>
  </si>
  <si>
    <t>Investments, net of tax</t>
  </si>
  <si>
    <t>(equity securities, certain equity-method investees); S1, S3, S7, S8, S10; S4 note 21</t>
  </si>
  <si>
    <t>Long-lived asset impairments</t>
  </si>
  <si>
    <t>Transaction costs (Versant)</t>
  </si>
  <si>
    <t>S1, S3, S7, S8, S10; S4 note 21. 3Q26E = I79 × (1 − I146); I146 24% is a conditional placeholder (history implies ~11–15% on Versant costs); amount 0, no EPS effect</t>
  </si>
  <si>
    <t>Transaction-related costs (Versant)</t>
  </si>
  <si>
    <t>S1, S3, S7, S8, S10; S4 note 21. 3Q26E = I80 × (1 − I146); I146 24% is a conditional placeholder (history implies ~12%); amount 0, no EPS effect</t>
  </si>
  <si>
    <t>Gain related to investment (Hulu sale)</t>
  </si>
  <si>
    <t>Tax benefit: internal reorganization</t>
  </si>
  <si>
    <t>Tax benefit</t>
  </si>
  <si>
    <t>Other adjustments, net of tax</t>
  </si>
  <si>
    <t>(certain SBC, legal settlement); S1, S3, S7, S8, S10; S4 note 21</t>
  </si>
  <si>
    <t>(excluded portion); S1, S3, S7, S8, S10; S4 note 21</t>
  </si>
  <si>
    <t>Adjusted net income (normalized)</t>
  </si>
  <si>
    <t xml:space="preserve">   Memo: reported Adjusted net income</t>
  </si>
  <si>
    <t xml:space="preserve">   Check: bridge ties to reported (±3)</t>
  </si>
  <si>
    <t>Adjusted diluted EPS (computed)</t>
  </si>
  <si>
    <t>Conditional model-normalized estimate: excludes assumed $175M restructuring (I82/I128; assumption, not established issuer policy); if not excluded, EPS = I155. Treatment unresolved</t>
  </si>
  <si>
    <t>Normalized diluted EPS — reported</t>
  </si>
  <si>
    <t>(CapIQ actual = Comcast Adjusted EPS); Inputs (S20); FY: S7</t>
  </si>
  <si>
    <t xml:space="preserve">   Check: computed vs reported (±$0.006)</t>
  </si>
  <si>
    <t>EPS vs consensus (normalized diluted)</t>
  </si>
  <si>
    <t>(history = CapIQ reported; 3Q26E = conditional Shortcut estimate I133; match to CapIQ basis not established, see rows 153-157)</t>
  </si>
  <si>
    <t xml:space="preserve">   Consensus normalized EPS (CapIQ, frozen)</t>
  </si>
  <si>
    <t xml:space="preserve">   Surprise vs consensus ($)</t>
  </si>
  <si>
    <t>Tax build for forecast quarter</t>
  </si>
  <si>
    <t>Investments adjustment, pre-tax</t>
  </si>
  <si>
    <t>(3Q26E = assumption); judgmental: 80 of 140 equity-method loss (I49) assumed excluded; each ±$25M pre-tax = ±$0.005 EPS; unresolved</t>
  </si>
  <si>
    <t>Adjusted pre-tax income</t>
  </si>
  <si>
    <t xml:space="preserve">   Adjusted effective tax rate</t>
  </si>
  <si>
    <t>(3Q26E = assumption; 3Q25 26.3%, 1Q26 26.6%, 2Q26 26.1%); Computed 3Q25 26.3%, 1Q26 26.6%, 2Q26 26.1%</t>
  </si>
  <si>
    <t>Adjusted income tax expense</t>
  </si>
  <si>
    <t xml:space="preserve">   Tax rate on acquisition amortization</t>
  </si>
  <si>
    <t>(2Q26 implied: 1-403/525); 2Q26: 1 − 403/525</t>
  </si>
  <si>
    <t xml:space="preserve">   Tax rate on other adjustments</t>
  </si>
  <si>
    <t>(assumption)</t>
  </si>
  <si>
    <t>Tax effect of non-GAAP adjustments</t>
  </si>
  <si>
    <t>Transaction costs (I79, I80) taxed at I146 (conditional; currently 0)</t>
  </si>
  <si>
    <t>Cross-check: adj. PBT − tax − NCI</t>
  </si>
  <si>
    <t xml:space="preserve">   Check: bridge equals cross-check</t>
  </si>
  <si>
    <t>3Q26E: arithmetic identity (bridge vs adj. PBT − tax − NCI), not independent validation</t>
  </si>
  <si>
    <t>Memo: C&amp;P Adjusted EBITDA</t>
  </si>
  <si>
    <t>Sensitivity: restructuring treatment in Adjusted EPS (unresolved)</t>
  </si>
  <si>
    <t>Adj. NI, restructuring not excluded</t>
  </si>
  <si>
    <t>Alternative: $175M charge (I82) kept inside Adjusted NI; no pre-cutoff issuer precedent for excluding non-transaction severance</t>
  </si>
  <si>
    <t>Adj. EPS, restructuring not excluded</t>
  </si>
  <si>
    <t>Same diluted shares (I68); primary estimate I133 retains the original exclusion assumption</t>
  </si>
  <si>
    <t xml:space="preserve">   EPS impact of treatment ($)</t>
  </si>
  <si>
    <t>Material: −$0.037 per share; alternative $0.951 vs primary $0.988 vs $0.99 consensus. Charge size and exclusion are model assumptions; treatment unresolved</t>
  </si>
  <si>
    <t>Adj. EBITDA, restr. not excluded</t>
  </si>
  <si>
    <t>Alternative Adj. EBITDA if the $175M charge (I82) stays inside Adj. EBITDA; primary I110 retains exclusion</t>
  </si>
  <si>
    <t>Target metrics not applicable to issuer</t>
  </si>
  <si>
    <t>Gross profit</t>
  </si>
  <si>
    <t>Not applicable: Comcast reports costs by nature (programming &amp; production, marketing &amp; promotion, other operating &amp; admin); no cost of sales / gross profit line (S1)</t>
  </si>
  <si>
    <t>Gross margin (%)</t>
  </si>
  <si>
    <t>Not applicable: no issuer-defined gross profit; not constructed (CapIQ gross_margin_pct blank, Inputs B109)</t>
  </si>
  <si>
    <t>Balance Sheet (period end)</t>
  </si>
  <si>
    <t>Assets ($ millions)</t>
  </si>
  <si>
    <t>Cash and cash equivalents</t>
  </si>
  <si>
    <t>S1, S3, S7, S8, S9, S10</t>
  </si>
  <si>
    <t>Receivables, net</t>
  </si>
  <si>
    <t>Other current assets</t>
  </si>
  <si>
    <t xml:space="preserve">   Rounding</t>
  </si>
  <si>
    <t>(reported subtotal less sum of components)</t>
  </si>
  <si>
    <t>Total current assets</t>
  </si>
  <si>
    <t xml:space="preserve">   Memo: reported total current assets</t>
  </si>
  <si>
    <t>Film and television costs</t>
  </si>
  <si>
    <t>Investments</t>
  </si>
  <si>
    <t>Property and equipment, net</t>
  </si>
  <si>
    <t>Goodwill</t>
  </si>
  <si>
    <t>Franchise rights</t>
  </si>
  <si>
    <t>Other intangible assets, net</t>
  </si>
  <si>
    <t>Other noncurrent assets, net</t>
  </si>
  <si>
    <t>Total assets</t>
  </si>
  <si>
    <t xml:space="preserve">   Memo: reported total assets</t>
  </si>
  <si>
    <t xml:space="preserve">   Check: total assets equals reported</t>
  </si>
  <si>
    <t>Liabilities and equity ($ millions)</t>
  </si>
  <si>
    <t>Accounts payable (trade creditors)</t>
  </si>
  <si>
    <t>Deferred revenue</t>
  </si>
  <si>
    <t>Accrued expenses &amp; other current liab.</t>
  </si>
  <si>
    <t>Current portion of debt</t>
  </si>
  <si>
    <t>S1, S3, S7, S8, S9, S10; 3Q26E = 2Q26 + CF debt repayments (current maturities); reclass of next-12-month maturities not modeled</t>
  </si>
  <si>
    <t>Advance on sale of investment (Hulu)</t>
  </si>
  <si>
    <t>Total current liabilities</t>
  </si>
  <si>
    <t xml:space="preserve">   Memo: reported total current liabilities</t>
  </si>
  <si>
    <t>Noncurrent portion of debt</t>
  </si>
  <si>
    <t>S1, S3, S7, S8, S9, S10; 3Q26E = 2Q26 + CF borrowings + noncash interest</t>
  </si>
  <si>
    <t>Deferred income taxes</t>
  </si>
  <si>
    <t>Other noncurrent liabilities</t>
  </si>
  <si>
    <t>Total liabilities</t>
  </si>
  <si>
    <t>Redeemable noncontrolling interests</t>
  </si>
  <si>
    <t>Comcast Corporation shareholders' equity</t>
  </si>
  <si>
    <t>Noncontrolling interests</t>
  </si>
  <si>
    <t>(reported total equity less sum of components)</t>
  </si>
  <si>
    <t>Total equity</t>
  </si>
  <si>
    <t xml:space="preserve">   Memo: reported total equity</t>
  </si>
  <si>
    <t>(reported total less sum of rounded components)</t>
  </si>
  <si>
    <t>Total liabilities, RNCI and equity</t>
  </si>
  <si>
    <t>Check: assets − liabilities − equity = 0</t>
  </si>
  <si>
    <t>History B:H: row 44 is a rounding plug to reported total assets, so this repeats the row 24 tie (plug ≤ |1|); 3Q26E I46: genuine roll-forward articulation (no new plug; I44 carries 2Q26)</t>
  </si>
  <si>
    <t xml:space="preserve">   Assets − liabilities − equity ($M)</t>
  </si>
  <si>
    <t>Leverage metrics</t>
  </si>
  <si>
    <t>Total debt</t>
  </si>
  <si>
    <t>Net debt</t>
  </si>
  <si>
    <t>Net debt / annualized Adj. EBITDA (x)</t>
  </si>
  <si>
    <t xml:space="preserve">   Y/Y change (x)</t>
  </si>
  <si>
    <t xml:space="preserve">   Q/Q change (x)</t>
  </si>
  <si>
    <t>Cash Flow Statement (quarterly; derived from reported year-to-date)</t>
  </si>
  <si>
    <t>Operating activities ($ millions)</t>
  </si>
  <si>
    <t>Share-based compensation</t>
  </si>
  <si>
    <t>3Q26E 320 (2Q26 359)</t>
  </si>
  <si>
    <t>Noncash interest expense (income), net</t>
  </si>
  <si>
    <t>3Q26E 120</t>
  </si>
  <si>
    <t>Net (gain) loss on investments &amp; other</t>
  </si>
  <si>
    <t>3Q26E 600 (2Q26 697)</t>
  </si>
  <si>
    <t>Current and noncurrent receivables, net</t>
  </si>
  <si>
    <t>3Q26E assumption</t>
  </si>
  <si>
    <t>Film and television costs, net</t>
  </si>
  <si>
    <t>Other operating assets and liabilities</t>
  </si>
  <si>
    <t>3Q26E +250 (assumption): incl. up to 175 unpaid restructuring accrual (IS I82); remaining ≥75 unspecified working capital</t>
  </si>
  <si>
    <t xml:space="preserve">   Rounding to reported subtotal</t>
  </si>
  <si>
    <t>Net cash from operating activities</t>
  </si>
  <si>
    <t>Investing activities ($ millions)</t>
  </si>
  <si>
    <t>Capital expenditures</t>
  </si>
  <si>
    <t>Cash paid for intangible assets</t>
  </si>
  <si>
    <t>Construction of Universal Beijing Resort</t>
  </si>
  <si>
    <t>Acquisitions, net of cash acquired</t>
  </si>
  <si>
    <t>Proceeds: sales of businesses &amp; invest.</t>
  </si>
  <si>
    <t>Purchases of investments</t>
  </si>
  <si>
    <t>Other investing</t>
  </si>
  <si>
    <t>Net cash (used in) investing activities</t>
  </si>
  <si>
    <t>Financing activities ($ millions)</t>
  </si>
  <si>
    <t>Proceeds from borrowings</t>
  </si>
  <si>
    <t>Repurchases and repayments of debt</t>
  </si>
  <si>
    <t>3Q26E −2,000 (current maturities $6.1bn)</t>
  </si>
  <si>
    <t>Repurchases of common stock</t>
  </si>
  <si>
    <t>(program and employee plans); Program paused; employee withholding only</t>
  </si>
  <si>
    <t>Dividends paid</t>
  </si>
  <si>
    <t>DPS × basic shares</t>
  </si>
  <si>
    <t>Cash transferred to Versant, net</t>
  </si>
  <si>
    <t>Other financing</t>
  </si>
  <si>
    <t>Net cash (used in) financing activities</t>
  </si>
  <si>
    <t>Impact of foreign currency on cash</t>
  </si>
  <si>
    <t xml:space="preserve">   Rounding to reported change in cash</t>
  </si>
  <si>
    <t>Change in cash incl. restricted</t>
  </si>
  <si>
    <t>(decrease)</t>
  </si>
  <si>
    <t>Cash incl. restricted, beginning</t>
  </si>
  <si>
    <t>YTD: S1, S3, S7, S8, S9, S10</t>
  </si>
  <si>
    <t>Cash incl. restricted, end of period</t>
  </si>
  <si>
    <t>Less: restricted / held-for-sale cash</t>
  </si>
  <si>
    <t>(in other assets); Held at 2Q26 level</t>
  </si>
  <si>
    <t>(ties to Balance Sheet)</t>
  </si>
  <si>
    <t>Identity: cash = BS cash (by constr.)</t>
  </si>
  <si>
    <t>Identity by construction: row 46 restricted/held-for-sale cash is derived as row 45 less BS cash, so this is always TRUE; not an independent tie (genuine cash tie = row 49)</t>
  </si>
  <si>
    <t>Check: ending cash = reported</t>
  </si>
  <si>
    <t xml:space="preserve">   Memo: reported ending cash</t>
  </si>
  <si>
    <t>Identity: qtr CFO = YTD (by constr.)</t>
  </si>
  <si>
    <t>Identity by construction: row 19 rounding plug forces quarterly CFO to sum to reported YTD (rows 30/39 likewise for CFI/CFF); always TRUE, not an independent tie</t>
  </si>
  <si>
    <t>Free cash flow</t>
  </si>
  <si>
    <t xml:space="preserve">   Memo: reported free cash flow</t>
  </si>
  <si>
    <t>FCF margin (% of revenue)</t>
  </si>
  <si>
    <t>Capital expenditures by business</t>
  </si>
  <si>
    <t xml:space="preserve">   Customer premise equipment</t>
  </si>
  <si>
    <t>Assumption</t>
  </si>
  <si>
    <t xml:space="preserve">   Scalable infrastructure</t>
  </si>
  <si>
    <t xml:space="preserve">   Line extensions</t>
  </si>
  <si>
    <t xml:space="preserve">   Support capital</t>
  </si>
  <si>
    <t>Connectivity &amp; Platforms capex</t>
  </si>
  <si>
    <t xml:space="preserve">   Memo: reported C&amp;P capex</t>
  </si>
  <si>
    <t>Content &amp; Experiences capex</t>
  </si>
  <si>
    <t>−15% (1H26 −20%)</t>
  </si>
  <si>
    <t>Corporate &amp; Other capex</t>
  </si>
  <si>
    <t>(incl. Versant / Sky Germany in history; derived)</t>
  </si>
  <si>
    <t>Total capital expenditures</t>
  </si>
  <si>
    <t>Capex intensity (% of revenue)</t>
  </si>
  <si>
    <t>Memo: reported cash flows, YTD</t>
  </si>
  <si>
    <t xml:space="preserve">   Net income (YTD)</t>
  </si>
  <si>
    <t xml:space="preserve">   Depreciation and amortization (YTD)</t>
  </si>
  <si>
    <t xml:space="preserve">   Share-based compensation (YTD)</t>
  </si>
  <si>
    <t xml:space="preserve">   Noncash interest, net (YTD)</t>
  </si>
  <si>
    <t xml:space="preserve">   Net (gain) loss on investments (YTD)</t>
  </si>
  <si>
    <t xml:space="preserve">   Deferred income taxes (YTD)</t>
  </si>
  <si>
    <t xml:space="preserve">   Receivables, net (YTD)</t>
  </si>
  <si>
    <t xml:space="preserve">   Film and television costs, net (YTD)</t>
  </si>
  <si>
    <t xml:space="preserve">   Accounts payable, trade (YTD)</t>
  </si>
  <si>
    <t xml:space="preserve">   Other operating assets &amp; liab. (YTD)</t>
  </si>
  <si>
    <t xml:space="preserve">   Capital expenditures (YTD)</t>
  </si>
  <si>
    <t xml:space="preserve">   Cash paid for intangible assets (YTD)</t>
  </si>
  <si>
    <t xml:space="preserve">   Universal Beijing construction (YTD)</t>
  </si>
  <si>
    <t xml:space="preserve">   Acquisitions, net of cash acquired (YTD)</t>
  </si>
  <si>
    <t xml:space="preserve">   Proceeds from sales (YTD)</t>
  </si>
  <si>
    <t xml:space="preserve">   Purchases of investments (YTD)</t>
  </si>
  <si>
    <t xml:space="preserve">   Other investing (YTD)</t>
  </si>
  <si>
    <t xml:space="preserve">   Proceeds from borrowings (YTD)</t>
  </si>
  <si>
    <t xml:space="preserve">   Repurchases and repayments of debt (YTD)</t>
  </si>
  <si>
    <t xml:space="preserve">   Repurchases of common stock (YTD)</t>
  </si>
  <si>
    <t>(program and employee plans); YTD: S1, S3, S7, S8, S9, S10</t>
  </si>
  <si>
    <t xml:space="preserve">   Dividends paid (YTD)</t>
  </si>
  <si>
    <t xml:space="preserve">   Cash transferred to Versant, net (YTD)</t>
  </si>
  <si>
    <t xml:space="preserve">   Other financing (YTD)</t>
  </si>
  <si>
    <t xml:space="preserve">   Impact of foreign currency on cash (YTD)</t>
  </si>
  <si>
    <t xml:space="preserve">   Cash from operations (YTD)</t>
  </si>
  <si>
    <t xml:space="preserve">   Cash from investing (YTD)</t>
  </si>
  <si>
    <t xml:space="preserve">   Cash from financing (YTD)</t>
  </si>
  <si>
    <t xml:space="preserve">   Change in cash incl. restricted (YTD)</t>
  </si>
  <si>
    <t>(decrease); YTD: S1, S3, S7, S8, S9, S10</t>
  </si>
  <si>
    <t>Geo — revenue by geography</t>
  </si>
  <si>
    <t>Revenue by geographic location</t>
  </si>
  <si>
    <t>United States</t>
  </si>
  <si>
    <t>United Kingdom</t>
  </si>
  <si>
    <t>Other geographic locations</t>
  </si>
  <si>
    <t>Total revenue (10-K)</t>
  </si>
  <si>
    <t xml:space="preserve">   United States % of total</t>
  </si>
  <si>
    <t xml:space="preserve">   United Kingdom % of total</t>
  </si>
  <si>
    <t xml:space="preserve">   Other geographic locations % of total</t>
  </si>
  <si>
    <t xml:space="preserve">   Check: geography = FY revenue (±1)</t>
  </si>
  <si>
    <t>(±1 rounding)</t>
  </si>
  <si>
    <t>Quarterly identifiable geography</t>
  </si>
  <si>
    <t>US: dom. broadband &amp; wireless</t>
  </si>
  <si>
    <t>US: Media domestic adv. &amp; distribution</t>
  </si>
  <si>
    <t>US: Versant (separated Jan-2-2026)</t>
  </si>
  <si>
    <t>Identifiable United States revenue</t>
  </si>
  <si>
    <t>International: connectivity (UK &amp; Italy)</t>
  </si>
  <si>
    <t>Intl: Media international networks</t>
  </si>
  <si>
    <t>International: Sky operations in Germany</t>
  </si>
  <si>
    <t>(sold May-31-2026)</t>
  </si>
  <si>
    <t>Identifiable international revenue</t>
  </si>
  <si>
    <t>Not geographically split</t>
  </si>
  <si>
    <t>(video, advertising, other, BSC, Studios, Parks, HQ, corporate, eliminations)</t>
  </si>
  <si>
    <t>Total revenue</t>
  </si>
  <si>
    <t xml:space="preserve">   Identity: Geo = total (by constr.)</t>
  </si>
  <si>
    <t>Identity by construction: row 27 is the residual of IS revenue less identifiable rows; not an independent tie (genuine geography tie = F16 vs 10-K)</t>
  </si>
  <si>
    <t xml:space="preserve">   Identifiable US % of total</t>
  </si>
  <si>
    <t xml:space="preserve">   Identifiable US % Y/Y</t>
  </si>
  <si>
    <t xml:space="preserve">   Identifiable international % of total</t>
  </si>
  <si>
    <t xml:space="preserve">   Identifiable international % Y/Y</t>
  </si>
  <si>
    <t xml:space="preserve">   Not split % of total</t>
  </si>
  <si>
    <t xml:space="preserve">   Not split % Y/Y</t>
  </si>
  <si>
    <t>Geographic growth decomposition (Y/Y)</t>
  </si>
  <si>
    <t>US domestic connectivity</t>
  </si>
  <si>
    <t>S11</t>
  </si>
  <si>
    <t>US Media domestic</t>
  </si>
  <si>
    <t>US Versant</t>
  </si>
  <si>
    <t>Identifiable United States</t>
  </si>
  <si>
    <t>1Q26 0%: Sky Germany owned in full in both periods; 2Q26 n.a.: June-2026 stub (sold May-31-2026) not disclosed; 3Q26E −100%</t>
  </si>
  <si>
    <t>Identifiable international</t>
  </si>
  <si>
    <t>1Q26 0%; 2Q26 n.a. (June stub not disclosed); 3Q26E = loss of Sky Germany ÷ 3Q25 international</t>
  </si>
  <si>
    <t>Share Count</t>
  </si>
  <si>
    <t>millions of shares, except per share</t>
  </si>
  <si>
    <t>Weighted-average shares (millions)</t>
  </si>
  <si>
    <t>Shares outstanding at start of quarter</t>
  </si>
  <si>
    <t>(Class A + B; 3Q26E = 10-Q cover, Jul-15-2026); 10-Q cover: 3,539.2M Class A + 9.4M Class B at Jul-15-2026 (S13)</t>
  </si>
  <si>
    <t>Net employee-plan issuance, weighted</t>
  </si>
  <si>
    <t>(3Q26E = assumption); Assumption</t>
  </si>
  <si>
    <t>Weighted repurchases in quarter</t>
  </si>
  <si>
    <t>(program paused Jul-1-2026)</t>
  </si>
  <si>
    <t>Weighted-average basic shares</t>
  </si>
  <si>
    <t>4Q25 derived, day-weighted = (365×FY − 90×Q1 − 91×Q2 − 92×Q3)/92 (S12); FY rounded to 1M, so ±2M</t>
  </si>
  <si>
    <t>Dilutive securities</t>
  </si>
  <si>
    <t>(diluted less basic; 3Q26E = assumption); 3Q26E 8M (2Q26 6M; 2025 avg 10M)</t>
  </si>
  <si>
    <t>Weighted-average diluted shares</t>
  </si>
  <si>
    <t>S12; S1, S3, S7, S8, S9, S10</t>
  </si>
  <si>
    <t xml:space="preserve">   Q/Q change (M)</t>
  </si>
  <si>
    <t xml:space="preserve">   Basic shares % Y/Y</t>
  </si>
  <si>
    <t xml:space="preserve">   Basic shares Q/Q change (M)</t>
  </si>
  <si>
    <t>Buybacks, issuance and dividends</t>
  </si>
  <si>
    <t>Shares repurchased under program (M)</t>
  </si>
  <si>
    <t>Releases; program paused Jul-1-2026 (S1)</t>
  </si>
  <si>
    <t>Repurchase amount under program</t>
  </si>
  <si>
    <t>($M, as reported, rounded to $0.1bn); S12; S1, S3, S7, S8, S9, S10</t>
  </si>
  <si>
    <t xml:space="preserve">   Average repurchase price ($/share)</t>
  </si>
  <si>
    <t>Cash repurchases incl. employee plans</t>
  </si>
  <si>
    <t>($M, Cash Flow)</t>
  </si>
  <si>
    <t>Share issuance under employee plans</t>
  </si>
  <si>
    <t>(not disclosed quarterly)</t>
  </si>
  <si>
    <t>Dividend per share declared ($)</t>
  </si>
  <si>
    <t>$0.33 quarterly; ex-dividend Oct-7-2026</t>
  </si>
  <si>
    <t>Dividends paid ($M, Cash Flow)</t>
  </si>
  <si>
    <t>Share count behind forecast EPS</t>
  </si>
  <si>
    <t>Diluted shares used for 3Q26E EPS (M)</t>
  </si>
  <si>
    <t>Adjusted net income 3Q26E ($M)</t>
  </si>
  <si>
    <t>Normalized diluted EPS 3Q26E ($)</t>
  </si>
  <si>
    <t>Guidance (company guidance and outlook statements)</t>
  </si>
  <si>
    <t>Period: n.a. (see column C)</t>
  </si>
  <si>
    <t>Period end: n.a.</t>
  </si>
  <si>
    <t>Days in period: n.a.</t>
  </si>
  <si>
    <t>Metric</t>
  </si>
  <si>
    <t>Date</t>
  </si>
  <si>
    <t>Low</t>
  </si>
  <si>
    <t>High</t>
  </si>
  <si>
    <t>Midpoint</t>
  </si>
  <si>
    <t>Model/actual</t>
  </si>
  <si>
    <t>Beat/miss</t>
  </si>
  <si>
    <t>Guidance statement and source</t>
  </si>
  <si>
    <t>Revenue guidance</t>
  </si>
  <si>
    <t>3Q26</t>
  </si>
  <si>
    <t>Not provided</t>
  </si>
  <si>
    <t>No numeric revenue guidance (S1, S4); model value shown</t>
  </si>
  <si>
    <t>Net income guidance</t>
  </si>
  <si>
    <t>No numeric net income guidance (S1, S4); model adjusted NI shown</t>
  </si>
  <si>
    <t>EPS guidance (normalized)</t>
  </si>
  <si>
    <t>No EPS guidance; CapIQ guidance fields blank (S20); model EPS shown</t>
  </si>
  <si>
    <t>C&amp;P Adj. EBITDA Y/Y trend</t>
  </si>
  <si>
    <t>2026-07-23</t>
  </si>
  <si>
    <t>Qualitative</t>
  </si>
  <si>
    <t>Pending</t>
  </si>
  <si>
    <t>Guidance: modest improvement vs 2Q26 (−5.7%); Q2 call, reiterated Sep-9 (S2, S5); model value shown</t>
  </si>
  <si>
    <t>Broadband ARPU Y/Y trend</t>
  </si>
  <si>
    <t>Guidance: modest improvement vs 2Q26 (−3.8%); Q2 call (S2); model value shown</t>
  </si>
  <si>
    <t>Broadband net adds vs 3Q25</t>
  </si>
  <si>
    <t>2026-09-09</t>
  </si>
  <si>
    <t>Guidance: will not improve vs −91k in 3Q25; CFO, Sep-9-2026 investor conference (S5); model (000s) shown</t>
  </si>
  <si>
    <t>Broadband net adds FY26 vs FY25</t>
  </si>
  <si>
    <t>FY26</t>
  </si>
  <si>
    <t>Guidance: FY26 losses improve vs −654k in FY25; CFO, Sep-9-2026 investor conference (S5)</t>
  </si>
  <si>
    <t>Peacock profitability</t>
  </si>
  <si>
    <t>2026-04-23</t>
  </si>
  <si>
    <t>2Q26</t>
  </si>
  <si>
    <t>Beat</t>
  </si>
  <si>
    <t>Guidance: approach profitability in 2Q26 (Q1 call, S3); actual 2Q26 Peacock EBITDA shown (S1)</t>
  </si>
  <si>
    <t>Share repurchases</t>
  </si>
  <si>
    <t>2H26</t>
  </si>
  <si>
    <t>In line</t>
  </si>
  <si>
    <t>Guidance: paused from Jul-1-2026 through separation (S1, S2); model 3Q26E buyback $M shown</t>
  </si>
  <si>
    <t>Parks softness (model: rev. Y/Y)</t>
  </si>
  <si>
    <t>Guidance: softness continuing into 3Q (S2, S5); model Theme Parks revenue Y/Y shown</t>
  </si>
  <si>
    <t>Inputs — S&amp;P Capital IQ snapshot (captured 2026-10-18) and prior calibration</t>
  </si>
  <si>
    <t>CapIQ history</t>
  </si>
  <si>
    <t>period_end_date</t>
  </si>
  <si>
    <t>2025-03-31</t>
  </si>
  <si>
    <t>2025-06-30</t>
  </si>
  <si>
    <t>2025-09-30</t>
  </si>
  <si>
    <t>2025-12-31</t>
  </si>
  <si>
    <t>2026-03-31</t>
  </si>
  <si>
    <t>2026-06-30</t>
  </si>
  <si>
    <t>report_date</t>
  </si>
  <si>
    <t>2025-04-24</t>
  </si>
  <si>
    <t>2025-07-31</t>
  </si>
  <si>
    <t>2025-10-30</t>
  </si>
  <si>
    <t>2026-01-29</t>
  </si>
  <si>
    <t>eps_normalized_consensus</t>
  </si>
  <si>
    <t>S20</t>
  </si>
  <si>
    <t>eps_normalized_actual</t>
  </si>
  <si>
    <t>eps_gaap_consensus</t>
  </si>
  <si>
    <t>eps_gaap_actual</t>
  </si>
  <si>
    <t>revenue_m_consensus</t>
  </si>
  <si>
    <t>revenue_m_actual</t>
  </si>
  <si>
    <t>Normalized EPS surprise</t>
  </si>
  <si>
    <t>($, actual − consensus)</t>
  </si>
  <si>
    <t>Strict beat (1 = actual &gt; consensus)</t>
  </si>
  <si>
    <t>Revenue surprise (%)</t>
  </si>
  <si>
    <t>Size / history starting probability</t>
  </si>
  <si>
    <t>Value</t>
  </si>
  <si>
    <t>Single values; period band B4:I6 applies to rows 9–19 only</t>
  </si>
  <si>
    <t>Market capitalization</t>
  </si>
  <si>
    <t>($M; stockanalysis.com / Nasdaq Data Link, Oct-16-2026); S21</t>
  </si>
  <si>
    <t>S&amp;P 500 member</t>
  </si>
  <si>
    <t>(whichindex.com constituents as of Oct-16-2026); S21</t>
  </si>
  <si>
    <t>Large-cap threshold ($M, playbook)</t>
  </si>
  <si>
    <t>Mid-cap threshold ($M, playbook)</t>
  </si>
  <si>
    <t>Prior: large or S&amp;P 500 (playbook)</t>
  </si>
  <si>
    <t>Prior: mid (playbook)</t>
  </si>
  <si>
    <t>Prior: small (playbook)</t>
  </si>
  <si>
    <t>Size bucket</t>
  </si>
  <si>
    <t>Cohort prior</t>
  </si>
  <si>
    <t>(large or S&amp;P 500 rule applied once)</t>
  </si>
  <si>
    <t>b = strict beats in six CapIQ pairs</t>
  </si>
  <si>
    <t>n = valid pairs</t>
  </si>
  <si>
    <t>Pseudo-observations</t>
  </si>
  <si>
    <t>Starting probability, (8×prior+b)/(8+n)</t>
  </si>
  <si>
    <t>Quarter-specific evidence adjustment</t>
  </si>
  <si>
    <t>(judgment; see notes); Start 0.874 → final: model EPS ≈ consensus; severance-in-Adj. risk; broadband/parks deterioration; offset by The Odyssey and 6/6 beat record</t>
  </si>
  <si>
    <t>Final P(beat consensus normalized EPS)</t>
  </si>
  <si>
    <t>Preserved unchanged; feeds Cover C27 only (not an EPS input). Start 0.874 = large-cap/S&amp;P prior 0.78 updated for 6/6 strict beats (surprises +$0.02 to +$0.10, B17:H17). The −0.254 judgment reflects that the model point estimate sits at/below consensus ($0.988 primary; $0.951 if the $175M charge stays in Adj. EPS, IS I155) and downside risks (broadband, parks); the residual 0.62 rests on the historical pattern of actuals exceeding consensus by more than the $0.002 model gap, not on either modelled EPS path beating</t>
  </si>
  <si>
    <t>medium</t>
  </si>
  <si>
    <t>Other consensus observations</t>
  </si>
  <si>
    <t>Value 2</t>
  </si>
  <si>
    <t>finanzen.ch consensus EPS (Oct-7)</t>
  </si>
  <si>
    <t>(finanzen.ch data as of Oct-7-2026, reported by ad-hoc-news.de Oct-16-2026); S27. Not Capital IQ; informational only, feeds no cell</t>
  </si>
  <si>
    <t>MarketBeat consensus EPS: $0.987</t>
  </si>
  <si>
    <t>S28 (MarketBeat). Not Capital IQ. Publication date not preserved; search-index metadata dates the page 2026-10-21/22 (after cutoff), so pre-cutoff status is not established; informational only, feeds no cell</t>
  </si>
  <si>
    <t>KeyBanc 3Q26 broadband net adds (000s)</t>
  </si>
  <si>
    <t>(Sep-25-2026); S18 (Investing.com KeyBanc note). Not Capital IQ</t>
  </si>
  <si>
    <t>CMCSA_consensus.json: all raw fields</t>
  </si>
  <si>
    <t>source</t>
  </si>
  <si>
    <t>S&amp;P Capital IQ</t>
  </si>
  <si>
    <t>ticker</t>
  </si>
  <si>
    <t>company</t>
  </si>
  <si>
    <t>fiscal_period</t>
  </si>
  <si>
    <t>FQ3 2026 - Sep 2026</t>
  </si>
  <si>
    <t>2026-09-30</t>
  </si>
  <si>
    <t>as_of_date</t>
  </si>
  <si>
    <t>2026-10-18</t>
  </si>
  <si>
    <t>analyst_count</t>
  </si>
  <si>
    <t>consensus_eps</t>
  </si>
  <si>
    <t>eps_basis</t>
  </si>
  <si>
    <t>Normalized diluted EPS per ordinary/common share, USD; verify issuer adjustments and share identity</t>
  </si>
  <si>
    <t>consensus_revenue_m</t>
  </si>
  <si>
    <t>currency</t>
  </si>
  <si>
    <t>USD</t>
  </si>
  <si>
    <t>summary_sha256</t>
  </si>
  <si>
    <t>e59b846434f90c9b5de8c2ed951fd1b25c1f6d0217c680f72dea41992051a49d</t>
  </si>
  <si>
    <t>captured_precision</t>
  </si>
  <si>
    <t>date only, user confirmed</t>
  </si>
  <si>
    <t>currency_units_status</t>
  </si>
  <si>
    <t>eps_currency</t>
  </si>
  <si>
    <t>eps_share_unit</t>
  </si>
  <si>
    <t>diluted ordinary/common share</t>
  </si>
  <si>
    <t>revenue_currency</t>
  </si>
  <si>
    <t>financial_amount_scale</t>
  </si>
  <si>
    <t>millions</t>
  </si>
  <si>
    <t>company_name</t>
  </si>
  <si>
    <t>exchange_ticker</t>
  </si>
  <si>
    <t>NasdaqGS:CMCSA</t>
  </si>
  <si>
    <t>capiq_company_id</t>
  </si>
  <si>
    <t>currency_basis</t>
  </si>
  <si>
    <t>fiscal_year_end</t>
  </si>
  <si>
    <t>Dec-31</t>
  </si>
  <si>
    <t>fiscal_quarter</t>
  </si>
  <si>
    <t>quarter_end_date</t>
  </si>
  <si>
    <t>expected_report_date</t>
  </si>
  <si>
    <t>2026-10-29</t>
  </si>
  <si>
    <t>normalized diluted and GAAP diluted, as labelled</t>
  </si>
  <si>
    <t>eps_normalized_estimates</t>
  </si>
  <si>
    <t>eps_normalized_contributors</t>
  </si>
  <si>
    <t>detail_tab_total_contributors</t>
  </si>
  <si>
    <t>eps_normalized_mean</t>
  </si>
  <si>
    <t>eps_normalized_median</t>
  </si>
  <si>
    <t>eps_normalized_high</t>
  </si>
  <si>
    <t>eps_normalized_low</t>
  </si>
  <si>
    <t>eps_normalized_std_dev</t>
  </si>
  <si>
    <t>eps_normalized_n_est</t>
  </si>
  <si>
    <t>eps_normalized_guidance</t>
  </si>
  <si>
    <t>eps_normalized_guidance_low</t>
  </si>
  <si>
    <t>eps_normalized_guidance_high</t>
  </si>
  <si>
    <t>eps_gaap_mean</t>
  </si>
  <si>
    <t>eps_gaap_median</t>
  </si>
  <si>
    <t>eps_gaap_high</t>
  </si>
  <si>
    <t>eps_gaap_low</t>
  </si>
  <si>
    <t>eps_gaap_std_dev</t>
  </si>
  <si>
    <t>eps_gaap_n_est</t>
  </si>
  <si>
    <t>eps_gaap_guidance</t>
  </si>
  <si>
    <t>eps_gaap_guidance_low</t>
  </si>
  <si>
    <t>eps_gaap_guidance_high</t>
  </si>
  <si>
    <t>revenue_mean</t>
  </si>
  <si>
    <t>revenue_median</t>
  </si>
  <si>
    <t>revenue_high</t>
  </si>
  <si>
    <t>revenue_low</t>
  </si>
  <si>
    <t>revenue_std_dev</t>
  </si>
  <si>
    <t>revenue_n_est</t>
  </si>
  <si>
    <t>revenue_guidance</t>
  </si>
  <si>
    <t>revenue_guidance_low</t>
  </si>
  <si>
    <t>revenue_guidance_high</t>
  </si>
  <si>
    <t>ebitda</t>
  </si>
  <si>
    <t>ebit</t>
  </si>
  <si>
    <t>ebt_excl_excep</t>
  </si>
  <si>
    <t>ebt_gaap</t>
  </si>
  <si>
    <t>net_income_excl_excep</t>
  </si>
  <si>
    <t>net_income_gaap</t>
  </si>
  <si>
    <t>gross_margin_pct</t>
  </si>
  <si>
    <t>effective_tax_rate_pct</t>
  </si>
  <si>
    <t>d_and_a</t>
  </si>
  <si>
    <t>capex</t>
  </si>
  <si>
    <t>cfo</t>
  </si>
  <si>
    <t>fcf</t>
  </si>
  <si>
    <t>interest_expense</t>
  </si>
  <si>
    <t>net_debt</t>
  </si>
  <si>
    <t>nav</t>
  </si>
  <si>
    <t>roe_pct</t>
  </si>
  <si>
    <t>target_price_mean</t>
  </si>
  <si>
    <t>target_price_median</t>
  </si>
  <si>
    <t>target_price_high</t>
  </si>
  <si>
    <t>target_price_low</t>
  </si>
  <si>
    <t>target_price_std_dev</t>
  </si>
  <si>
    <t>target_price_n_est</t>
  </si>
  <si>
    <t>recommendation</t>
  </si>
  <si>
    <t>Hold</t>
  </si>
  <si>
    <t>recommendation_score</t>
  </si>
  <si>
    <t>last_close_price</t>
  </si>
  <si>
    <t>wk52_high_low</t>
  </si>
  <si>
    <t>32.86/20.48</t>
  </si>
  <si>
    <t>estimates_captured_at</t>
  </si>
  <si>
    <t>notes</t>
  </si>
  <si>
    <t>CapIQ expects FQ3 2026 release Oct-29-2026, outside the Oct 19-23 window</t>
  </si>
  <si>
    <t>Sources</t>
  </si>
  <si>
    <t>Period: n.a. (source register)</t>
  </si>
  <si>
    <t>ID</t>
  </si>
  <si>
    <t>Publication date</t>
  </si>
  <si>
    <t>Retrieved (UTC)</t>
  </si>
  <si>
    <t>Publisher</t>
  </si>
  <si>
    <t>What it feeds | URL or file</t>
  </si>
  <si>
    <t>S1</t>
  </si>
  <si>
    <t>2026-10-19</t>
  </si>
  <si>
    <t>Comcast (SEC 8-K Ex.99.1)</t>
  </si>
  <si>
    <t>2Q26 results: segments, IS, BS, CF, Adj. EPS bridge, constant currency | https://www.sec.gov/Archives/edgar/data/1166691/000162828026049274/ex991-6302026.htm</t>
  </si>
  <si>
    <t>S2</t>
  </si>
  <si>
    <t>The Motley Fool (call transcript)</t>
  </si>
  <si>
    <t>2Q26 call: C&amp;P EBITDA/ARPU modest improvement from 3Q, parks softness, buyback pause | https://www.fool.com/earnings/call-transcripts/2026/07/23/comcast-cmcsa-q2-2026-earnings-call-transcript/</t>
  </si>
  <si>
    <t>S3</t>
  </si>
  <si>
    <t>1Q26 results: segments, IS, BS, CF, bridge, constant currency | https://www.sec.gov/Archives/edgar/data/1166691/000162828026026685/ex991-3312026.htm</t>
  </si>
  <si>
    <t>Comcast trending schedules 2Q26 (via MarketScreener)</t>
  </si>
  <si>
    <t>Pro forma segment history ex-Versant &amp; Sky Germany; Peacock; customers; capex; costs; FCF | https://ae.marketscreener.com/news/comcast-2q26-trending-schedules-final-ce7f51dedb8cf324</t>
  </si>
  <si>
    <t>S5</t>
  </si>
  <si>
    <t>Comcast IR / LSEG transcript</t>
  </si>
  <si>
    <t>CFO at Sep-9-2026 investor conference: 3Q broadband losses not improving Y/Y; parks softness; cost transformation | https://www.cmcsa.com/static-files/cf1289bb-bc9c-4f50-9702-c68068174a7b</t>
  </si>
  <si>
    <t>S6</t>
  </si>
  <si>
    <t>2026-03-16</t>
  </si>
  <si>
    <t>Trending schedule as revised: 2025 recast segments, C&amp;E HQ &amp; eliminations, Peacock detail | https://www.sec.gov/Archives/edgar/data/1166691/000162828026017950/trendingscheduleasrevisedo.htm</t>
  </si>
  <si>
    <t>S7</t>
  </si>
  <si>
    <t>4Q25 / FY25 results: IS, BS, CF, bridge | https://www.sec.gov/Archives/edgar/data/1166691/000162828026003964/ex991-12312025.htm</t>
  </si>
  <si>
    <t>S8</t>
  </si>
  <si>
    <t>3Q25 results: IS, BS, 9M CF, bridge | https://www.sec.gov/Archives/edgar/data/1166691/000116669125000052/ex991-9302025.htm</t>
  </si>
  <si>
    <t>S9</t>
  </si>
  <si>
    <t>2Q25 results: BS, 6M CF | https://www.sec.gov/Archives/edgar/data/1166691/000116669125000034/ex991-6302025.htm</t>
  </si>
  <si>
    <t>S10</t>
  </si>
  <si>
    <t>1Q25 results: IS, BS, 3M CF, bridge | https://www.sec.gov/Archives/edgar/data/1166691/000116669125000018/ex991-3312025.htm</t>
  </si>
  <si>
    <t>2026-02-03</t>
  </si>
  <si>
    <t>Comcast 10-K FY2025 (SEC, R46)</t>
  </si>
  <si>
    <t>Revenue by geographic location FY2025 (Geo tab) | https://www.sec.gov/Archives/edgar/data/1166691/000162828026004994/R46.htm</t>
  </si>
  <si>
    <t>S12</t>
  </si>
  <si>
    <t>SEC XBRL company concept API</t>
  </si>
  <si>
    <t>Weighted-average basic shares by quarter | https://data.sec.gov/api/xbrl/companyconcept/CIK0001166691/us-gaap/WeightedAverageNumberOfSharesOutstandingBasic.json</t>
  </si>
  <si>
    <t>S13</t>
  </si>
  <si>
    <t>Comcast 10-Q 2Q26 (SEC)</t>
  </si>
  <si>
    <t>Shares outstanding Jul-15-2026 (3,539.2M A + 9.4M B); NBCU/Sky spin mid-2027; Sky Germany sale | https://www.sec.gov/Archives/edgar/data/1166691/000162828026049360/cmcsa-20260630.htm</t>
  </si>
  <si>
    <t>2026-09-15</t>
  </si>
  <si>
    <t>Business Wire / Comcast</t>
  </si>
  <si>
    <t>3Q26 earnings call scheduled Oct-22-2026 (issuer date) | https://www.businesswire.com/news/home/20260915730592/en/Comcast-to-Host-Third-Quarter-2026-Earnings-Conference-Call</t>
  </si>
  <si>
    <t>S15</t>
  </si>
  <si>
    <t>2026-10-01</t>
  </si>
  <si>
    <t>Box Office Mojo</t>
  </si>
  <si>
    <t>Q3 2026 / Q3 2025 domestic box office by distributor (Studios theatrical driver) | https://www.boxofficemojo.com/quarter/q3/2026/ ; https://www.boxofficemojo.com/quarter/q3/2025/</t>
  </si>
  <si>
    <t>S16</t>
  </si>
  <si>
    <t>2026-09-25</t>
  </si>
  <si>
    <t>Variety / Hollywood Reporter</t>
  </si>
  <si>
    <t>Universal crosses $5bn 2026 global box office; The Odyssey $1.7bn+ | https://variety.com/2026/film/box-office/universal-5-billion-global-box-office-odyssey-michael-obsession-1236875740/</t>
  </si>
  <si>
    <t>S17</t>
  </si>
  <si>
    <t>StreetInsider (UBS note)</t>
  </si>
  <si>
    <t>UBS 3Q26 preview: revenue −2.2%, EBITDA −3.1%; severance noise; parks softer | https://www.streetinsider.com/Analyst+Comments/Comcast+Corp+%28CMCSA%29+PT+Lowered+to+%2427+at+UBS+as+Q3+Estimates+Updated/27061953.html</t>
  </si>
  <si>
    <t>S18</t>
  </si>
  <si>
    <t>Investing.com (KeyBanc note)</t>
  </si>
  <si>
    <t>KeyBanc downgrade: 3Q broadband −140k vs consensus −119k; parks decline | https://www.investing.com/news/stock-market-news/keybanc-gets-bearish-on-comcast-as-broadband-competition-intensifies-4917694</t>
  </si>
  <si>
    <t>2026-10-16</t>
  </si>
  <si>
    <t>Bank of England / FX sources</t>
  </si>
  <si>
    <t>GBP/USD and EUR/USD Q3 2026 averages (FX assumption ~−0.5%) | https://www.bankofengland.co.uk/boeapps/database/Rates.asp?into=USD&amp;rateview=A</t>
  </si>
  <si>
    <t>S&amp;P Capital IQ (attached files)</t>
  </si>
  <si>
    <t>Frozen consensus, six-quarter history (Inputs tab) | CMCSA_consensus.json ; CMCSA_history.csv</t>
  </si>
  <si>
    <t>S21</t>
  </si>
  <si>
    <t>stockanalysis.com; whichindex.com</t>
  </si>
  <si>
    <t>Market cap $77.72bn (Oct-16-2026); S&amp;P 500 membership (prior calibration) | https://stockanalysis.com/stocks/cmcsa/market-cap/ ; https://whichindex.com/indexes/sp-500/</t>
  </si>
  <si>
    <t>S22</t>
  </si>
  <si>
    <t>2026-09-16</t>
  </si>
  <si>
    <t>Japan Times (JNTO data)</t>
  </si>
  <si>
    <t>Chinese visitors to Japan −59% Y/Y in Aug-2026 (Osaka park pressure) | https://www.japantimes.co.jp/news/2026/09/16/japan/august-foreign-visitors/</t>
  </si>
  <si>
    <t>S23</t>
  </si>
  <si>
    <t>2026-09-10</t>
  </si>
  <si>
    <t>Investing.com / Streaming Smarter (BofA conf.)</t>
  </si>
  <si>
    <t>Peacock price increase summer 2026; 48M subs; 80% ad tier | https://www.investing.com/news/transcripts/nbcuniversal-at-bank-of-america-conference-peacock-gains-momentum-93CH-4896083</t>
  </si>
  <si>
    <t>S24</t>
  </si>
  <si>
    <t>2026-09-24</t>
  </si>
  <si>
    <t>TheLayoff.com; Reuters (Oct-1)</t>
  </si>
  <si>
    <t>Cost-transformation layoffs began late Sep-2026 (severance assumption; low-reliability source) | https://www.reuters.com/legal/litigation/comcasts-nbcuniversal-cuts-streaming-technology-jobs-2026-10-01/</t>
  </si>
  <si>
    <t>S25</t>
  </si>
  <si>
    <t>2026-06-01</t>
  </si>
  <si>
    <t>RTL Group</t>
  </si>
  <si>
    <t>Sky Deutschland sale closed (scope change) | https://company.rtl.com/en/media/overview/press-releases-and-news/RTL-Group-closes-acquisition-of-Sky-Deutschland-DACH/</t>
  </si>
  <si>
    <t>S26</t>
  </si>
  <si>
    <t>MediaPost</t>
  </si>
  <si>
    <t>Peacock advertising revenue 1Q26 $908M, 2Q26 $717M | https://www.mediapost.com/publications/article/416753/nbcu-ad-spend-soars-55-in-q2-peacock-posts-profi.html</t>
  </si>
  <si>
    <t>S27</t>
  </si>
  <si>
    <t>ad-hoc-news.de (citing finanzen.ch)</t>
  </si>
  <si>
    <t>finanzen.ch consensus as of Oct-7-2026: adj. EPS $0.98, revenue $29.21bn, 22 analysts (Inputs B40:C40; informational only) | https://www.ad-hoc-news.de/boerse/news/corporate-news/comcast-stock-costs-eur-19-40-ahead-of-quarterly-results/70338547</t>
  </si>
  <si>
    <t>S28</t>
  </si>
  <si>
    <t>n.a. (not preserved)</t>
  </si>
  <si>
    <t>MarketBeat</t>
  </si>
  <si>
    <t>Consensus EPS $0.987 (Inputs B41; informational only). Search-index metadata dates the page 2026-10-21/22 (after cutoff); pre-cutoff publication not established | https://www.marketbeat.com/earnings/reports/2026-10-22-comcast-co-stock/</t>
  </si>
  <si>
    <t>Note: omitted tabs</t>
  </si>
  <si>
    <t>None omitted. Geo tab built from FY2025 10-K geography (S11) plus quarterly segment-identifiable splits; quarterly geography not disclosed.</t>
  </si>
  <si>
    <t>Note: extra history columns</t>
  </si>
  <si>
    <t>Columns 1Q25A and 2Q25A are included so FY25A reconciles to its four component quarters.</t>
  </si>
  <si>
    <t>Note: target-quarter exposure</t>
  </si>
  <si>
    <t>3Q26 actual results were not available before the cutoff; none used. Issuer report date Oct-22-2026 (S14); CapIQ supplied Oct-29-2026.</t>
  </si>
  <si>
    <t>Note: retrieval timing</t>
  </si>
  <si>
    <t>The Retrieved (UTC) column records when pages/search results were fetched (2026-10-19, after the 2026-10-18 21:34:46 UTC cutoff); it is not a frozen snapshot time. Publication dates S1–S27 are on or before the cutoff. Frozen financial inputs and common timestamp are in the Oct-18 manifest (S20). Dynamic pages (S15, S19, S21) were not snapshotted: documented limitation. S28 index date is post-cutoff (informational only; no model dependency).</t>
  </si>
</sst>
</file>

<file path=xl/styles.xml><?xml version="1.0" encoding="utf-8"?>
<styleSheet xmlns="http://schemas.openxmlformats.org/spreadsheetml/2006/main">
  <numFmts count="15">
    <numFmt numFmtId="164" formatCode="M/d/yyyy"/>
    <numFmt numFmtId="165" formatCode="#,##0.0_);(#,##0.0);–_)"/>
    <numFmt numFmtId="166" formatCode="$0.00"/>
    <numFmt numFmtId="167" formatCode="0.0%_);(0.0%);–_)"/>
    <numFmt numFmtId="168" formatCode="yyyy-mm-dd"/>
    <numFmt numFmtId="169" formatCode="#,##0.00_);(#,##0.00);–_)"/>
    <numFmt numFmtId="170" formatCode="#,##0_);(#,##0);–_)"/>
    <numFmt numFmtId="171" formatCode="@"/>
    <numFmt numFmtId="172" formatCode="0"/>
    <numFmt numFmtId="173" formatCode="General"/>
    <numFmt numFmtId="174" formatCode="$#,##0.00_);($#,##0.00);–_)"/>
    <numFmt numFmtId="175" formatCode="0.0&quot;x&quot;"/>
    <numFmt numFmtId="176" formatCode="$0.00_);($0.00);–_)"/>
    <numFmt numFmtId="177" formatCode="$0.000"/>
    <numFmt numFmtId="178" formatCode="$0.000_);($0.000);–_)"/>
  </numFmts>
  <fonts count="30">
    <font>
      <sz val="11"/>
      <name val="Calibri"/>
    </font>
    <font>
      <b val="0"/>
      <i val="0"/>
      <strike val="0"/>
      <sz val="11"/>
      <color rgb="FF000000"/>
      <name val="Calibri"/>
    </font>
    <font>
      <b val="0"/>
      <i val="0"/>
      <strike val="0"/>
      <sz val="10"/>
      <color rgb="FF000000"/>
      <name val="Arial"/>
    </font>
    <font>
      <b/>
      <i val="0"/>
      <strike val="0"/>
      <sz val="10"/>
      <color rgb="FF000000"/>
      <name val="Arial"/>
    </font>
    <font>
      <b val="0"/>
      <i/>
      <strike val="0"/>
      <sz val="10"/>
      <color rgb="FF006100"/>
      <name val="Arial"/>
    </font>
    <font>
      <b val="0"/>
      <i val="0"/>
      <strike val="0"/>
      <sz val="10"/>
      <color rgb="FF0000FF"/>
      <name val="Arial"/>
    </font>
    <font>
      <b val="0"/>
      <i/>
      <strike val="0"/>
      <sz val="10"/>
      <color rgb="FF0000FF"/>
      <name val="Arial"/>
    </font>
    <font>
      <b val="0"/>
      <i/>
      <strike val="0"/>
      <sz val="10"/>
      <color rgb="FF000000"/>
      <name val="Arial"/>
    </font>
    <font>
      <b val="0"/>
      <i/>
      <strike val="0"/>
      <sz val="10"/>
      <color rgb="FF595959"/>
      <name val="Arial"/>
    </font>
    <font>
      <b/>
      <i val="0"/>
      <strike val="0"/>
      <sz val="12"/>
      <color rgb="FF000000"/>
      <name val="Arial"/>
    </font>
    <font>
      <b val="0"/>
      <i val="0"/>
      <strike val="0"/>
      <sz val="10"/>
      <color rgb="FF006100"/>
      <name val="Arial"/>
    </font>
    <font>
      <b/>
      <i val="0"/>
      <strike val="0"/>
      <sz val="10"/>
      <color rgb="FF0000FF"/>
      <name val="Arial"/>
    </font>
    <font>
      <b/>
      <i val="0"/>
      <strike val="0"/>
      <sz val="10"/>
      <color rgb="FF006100"/>
      <name val="Arial"/>
    </font>
    <font>
      <b/>
      <i/>
      <strike val="0"/>
      <sz val="10"/>
      <color rgb="FF000000"/>
      <name val="Arial"/>
    </font>
    <font>
      <b val="0"/>
      <i/>
      <strike val="0"/>
      <sz val="10"/>
      <color rgb="FF595959"/>
      <name val="Arial"/>
    </font>
    <font>
      <b val="0"/>
      <i val="0"/>
      <strike val="0"/>
      <sz val="10"/>
      <color rgb="FF000000"/>
      <name val="Arial"/>
    </font>
    <font>
      <b/>
      <i val="0"/>
      <strike val="0"/>
      <sz val="10"/>
      <color rgb="FF000000"/>
      <name val="Arial"/>
    </font>
    <font>
      <b val="0"/>
      <i/>
      <strike val="0"/>
      <sz val="10"/>
      <color rgb="FF000000"/>
      <name val="Arial"/>
    </font>
    <font>
      <b val="0"/>
      <i val="0"/>
      <strike val="0"/>
      <sz val="10"/>
      <color rgb="FF0000FF"/>
      <name val="Arial"/>
    </font>
    <font>
      <b val="0"/>
      <i/>
      <strike val="0"/>
      <sz val="10"/>
      <color rgb="FF0000FF"/>
      <name val="Arial"/>
    </font>
    <font>
      <b val="0"/>
      <i val="0"/>
      <strike val="0"/>
      <sz val="10"/>
      <color rgb="FF000000"/>
      <name val="Arial"/>
    </font>
    <font>
      <b/>
      <i val="0"/>
      <strike val="0"/>
      <sz val="10"/>
      <color rgb="FF000000"/>
      <name val="Arial"/>
    </font>
    <font>
      <b val="0"/>
      <i/>
      <strike val="0"/>
      <sz val="10"/>
      <color rgb="FF595959"/>
      <name val="Arial"/>
    </font>
    <font>
      <b val="0"/>
      <i val="0"/>
      <strike val="0"/>
      <sz val="10"/>
      <color rgb="FF0000FF"/>
      <name val="Arial"/>
    </font>
    <font>
      <b/>
      <i/>
      <strike val="0"/>
      <sz val="10"/>
      <color rgb="FF000000"/>
      <name val="Arial"/>
    </font>
    <font>
      <b val="0"/>
      <i/>
      <strike val="0"/>
      <sz val="10"/>
      <color rgb="FF000000"/>
      <name val="Arial"/>
    </font>
    <font>
      <b val="0"/>
      <i val="0"/>
      <strike val="0"/>
      <sz val="10"/>
      <color rgb="FF006100"/>
      <name val="Arial"/>
    </font>
    <font>
      <b val="0"/>
      <i val="0"/>
      <strike val="0"/>
      <sz val="10"/>
      <color rgb="FF006100"/>
      <name val="Arial"/>
    </font>
    <font>
      <b val="0"/>
      <i val="0"/>
      <strike val="0"/>
      <sz val="10"/>
      <color rgb="FF000000"/>
      <name val="Arial"/>
    </font>
    <font>
      <b/>
      <i val="0"/>
      <strike val="0"/>
      <sz val="10"/>
      <color rgb="FF000000"/>
      <name val="Arial"/>
    </font>
  </fonts>
  <fills count="4">
    <fill>
      <patternFill patternType="none"/>
    </fill>
    <fill>
      <patternFill patternType="gray125"/>
    </fill>
    <fill>
      <patternFill patternType="solid">
        <fgColor rgb="FFE7E6E6"/>
      </patternFill>
    </fill>
    <fill>
      <patternFill patternType="solid">
        <fgColor rgb="FFEAF1FB"/>
      </patternFill>
    </fill>
  </fills>
  <borders count="3">
    <border>
      <left/>
      <right/>
      <top/>
      <bottom/>
      <diagonal/>
    </border>
    <border>
      <bottom style="thin">
        <color rgb="FF7F7F7F"/>
      </bottom>
    </border>
    <border>
      <top style="thin">
        <color rgb="FF7F7F7F"/>
      </top>
    </border>
  </borders>
  <cellStyleXfs count="1">
    <xf numFmtId="0" fontId="0" fillId="0" borderId="0"/>
  </cellStyleXfs>
  <cellXfs count="126">
    <xf numFmtId="0" fontId="0" fillId="0" borderId="0" xfId="0"/>
    <xf numFmtId="164" fontId="1" fillId="0" borderId="0" xfId="0" applyNumberFormat="1" applyFont="1" applyFill="1" applyAlignment="1" applyProtection="1">
      <alignment horizontal="general" vertical="bottom"/>
      <protection locked="1" hidden="0"/>
    </xf>
    <xf numFmtId="165" fontId="1" fillId="0" borderId="0" xfId="0" applyNumberFormat="1" applyFont="1" applyFill="1" applyAlignment="1" applyProtection="1">
      <alignment horizontal="general" vertical="bottom"/>
      <protection locked="1" hidden="0"/>
    </xf>
    <xf numFmtId="166" fontId="1" fillId="0" borderId="0" xfId="0" applyNumberFormat="1" applyFont="1" applyFill="1" applyAlignment="1" applyProtection="1">
      <alignment horizontal="general" vertical="bottom"/>
      <protection locked="1" hidden="0"/>
    </xf>
    <xf numFmtId="167" fontId="1" fillId="0" borderId="0" xfId="0" applyNumberFormat="1" applyFont="1" applyFill="1" applyAlignment="1" applyProtection="1">
      <alignment horizontal="general" vertical="bottom"/>
      <protection locked="1" hidden="0"/>
    </xf>
    <xf numFmtId="168" fontId="1" fillId="0" borderId="0" xfId="0" applyNumberFormat="1" applyFont="1" applyFill="1" applyAlignment="1" applyProtection="1">
      <alignment horizontal="general" vertical="bottom"/>
      <protection locked="1" hidden="0"/>
    </xf>
    <xf numFmtId="169" fontId="1" fillId="0" borderId="0" xfId="0" applyNumberFormat="1" applyFont="1" applyFill="1" applyAlignment="1" applyProtection="1">
      <alignment horizontal="general" vertical="bottom"/>
      <protection locked="1" hidden="0"/>
    </xf>
    <xf numFmtId="170" fontId="1" fillId="0" borderId="0" xfId="0" applyNumberFormat="1" applyFont="1" applyFill="1" applyAlignment="1" applyProtection="1">
      <alignment horizontal="general" vertical="bottom"/>
      <protection locked="1" hidden="0"/>
    </xf>
    <xf numFmtId="171" fontId="1" fillId="0" borderId="0" xfId="0" applyNumberFormat="1" applyFont="1" applyFill="1" applyAlignment="1" applyProtection="1">
      <alignment horizontal="general" vertical="bottom"/>
      <protection locked="1" hidden="0"/>
    </xf>
    <xf numFmtId="0" fontId="2" fillId="0" borderId="0" xfId="0" applyFont="1" applyFill="1" applyAlignment="1" applyProtection="1">
      <alignment horizontal="general" vertical="bottom"/>
      <protection locked="1" hidden="0"/>
    </xf>
    <xf numFmtId="168" fontId="3" fillId="2" borderId="0" xfId="0" applyNumberFormat="1" applyFont="1" applyFill="1" applyAlignment="1" applyProtection="1">
      <alignment horizontal="right" vertical="bottom"/>
      <protection locked="1" hidden="0"/>
    </xf>
    <xf numFmtId="167" fontId="4" fillId="0" borderId="0" xfId="0" applyNumberFormat="1" applyFont="1" applyFill="1" applyAlignment="1" applyProtection="1">
      <alignment horizontal="right" vertical="bottom"/>
      <protection locked="1" hidden="0"/>
    </xf>
    <xf numFmtId="171" fontId="3" fillId="0" borderId="1" xfId="0" applyNumberFormat="1" applyFont="1" applyFill="1" applyBorder="1" applyAlignment="1" applyProtection="1">
      <alignment horizontal="left" vertical="bottom"/>
      <protection locked="1" hidden="0"/>
    </xf>
    <xf numFmtId="165" fontId="5" fillId="0" borderId="0" xfId="0" applyNumberFormat="1" applyFont="1" applyFill="1" applyAlignment="1" applyProtection="1">
      <alignment horizontal="left" vertical="bottom"/>
      <protection locked="1" hidden="0"/>
    </xf>
    <xf numFmtId="171" fontId="2" fillId="0" borderId="0" xfId="0" applyNumberFormat="1" applyFont="1" applyFill="1" applyAlignment="1" applyProtection="1">
      <alignment horizontal="left" vertical="bottom"/>
      <protection locked="1" hidden="0"/>
    </xf>
    <xf numFmtId="166" fontId="5" fillId="0" borderId="0" xfId="0" applyNumberFormat="1" applyFont="1" applyFill="1" applyAlignment="1" applyProtection="1">
      <alignment horizontal="left" vertical="bottom"/>
      <protection locked="1" hidden="0"/>
    </xf>
    <xf numFmtId="171" fontId="5" fillId="0" borderId="0" xfId="0" applyNumberFormat="1" applyFont="1" applyFill="1" applyAlignment="1" applyProtection="1">
      <alignment horizontal="left" vertical="bottom"/>
      <protection locked="1" hidden="0"/>
    </xf>
    <xf numFmtId="0" fontId="3" fillId="2" borderId="2" xfId="0" applyFont="1" applyFill="1" applyBorder="1" applyAlignment="1" applyProtection="1">
      <alignment horizontal="right" vertical="bottom"/>
      <protection locked="1" hidden="0"/>
    </xf>
    <xf numFmtId="167" fontId="6" fillId="0" borderId="0" xfId="0" applyNumberFormat="1" applyFont="1" applyFill="1" applyAlignment="1" applyProtection="1">
      <alignment horizontal="left" vertical="bottom"/>
      <protection locked="1" hidden="0"/>
    </xf>
    <xf numFmtId="167" fontId="7" fillId="0" borderId="0" xfId="0" applyNumberFormat="1" applyFont="1" applyFill="1" applyAlignment="1" applyProtection="1">
      <alignment horizontal="left" vertical="bottom"/>
      <protection locked="1" hidden="0"/>
    </xf>
    <xf numFmtId="0" fontId="8" fillId="0" borderId="0" xfId="0" applyFont="1" applyFill="1" applyAlignment="1" applyProtection="1">
      <alignment horizontal="left" vertical="bottom"/>
      <protection locked="1" hidden="0"/>
    </xf>
    <xf numFmtId="172" fontId="3" fillId="2" borderId="1" xfId="0" applyNumberFormat="1" applyFont="1" applyFill="1" applyBorder="1" applyAlignment="1" applyProtection="1">
      <alignment horizontal="right" vertical="bottom"/>
      <protection locked="1" hidden="0"/>
    </xf>
    <xf numFmtId="166" fontId="2" fillId="0" borderId="0" xfId="0" applyNumberFormat="1" applyFont="1" applyFill="1" applyAlignment="1" applyProtection="1">
      <alignment horizontal="left" vertical="bottom"/>
      <protection locked="1" hidden="0"/>
    </xf>
    <xf numFmtId="0" fontId="7" fillId="0" borderId="0" xfId="0" applyFont="1" applyFill="1" applyAlignment="1" applyProtection="1">
      <alignment horizontal="general" vertical="bottom"/>
      <protection locked="1" hidden="0"/>
    </xf>
    <xf numFmtId="0" fontId="3" fillId="2" borderId="0" xfId="0" applyFont="1" applyFill="1" applyAlignment="1" applyProtection="1">
      <alignment horizontal="general" vertical="bottom"/>
      <protection locked="1" hidden="0"/>
    </xf>
    <xf numFmtId="165" fontId="2" fillId="0" borderId="0" xfId="0" applyNumberFormat="1" applyFont="1" applyFill="1" applyAlignment="1" applyProtection="1">
      <alignment horizontal="left" vertical="bottom"/>
      <protection locked="1" hidden="0"/>
    </xf>
    <xf numFmtId="0" fontId="9" fillId="0" borderId="0" xfId="0" applyFont="1" applyFill="1" applyAlignment="1" applyProtection="1">
      <alignment horizontal="general" vertical="bottom"/>
      <protection locked="1" hidden="0"/>
    </xf>
    <xf numFmtId="165" fontId="10" fillId="0" borderId="0" xfId="0" applyNumberFormat="1" applyFont="1" applyFill="1" applyAlignment="1" applyProtection="1">
      <alignment horizontal="right" vertical="bottom"/>
      <protection locked="1" hidden="0"/>
    </xf>
    <xf numFmtId="0" fontId="3" fillId="2" borderId="1" xfId="0" applyFont="1" applyFill="1" applyBorder="1" applyAlignment="1" applyProtection="1">
      <alignment horizontal="general" vertical="bottom"/>
      <protection locked="1" hidden="0"/>
    </xf>
    <xf numFmtId="167" fontId="7" fillId="0" borderId="0" xfId="0" applyNumberFormat="1" applyFont="1" applyFill="1" applyAlignment="1" applyProtection="1">
      <alignment horizontal="right" vertical="bottom"/>
      <protection locked="1" hidden="0"/>
    </xf>
    <xf numFmtId="171" fontId="2" fillId="0" borderId="0" xfId="0" applyNumberFormat="1" applyFont="1" applyFill="1" applyAlignment="1" applyProtection="1">
      <alignment horizontal="right" vertical="bottom"/>
      <protection locked="1" hidden="0"/>
    </xf>
    <xf numFmtId="165" fontId="10" fillId="3" borderId="0" xfId="0" applyNumberFormat="1" applyFont="1" applyFill="1" applyAlignment="1" applyProtection="1">
      <alignment horizontal="right" vertical="bottom"/>
      <protection locked="1" hidden="0"/>
    </xf>
    <xf numFmtId="171" fontId="5" fillId="0" borderId="0" xfId="0" applyNumberFormat="1" applyFont="1" applyFill="1" applyAlignment="1" applyProtection="1">
      <alignment horizontal="right" vertical="bottom"/>
      <protection locked="1" hidden="0"/>
    </xf>
    <xf numFmtId="173" fontId="2" fillId="0" borderId="0" xfId="0" applyNumberFormat="1" applyFont="1" applyFill="1" applyAlignment="1" applyProtection="1">
      <alignment horizontal="right" vertical="bottom"/>
      <protection locked="1" hidden="0"/>
    </xf>
    <xf numFmtId="0" fontId="3" fillId="0" borderId="0" xfId="0" applyFont="1" applyFill="1" applyAlignment="1" applyProtection="1">
      <alignment horizontal="left" vertical="bottom" wrapText="1"/>
      <protection locked="1" hidden="0"/>
    </xf>
    <xf numFmtId="0" fontId="3" fillId="0" borderId="0" xfId="0" applyFont="1" applyFill="1" applyAlignment="1" applyProtection="1">
      <alignment horizontal="general" vertical="bottom"/>
      <protection locked="1" hidden="0"/>
    </xf>
    <xf numFmtId="172" fontId="2" fillId="0" borderId="0" xfId="0" applyNumberFormat="1" applyFont="1" applyFill="1" applyAlignment="1" applyProtection="1">
      <alignment horizontal="right" vertical="bottom"/>
      <protection locked="1" hidden="0"/>
    </xf>
    <xf numFmtId="0" fontId="3" fillId="2" borderId="2" xfId="0" applyFont="1" applyFill="1" applyBorder="1" applyAlignment="1" applyProtection="1">
      <alignment horizontal="general" vertical="bottom"/>
      <protection locked="1" hidden="0"/>
    </xf>
    <xf numFmtId="0" fontId="2" fillId="0" borderId="0" xfId="0" applyFont="1" applyFill="1" applyAlignment="1" applyProtection="1">
      <alignment horizontal="general" vertical="top" wrapText="1"/>
      <protection locked="1" hidden="0"/>
    </xf>
    <xf numFmtId="165" fontId="5" fillId="0" borderId="0" xfId="0" applyNumberFormat="1" applyFont="1" applyFill="1" applyAlignment="1" applyProtection="1">
      <alignment horizontal="right" vertical="bottom"/>
      <protection locked="1" hidden="0"/>
    </xf>
    <xf numFmtId="165" fontId="2" fillId="0" borderId="0" xfId="0" applyNumberFormat="1" applyFont="1" applyFill="1" applyAlignment="1" applyProtection="1">
      <alignment horizontal="right" vertical="bottom"/>
      <protection locked="1" hidden="0"/>
    </xf>
    <xf numFmtId="165" fontId="2" fillId="3" borderId="0" xfId="0" applyNumberFormat="1" applyFont="1" applyFill="1" applyAlignment="1" applyProtection="1">
      <alignment horizontal="right" vertical="bottom"/>
      <protection locked="1" hidden="0"/>
    </xf>
    <xf numFmtId="171" fontId="3" fillId="0" borderId="2" xfId="0" applyNumberFormat="1" applyFont="1" applyFill="1" applyBorder="1" applyAlignment="1" applyProtection="1">
      <alignment horizontal="right" vertical="bottom"/>
      <protection locked="1" hidden="0"/>
    </xf>
    <xf numFmtId="174" fontId="2" fillId="0" borderId="0" xfId="0" applyNumberFormat="1" applyFont="1" applyFill="1" applyAlignment="1" applyProtection="1">
      <alignment horizontal="right" vertical="bottom"/>
      <protection locked="1" hidden="0"/>
    </xf>
    <xf numFmtId="165" fontId="11" fillId="0" borderId="2" xfId="0" applyNumberFormat="1" applyFont="1" applyFill="1" applyBorder="1" applyAlignment="1" applyProtection="1">
      <alignment horizontal="right" vertical="bottom"/>
      <protection locked="1" hidden="0"/>
    </xf>
    <xf numFmtId="165" fontId="3" fillId="0" borderId="2" xfId="0" applyNumberFormat="1" applyFont="1" applyFill="1" applyBorder="1" applyAlignment="1" applyProtection="1">
      <alignment horizontal="right" vertical="bottom"/>
      <protection locked="1" hidden="0"/>
    </xf>
    <xf numFmtId="170" fontId="7" fillId="3" borderId="0" xfId="0" applyNumberFormat="1" applyFont="1" applyFill="1" applyAlignment="1" applyProtection="1">
      <alignment horizontal="right" vertical="bottom"/>
      <protection locked="1" hidden="0"/>
    </xf>
    <xf numFmtId="171" fontId="3" fillId="0" borderId="1" xfId="0" applyNumberFormat="1" applyFont="1" applyFill="1" applyBorder="1" applyAlignment="1" applyProtection="1">
      <alignment horizontal="right" vertical="bottom" wrapText="1"/>
      <protection locked="1" hidden="0"/>
    </xf>
    <xf numFmtId="167" fontId="6" fillId="3" borderId="0" xfId="0" applyNumberFormat="1" applyFont="1" applyFill="1" applyAlignment="1" applyProtection="1">
      <alignment horizontal="right" vertical="bottom"/>
      <protection locked="1" hidden="0"/>
    </xf>
    <xf numFmtId="166" fontId="2" fillId="0" borderId="0" xfId="0" applyNumberFormat="1" applyFont="1" applyFill="1" applyAlignment="1" applyProtection="1">
      <alignment horizontal="right" vertical="bottom"/>
      <protection locked="1" hidden="0"/>
    </xf>
    <xf numFmtId="167" fontId="7" fillId="3" borderId="0" xfId="0" applyNumberFormat="1" applyFont="1" applyFill="1" applyAlignment="1" applyProtection="1">
      <alignment horizontal="right" vertical="bottom"/>
      <protection locked="1" hidden="0"/>
    </xf>
    <xf numFmtId="170" fontId="7" fillId="0" borderId="0" xfId="0" applyNumberFormat="1" applyFont="1" applyFill="1" applyAlignment="1" applyProtection="1">
      <alignment horizontal="right" vertical="bottom"/>
      <protection locked="1" hidden="0"/>
    </xf>
    <xf numFmtId="165" fontId="3" fillId="3" borderId="2" xfId="0" applyNumberFormat="1" applyFont="1" applyFill="1" applyBorder="1" applyAlignment="1" applyProtection="1">
      <alignment horizontal="right" vertical="bottom"/>
      <protection locked="1" hidden="0"/>
    </xf>
    <xf numFmtId="173" fontId="2" fillId="3" borderId="0" xfId="0" applyNumberFormat="1" applyFont="1" applyFill="1" applyAlignment="1" applyProtection="1">
      <alignment horizontal="right" vertical="bottom"/>
      <protection locked="1" hidden="0"/>
    </xf>
    <xf numFmtId="166" fontId="10" fillId="0" borderId="0" xfId="0" applyNumberFormat="1" applyFont="1" applyFill="1" applyAlignment="1" applyProtection="1">
      <alignment horizontal="right" vertical="bottom"/>
      <protection locked="1" hidden="0"/>
    </xf>
    <xf numFmtId="168" fontId="3" fillId="3" borderId="0" xfId="0" applyNumberFormat="1" applyFont="1" applyFill="1" applyAlignment="1" applyProtection="1">
      <alignment horizontal="right" vertical="bottom"/>
      <protection locked="1" hidden="0"/>
    </xf>
    <xf numFmtId="171" fontId="12" fillId="3" borderId="2" xfId="0" applyNumberFormat="1" applyFont="1" applyFill="1" applyBorder="1" applyAlignment="1" applyProtection="1">
      <alignment horizontal="right" vertical="bottom"/>
      <protection locked="1" hidden="0"/>
    </xf>
    <xf numFmtId="173" fontId="10" fillId="0" borderId="0" xfId="0" applyNumberFormat="1" applyFont="1" applyFill="1" applyAlignment="1" applyProtection="1">
      <alignment horizontal="right" vertical="bottom"/>
      <protection locked="1" hidden="0"/>
    </xf>
    <xf numFmtId="167" fontId="4" fillId="3" borderId="0" xfId="0" applyNumberFormat="1" applyFont="1" applyFill="1" applyAlignment="1" applyProtection="1">
      <alignment horizontal="right" vertical="bottom"/>
      <protection locked="1" hidden="0"/>
    </xf>
    <xf numFmtId="172" fontId="10" fillId="0" borderId="0" xfId="0" applyNumberFormat="1" applyFont="1" applyFill="1" applyAlignment="1" applyProtection="1">
      <alignment horizontal="right" vertical="bottom"/>
      <protection locked="1" hidden="0"/>
    </xf>
    <xf numFmtId="172" fontId="3" fillId="3" borderId="1" xfId="0" applyNumberFormat="1" applyFont="1" applyFill="1" applyBorder="1" applyAlignment="1" applyProtection="1">
      <alignment horizontal="right" vertical="bottom"/>
      <protection locked="1" hidden="0"/>
    </xf>
    <xf numFmtId="174" fontId="2" fillId="3" borderId="0" xfId="0" applyNumberFormat="1" applyFont="1" applyFill="1" applyAlignment="1" applyProtection="1">
      <alignment horizontal="right" vertical="bottom"/>
      <protection locked="1" hidden="0"/>
    </xf>
    <xf numFmtId="0" fontId="3" fillId="3" borderId="2" xfId="0" applyFont="1" applyFill="1" applyBorder="1" applyAlignment="1" applyProtection="1">
      <alignment horizontal="right" vertical="bottom"/>
      <protection locked="1" hidden="0"/>
    </xf>
    <xf numFmtId="171" fontId="3" fillId="3" borderId="1" xfId="0" applyNumberFormat="1" applyFont="1" applyFill="1" applyBorder="1" applyAlignment="1" applyProtection="1">
      <alignment horizontal="right" vertical="bottom" wrapText="1"/>
      <protection locked="1" hidden="0"/>
    </xf>
    <xf numFmtId="166" fontId="10" fillId="3" borderId="0" xfId="0" applyNumberFormat="1" applyFont="1" applyFill="1" applyAlignment="1" applyProtection="1">
      <alignment horizontal="right" vertical="bottom"/>
      <protection locked="1" hidden="0"/>
    </xf>
    <xf numFmtId="167" fontId="6" fillId="0" borderId="0" xfId="0" applyNumberFormat="1" applyFont="1" applyFill="1" applyAlignment="1" applyProtection="1">
      <alignment horizontal="right" vertical="bottom"/>
      <protection locked="1" hidden="0"/>
    </xf>
    <xf numFmtId="171" fontId="10" fillId="0" borderId="0" xfId="0" applyNumberFormat="1" applyFont="1" applyFill="1" applyAlignment="1" applyProtection="1">
      <alignment horizontal="left" vertical="bottom"/>
      <protection locked="1" hidden="0"/>
    </xf>
    <xf numFmtId="171" fontId="10" fillId="3" borderId="0" xfId="0" applyNumberFormat="1" applyFont="1" applyFill="1" applyAlignment="1" applyProtection="1">
      <alignment horizontal="right" vertical="bottom"/>
      <protection locked="1" hidden="0"/>
    </xf>
    <xf numFmtId="0" fontId="7" fillId="0" borderId="0" xfId="0" applyFont="1" applyFill="1" applyAlignment="1" applyProtection="1">
      <alignment horizontal="general" vertical="top" wrapText="1"/>
      <protection locked="1" hidden="0"/>
    </xf>
    <xf numFmtId="0" fontId="2" fillId="3" borderId="0" xfId="0" applyFont="1" applyFill="1" applyAlignment="1" applyProtection="1">
      <alignment horizontal="general" vertical="bottom"/>
      <protection locked="1" hidden="0"/>
    </xf>
    <xf numFmtId="166" fontId="5" fillId="0" borderId="0" xfId="0" applyNumberFormat="1" applyFont="1" applyFill="1" applyAlignment="1" applyProtection="1">
      <alignment horizontal="right" vertical="bottom"/>
      <protection locked="1" hidden="0"/>
    </xf>
    <xf numFmtId="0" fontId="3" fillId="0" borderId="0" xfId="0" applyFont="1" applyFill="1" applyAlignment="1" applyProtection="1">
      <alignment horizontal="general" vertical="top" wrapText="1"/>
      <protection locked="1" hidden="0"/>
    </xf>
    <xf numFmtId="166" fontId="2" fillId="3" borderId="0" xfId="0" applyNumberFormat="1" applyFont="1" applyFill="1" applyAlignment="1" applyProtection="1">
      <alignment horizontal="right" vertical="bottom"/>
      <protection locked="1" hidden="0"/>
    </xf>
    <xf numFmtId="165" fontId="5" fillId="3" borderId="0" xfId="0" applyNumberFormat="1" applyFont="1" applyFill="1" applyAlignment="1" applyProtection="1">
      <alignment horizontal="right" vertical="bottom"/>
      <protection locked="1" hidden="0"/>
    </xf>
    <xf numFmtId="166" fontId="5" fillId="3" borderId="0" xfId="0" applyNumberFormat="1" applyFont="1" applyFill="1" applyAlignment="1" applyProtection="1">
      <alignment horizontal="right" vertical="bottom"/>
      <protection locked="1" hidden="0"/>
    </xf>
    <xf numFmtId="166" fontId="3" fillId="0" borderId="2" xfId="0" applyNumberFormat="1" applyFont="1" applyFill="1" applyBorder="1" applyAlignment="1" applyProtection="1">
      <alignment horizontal="right" vertical="bottom"/>
      <protection locked="1" hidden="0"/>
    </xf>
    <xf numFmtId="165" fontId="12" fillId="3" borderId="2" xfId="0" applyNumberFormat="1" applyFont="1" applyFill="1" applyBorder="1" applyAlignment="1" applyProtection="1">
      <alignment horizontal="right" vertical="bottom"/>
      <protection locked="1" hidden="0"/>
    </xf>
    <xf numFmtId="166" fontId="3" fillId="3" borderId="2" xfId="0" applyNumberFormat="1" applyFont="1" applyFill="1" applyBorder="1" applyAlignment="1" applyProtection="1">
      <alignment horizontal="right" vertical="bottom"/>
      <protection locked="1" hidden="0"/>
    </xf>
    <xf numFmtId="165" fontId="12" fillId="0" borderId="2" xfId="0" applyNumberFormat="1" applyFont="1" applyFill="1" applyBorder="1" applyAlignment="1" applyProtection="1">
      <alignment horizontal="right" vertical="bottom"/>
      <protection locked="1" hidden="0"/>
    </xf>
    <xf numFmtId="173" fontId="10" fillId="3" borderId="0" xfId="0" applyNumberFormat="1" applyFont="1" applyFill="1" applyAlignment="1" applyProtection="1">
      <alignment horizontal="right" vertical="bottom"/>
      <protection locked="1" hidden="0"/>
    </xf>
    <xf numFmtId="175" fontId="2" fillId="0" borderId="0" xfId="0" applyNumberFormat="1" applyFont="1" applyFill="1" applyAlignment="1" applyProtection="1">
      <alignment horizontal="right" vertical="bottom"/>
      <protection locked="1" hidden="0"/>
    </xf>
    <xf numFmtId="175" fontId="10" fillId="0" borderId="0" xfId="0" applyNumberFormat="1" applyFont="1" applyFill="1" applyAlignment="1" applyProtection="1">
      <alignment horizontal="right" vertical="bottom"/>
      <protection locked="1" hidden="0"/>
    </xf>
    <xf numFmtId="169" fontId="2" fillId="3" borderId="0" xfId="0" applyNumberFormat="1" applyFont="1" applyFill="1" applyAlignment="1" applyProtection="1">
      <alignment horizontal="right" vertical="bottom"/>
      <protection locked="1" hidden="0"/>
    </xf>
    <xf numFmtId="169" fontId="2" fillId="0" borderId="0" xfId="0" applyNumberFormat="1" applyFont="1" applyFill="1" applyAlignment="1" applyProtection="1">
      <alignment horizontal="right" vertical="bottom"/>
      <protection locked="1" hidden="0"/>
    </xf>
    <xf numFmtId="169" fontId="5" fillId="0" borderId="0" xfId="0" applyNumberFormat="1" applyFont="1" applyFill="1" applyAlignment="1" applyProtection="1">
      <alignment horizontal="right" vertical="bottom"/>
      <protection locked="1" hidden="0"/>
    </xf>
    <xf numFmtId="167" fontId="13" fillId="0" borderId="2" xfId="0" applyNumberFormat="1" applyFont="1" applyFill="1" applyBorder="1" applyAlignment="1" applyProtection="1">
      <alignment horizontal="right" vertical="bottom"/>
      <protection locked="1" hidden="0"/>
    </xf>
    <xf numFmtId="171" fontId="2" fillId="3" borderId="0" xfId="0" applyNumberFormat="1" applyFont="1" applyFill="1" applyAlignment="1" applyProtection="1">
      <alignment horizontal="right" vertical="bottom"/>
      <protection locked="1" hidden="0"/>
    </xf>
    <xf numFmtId="172" fontId="2" fillId="3" borderId="0" xfId="0" applyNumberFormat="1" applyFont="1" applyFill="1" applyAlignment="1" applyProtection="1">
      <alignment horizontal="right" vertical="bottom"/>
      <protection locked="1" hidden="0"/>
    </xf>
    <xf numFmtId="167" fontId="13" fillId="3" borderId="2" xfId="0" applyNumberFormat="1" applyFont="1" applyFill="1" applyBorder="1" applyAlignment="1" applyProtection="1">
      <alignment horizontal="right" vertical="bottom"/>
      <protection locked="1" hidden="0"/>
    </xf>
    <xf numFmtId="172" fontId="5" fillId="0" borderId="0" xfId="0" applyNumberFormat="1" applyFont="1" applyFill="1" applyAlignment="1" applyProtection="1">
      <alignment horizontal="right" vertical="bottom"/>
      <protection locked="1" hidden="0"/>
    </xf>
    <xf numFmtId="175" fontId="10" fillId="3" borderId="0" xfId="0" applyNumberFormat="1" applyFont="1" applyFill="1" applyAlignment="1" applyProtection="1">
      <alignment horizontal="right" vertical="bottom"/>
      <protection locked="1" hidden="0"/>
    </xf>
    <xf numFmtId="175" fontId="2" fillId="3" borderId="0" xfId="0" applyNumberFormat="1" applyFont="1" applyFill="1" applyAlignment="1" applyProtection="1">
      <alignment horizontal="right" vertical="bottom"/>
      <protection locked="1" hidden="0"/>
    </xf>
    <xf numFmtId="0" fontId="13" fillId="0" borderId="0" xfId="0" applyFont="1" applyFill="1" applyAlignment="1" applyProtection="1">
      <alignment horizontal="general" vertical="top" wrapText="1"/>
      <protection locked="1" hidden="0"/>
    </xf>
    <xf numFmtId="174" fontId="5" fillId="3" borderId="0" xfId="0" applyNumberFormat="1" applyFont="1" applyFill="1" applyAlignment="1" applyProtection="1">
      <alignment horizontal="right" vertical="bottom"/>
      <protection locked="1" hidden="0"/>
    </xf>
    <xf numFmtId="173" fontId="14" fillId="0" borderId="0" xfId="0" applyNumberFormat="1" applyFont="1" applyFill="1" applyAlignment="1" applyProtection="1">
      <alignment horizontal="left" vertical="bottom" textRotation="0" indent="0" readingOrder="0"/>
      <protection locked="1" hidden="0"/>
    </xf>
    <xf numFmtId="176" fontId="15" fillId="0" borderId="0" xfId="0" applyNumberFormat="1" applyFont="1" applyFill="1" applyAlignment="1" applyProtection="1">
      <alignment horizontal="right" vertical="bottom" textRotation="0" indent="0" readingOrder="0"/>
      <protection locked="1" hidden="0"/>
    </xf>
    <xf numFmtId="165" fontId="15" fillId="0" borderId="0" xfId="0" applyNumberFormat="1" applyFont="1" applyFill="1" applyAlignment="1" applyProtection="1">
      <alignment horizontal="right" vertical="bottom" textRotation="0" indent="0" readingOrder="0"/>
      <protection locked="1" hidden="0"/>
    </xf>
    <xf numFmtId="173" fontId="16" fillId="0" borderId="0" xfId="0" applyNumberFormat="1" applyFont="1" applyFill="1" applyAlignment="1" applyProtection="1">
      <alignment horizontal="general" vertical="bottom" textRotation="0" indent="0" readingOrder="0"/>
      <protection locked="1" hidden="0"/>
    </xf>
    <xf numFmtId="173" fontId="15" fillId="0" borderId="0" xfId="0" applyNumberFormat="1" applyFont="1" applyFill="1" applyAlignment="1" applyProtection="1">
      <alignment horizontal="general" vertical="bottom" textRotation="0" indent="0" readingOrder="0"/>
      <protection locked="1" hidden="0"/>
    </xf>
    <xf numFmtId="173" fontId="17" fillId="0" borderId="0" xfId="0" applyNumberFormat="1" applyFont="1" applyFill="1" applyAlignment="1" applyProtection="1">
      <alignment horizontal="general" vertical="bottom" textRotation="0" indent="0" readingOrder="0"/>
      <protection locked="1" hidden="0"/>
    </xf>
    <xf numFmtId="167" fontId="15" fillId="0" borderId="0" xfId="0" applyNumberFormat="1" applyFont="1" applyFill="1" applyAlignment="1" applyProtection="1">
      <alignment horizontal="right" vertical="bottom" textRotation="0" indent="0" readingOrder="0"/>
      <protection locked="1" hidden="0"/>
    </xf>
    <xf numFmtId="176" fontId="15" fillId="3" borderId="0" xfId="0" applyNumberFormat="1" applyFont="1" applyFill="1" applyAlignment="1" applyProtection="1">
      <alignment horizontal="right" vertical="bottom" textRotation="0" indent="0" readingOrder="0"/>
      <protection locked="1" hidden="0"/>
    </xf>
    <xf numFmtId="176" fontId="16" fillId="0" borderId="0" xfId="0" applyNumberFormat="1" applyFont="1" applyFill="1" applyAlignment="1" applyProtection="1">
      <alignment horizontal="right" vertical="bottom" textRotation="0" indent="0" readingOrder="0"/>
      <protection locked="1" hidden="0"/>
    </xf>
    <xf numFmtId="171" fontId="18" fillId="0" borderId="0" xfId="0" applyNumberFormat="1" applyFont="1" applyFill="1" applyAlignment="1" applyProtection="1">
      <alignment horizontal="left" vertical="bottom" textRotation="0" indent="0" readingOrder="0"/>
      <protection locked="1" hidden="0"/>
    </xf>
    <xf numFmtId="167" fontId="19" fillId="0" borderId="0" xfId="0" applyNumberFormat="1" applyFont="1" applyFill="1" applyAlignment="1" applyProtection="1">
      <alignment horizontal="right" vertical="bottom" textRotation="0" indent="0" readingOrder="0"/>
      <protection locked="1" hidden="0"/>
    </xf>
    <xf numFmtId="171" fontId="16" fillId="0" borderId="1" xfId="0" applyNumberFormat="1" applyFont="1" applyFill="1" applyBorder="1" applyAlignment="1" applyProtection="1">
      <alignment horizontal="right" vertical="bottom" textRotation="0" indent="0" readingOrder="0"/>
      <protection locked="1" hidden="0"/>
    </xf>
    <xf numFmtId="173" fontId="20" fillId="0" borderId="0" xfId="0" applyNumberFormat="1" applyFont="1" applyFill="1" applyAlignment="1" applyProtection="1">
      <alignment horizontal="general" vertical="bottom" textRotation="0" wrapText="1" indent="0" readingOrder="0"/>
      <protection locked="1" hidden="0"/>
    </xf>
    <xf numFmtId="171" fontId="20" fillId="0" borderId="0" xfId="0" applyNumberFormat="1" applyFont="1" applyFill="1" applyAlignment="1" applyProtection="1">
      <alignment horizontal="left" vertical="bottom" textRotation="0" indent="0" readingOrder="0"/>
      <protection locked="1" hidden="0"/>
    </xf>
    <xf numFmtId="171" fontId="20" fillId="0" borderId="0" xfId="0" applyNumberFormat="1" applyFont="1" applyFill="1" applyAlignment="1" applyProtection="1">
      <alignment horizontal="general" vertical="bottom" textRotation="0" indent="0" readingOrder="0"/>
      <protection locked="1" hidden="0"/>
    </xf>
    <xf numFmtId="171" fontId="21" fillId="0" borderId="1" xfId="0" applyNumberFormat="1" applyFont="1" applyFill="1" applyBorder="1" applyAlignment="1" applyProtection="1">
      <alignment horizontal="left" vertical="bottom" textRotation="0" wrapText="1" indent="0" readingOrder="0"/>
      <protection locked="1" hidden="0"/>
    </xf>
    <xf numFmtId="173" fontId="22" fillId="0" borderId="0" xfId="0" applyNumberFormat="1" applyFont="1" applyFill="1" applyAlignment="1" applyProtection="1">
      <alignment horizontal="left" vertical="bottom"/>
      <protection locked="1" hidden="0"/>
    </xf>
    <xf numFmtId="171" fontId="23" fillId="0" borderId="0" xfId="0" applyNumberFormat="1" applyFont="1" applyFill="1" applyAlignment="1" applyProtection="1">
      <alignment horizontal="left" vertical="bottom" textRotation="0" indent="0" readingOrder="0"/>
      <protection locked="1" hidden="0"/>
    </xf>
    <xf numFmtId="173" fontId="20" fillId="0" borderId="0" xfId="0" applyNumberFormat="1" applyFont="1" applyFill="1" applyAlignment="1" applyProtection="1">
      <alignment horizontal="general" vertical="bottom"/>
      <protection locked="1" hidden="0"/>
    </xf>
    <xf numFmtId="173" fontId="21" fillId="0" borderId="0" xfId="0" applyNumberFormat="1" applyFont="1" applyFill="1" applyAlignment="1" applyProtection="1">
      <alignment horizontal="general" vertical="bottom" textRotation="0" wrapText="1" indent="0" readingOrder="0"/>
      <protection locked="1" hidden="0"/>
    </xf>
    <xf numFmtId="173" fontId="24" fillId="0" borderId="0" xfId="0" applyNumberFormat="1" applyFont="1" applyFill="1" applyAlignment="1" applyProtection="1">
      <alignment horizontal="general" vertical="bottom" textRotation="0" wrapText="1" indent="0" readingOrder="0"/>
      <protection locked="1" hidden="0"/>
    </xf>
    <xf numFmtId="173" fontId="21" fillId="0" borderId="0" xfId="0" applyNumberFormat="1" applyFont="1" applyFill="1" applyAlignment="1" applyProtection="1">
      <alignment horizontal="right" vertical="bottom" textRotation="0" indent="0" readingOrder="0"/>
      <protection locked="1" hidden="0"/>
    </xf>
    <xf numFmtId="173" fontId="25" fillId="0" borderId="0" xfId="0" applyNumberFormat="1" applyFont="1" applyFill="1" applyAlignment="1" applyProtection="1">
      <alignment horizontal="general" vertical="bottom" textRotation="0" wrapText="1" indent="0" readingOrder="0"/>
      <protection locked="1" hidden="0"/>
    </xf>
    <xf numFmtId="165" fontId="20" fillId="0" borderId="0" xfId="0" applyNumberFormat="1" applyFont="1" applyFill="1" applyAlignment="1" applyProtection="1">
      <alignment horizontal="right" vertical="bottom" textRotation="0" indent="0" readingOrder="0"/>
      <protection locked="1" hidden="0"/>
    </xf>
    <xf numFmtId="165" fontId="26" fillId="0" borderId="0" xfId="0" applyNumberFormat="1" applyFont="1" applyFill="1" applyAlignment="1" applyProtection="1">
      <alignment horizontal="right" vertical="bottom" textRotation="0" indent="0" readingOrder="0"/>
      <protection locked="1" hidden="0"/>
    </xf>
    <xf numFmtId="177" fontId="27" fillId="0" borderId="0" xfId="0" applyNumberFormat="1" applyFont="1" applyFill="1" applyAlignment="1" applyProtection="1">
      <alignment horizontal="right" vertical="bottom" textRotation="0" indent="0" readingOrder="0"/>
      <protection locked="1" hidden="0"/>
    </xf>
    <xf numFmtId="177" fontId="27" fillId="3" borderId="0" xfId="0" applyNumberFormat="1" applyFont="1" applyFill="1" applyAlignment="1" applyProtection="1">
      <alignment horizontal="right" vertical="bottom" textRotation="0" indent="0" readingOrder="0"/>
      <protection locked="1" hidden="0"/>
    </xf>
    <xf numFmtId="178" fontId="28" fillId="0" borderId="0" xfId="0" applyNumberFormat="1" applyFont="1" applyFill="1" applyAlignment="1" applyProtection="1">
      <alignment horizontal="right" vertical="bottom" textRotation="0" indent="0" readingOrder="0"/>
      <protection locked="1" hidden="0"/>
    </xf>
    <xf numFmtId="178" fontId="29" fillId="0" borderId="0" xfId="0" applyNumberFormat="1" applyFont="1" applyFill="1" applyAlignment="1" applyProtection="1">
      <alignment horizontal="right" vertical="bottom" textRotation="0" indent="0" readingOrder="0"/>
      <protection locked="1" hidden="0"/>
    </xf>
    <xf numFmtId="177" fontId="29" fillId="3" borderId="2" xfId="0" applyNumberFormat="1" applyFont="1" applyFill="1" applyBorder="1" applyAlignment="1" applyProtection="1">
      <alignment horizontal="right" vertical="bottom" textRotation="0" indent="0" readingOrder="0"/>
      <protection locked="1" hidden="0"/>
    </xf>
    <xf numFmtId="165" fontId="28" fillId="3" borderId="0" xfId="0" applyNumberFormat="1" applyFont="1" applyFill="1" applyAlignment="1" applyProtection="1">
      <alignment horizontal="right" vertical="bottom" textRotation="0" indent="0" readingOrder="0"/>
      <protection locked="1" hidden="0"/>
    </xf>
    <xf numFmtId="178" fontId="28" fillId="3" borderId="0" xfId="0" applyNumberFormat="1" applyFont="1" applyFill="1" applyAlignment="1" applyProtection="1">
      <alignment horizontal="right" vertical="bottom" textRotation="0" indent="0"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theme" Target="theme/theme1.xml"/><Relationship Id="rId1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38100</xdr:colOff>
      <xdr:row>0</xdr:row>
      <xdr:rowOff>38100</xdr:rowOff>
    </xdr:from>
    <xdr:ext cx="571500" cy="571500"/>
    <xdr:pic>
      <xdr:nvPicPr>
        <xdr:cNvPr id="2" name="Shortcut 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46"/>
  <sheetViews>
    <sheetView showGridLines="0" tabSelected="1" workbookViewId="0"/>
  </sheetViews>
  <sheetFormatPr defaultRowHeight="15"/>
  <cols>
    <col min="1" max="1" width="10" customWidth="1"/>
    <col min="2" max="2" width="32" customWidth="1"/>
    <col min="3" max="9" width="12" customWidth="1"/>
    <col min="10" max="10" width="14" customWidth="1"/>
  </cols>
  <sheetData>
    <row r="1">
      <c r="A1" s="9"/>
      <c r="B1" s="26" t="s">
        <v>0</v>
      </c>
      <c r="C1" s="9"/>
      <c r="D1" s="9"/>
      <c r="E1" s="9"/>
      <c r="F1" s="9"/>
      <c r="G1" s="9"/>
      <c r="H1" s="9"/>
      <c r="I1" s="9"/>
      <c r="J1" s="9"/>
    </row>
    <row r="2">
      <c r="A2" s="9"/>
      <c r="B2" s="35" t="s">
        <v>1</v>
      </c>
      <c r="C2" s="9"/>
      <c r="D2" s="9"/>
      <c r="E2" s="9"/>
      <c r="F2" s="9"/>
      <c r="G2" s="9"/>
      <c r="H2" s="9"/>
      <c r="I2" s="9"/>
      <c r="J2" s="9"/>
    </row>
    <row r="3">
      <c r="A3" s="9"/>
      <c r="B3" s="23" t="s">
        <v>2</v>
      </c>
      <c r="C3" s="9"/>
      <c r="D3" s="9"/>
      <c r="E3" s="9"/>
      <c r="F3" s="9"/>
      <c r="G3" s="9"/>
      <c r="H3" s="9"/>
      <c r="I3" s="9"/>
      <c r="J3" s="9"/>
    </row>
    <row r="4">
      <c r="A4" s="9"/>
      <c r="B4" s="37" t="s">
        <v>3</v>
      </c>
      <c r="C4" s="62" t="s">
        <v>4</v>
      </c>
      <c r="D4" s="9"/>
      <c r="E4" s="9"/>
      <c r="F4" s="9"/>
      <c r="G4" s="9"/>
      <c r="H4" s="9"/>
      <c r="I4" s="9"/>
      <c r="J4" s="9"/>
    </row>
    <row r="5">
      <c r="A5" s="9"/>
      <c r="B5" s="24" t="s">
        <v>5</v>
      </c>
      <c r="C5" s="55">
        <f>DATE(2026,9,30)</f>
        <v>46295</v>
      </c>
      <c r="D5" s="9"/>
      <c r="E5" s="9"/>
      <c r="F5" s="9"/>
      <c r="G5" s="9"/>
      <c r="H5" s="9"/>
      <c r="I5" s="9"/>
      <c r="J5" s="9"/>
    </row>
    <row r="6">
      <c r="A6" s="9"/>
      <c r="B6" s="28" t="s">
        <v>6</v>
      </c>
      <c r="C6" s="60">
        <f>C5-DATE(2026,6,30)</f>
        <v>92</v>
      </c>
      <c r="D6" s="9"/>
      <c r="E6" s="9"/>
      <c r="F6" s="9"/>
      <c r="G6" s="9"/>
      <c r="H6" s="9"/>
      <c r="I6" s="9"/>
      <c r="J6" s="9"/>
    </row>
    <row r="7">
      <c r="A7" s="9"/>
      <c r="B7" s="9"/>
      <c r="C7" s="9"/>
      <c r="D7" s="9"/>
      <c r="E7" s="9"/>
      <c r="F7" s="9"/>
      <c r="G7" s="9"/>
      <c r="H7" s="9"/>
      <c r="I7" s="9"/>
      <c r="J7" s="9"/>
    </row>
    <row r="8">
      <c r="A8" s="9"/>
      <c r="B8" s="9" t="s">
        <v>7</v>
      </c>
      <c r="C8" s="16" t="s">
        <v>8</v>
      </c>
      <c r="D8" s="30"/>
      <c r="E8" s="30"/>
      <c r="F8" s="30"/>
      <c r="G8" s="30"/>
      <c r="H8" s="30"/>
      <c r="I8" s="9"/>
      <c r="J8" s="20"/>
    </row>
    <row r="9">
      <c r="A9" s="9"/>
      <c r="B9" s="9" t="s">
        <v>9</v>
      </c>
      <c r="C9" s="16" t="s">
        <v>10</v>
      </c>
      <c r="D9" s="30"/>
      <c r="E9" s="30"/>
      <c r="F9" s="30"/>
      <c r="G9" s="30"/>
      <c r="H9" s="30"/>
      <c r="I9" s="9"/>
      <c r="J9" s="20"/>
    </row>
    <row r="10">
      <c r="A10" s="9"/>
      <c r="B10" s="9" t="s">
        <v>11</v>
      </c>
      <c r="C10" s="16" t="s">
        <v>12</v>
      </c>
      <c r="D10" s="30"/>
      <c r="E10" s="30"/>
      <c r="F10" s="30"/>
      <c r="G10" s="30"/>
      <c r="H10" s="30"/>
      <c r="I10" s="9"/>
      <c r="J10" s="20"/>
    </row>
    <row r="11">
      <c r="A11" s="9"/>
      <c r="B11" s="9" t="s">
        <v>13</v>
      </c>
      <c r="C11" s="16" t="s">
        <v>14</v>
      </c>
      <c r="D11" s="30"/>
      <c r="E11" s="30"/>
      <c r="F11" s="30"/>
      <c r="G11" s="30"/>
      <c r="H11" s="30"/>
      <c r="I11" s="9"/>
      <c r="J11" s="20"/>
    </row>
    <row r="12">
      <c r="A12" s="9"/>
      <c r="B12" s="9" t="s">
        <v>15</v>
      </c>
      <c r="C12" s="16" t="s">
        <v>16</v>
      </c>
      <c r="D12" s="30"/>
      <c r="E12" s="30"/>
      <c r="F12" s="30"/>
      <c r="G12" s="30"/>
      <c r="H12" s="30"/>
      <c r="I12" s="9"/>
      <c r="J12" s="20"/>
    </row>
    <row r="13">
      <c r="A13" s="9"/>
      <c r="B13" s="9" t="s">
        <v>17</v>
      </c>
      <c r="C13" s="16" t="s">
        <v>18</v>
      </c>
      <c r="D13" s="30"/>
      <c r="E13" s="30"/>
      <c r="F13" s="30"/>
      <c r="G13" s="30"/>
      <c r="H13" s="30"/>
      <c r="I13" s="9"/>
      <c r="J13" s="20"/>
    </row>
    <row r="14">
      <c r="A14" s="9"/>
      <c r="B14" s="9" t="s">
        <v>19</v>
      </c>
      <c r="C14" s="16" t="s">
        <v>20</v>
      </c>
      <c r="D14" s="30"/>
      <c r="E14" s="30"/>
      <c r="F14" s="30"/>
      <c r="G14" s="30"/>
      <c r="H14" s="30"/>
      <c r="I14" s="9"/>
      <c r="J14" s="20"/>
    </row>
    <row r="15">
      <c r="A15" s="9"/>
      <c r="B15" s="9" t="s">
        <v>21</v>
      </c>
      <c r="C15" s="16" t="s">
        <v>22</v>
      </c>
      <c r="D15" s="30"/>
      <c r="E15" s="30"/>
      <c r="F15" s="30"/>
      <c r="G15" s="30"/>
      <c r="H15" s="30"/>
      <c r="I15" s="9"/>
      <c r="J15" s="20" t="s">
        <v>23</v>
      </c>
    </row>
    <row r="16">
      <c r="A16" s="9"/>
      <c r="B16" s="9" t="s">
        <v>24</v>
      </c>
      <c r="C16" s="16" t="s">
        <v>25</v>
      </c>
      <c r="D16" s="30"/>
      <c r="E16" s="30"/>
      <c r="F16" s="30"/>
      <c r="G16" s="30"/>
      <c r="H16" s="30"/>
      <c r="I16" s="9"/>
      <c r="J16" s="20" t="s">
        <v>26</v>
      </c>
    </row>
    <row r="17" ht="26.25">
      <c r="A17" s="9"/>
      <c r="B17" s="106" t="s">
        <v>27</v>
      </c>
      <c r="C17" s="66" t="str">
        <f>Inputs!B71</f>
        <v>2026-10-29</v>
      </c>
      <c r="D17" s="30"/>
      <c r="E17" s="30"/>
      <c r="F17" s="30"/>
      <c r="G17" s="30"/>
      <c r="H17" s="30"/>
      <c r="I17" s="9"/>
      <c r="J17" s="20"/>
    </row>
    <row r="18">
      <c r="A18" s="9"/>
      <c r="B18" s="9" t="s">
        <v>28</v>
      </c>
      <c r="C18" s="16" t="s">
        <v>29</v>
      </c>
      <c r="D18" s="30"/>
      <c r="E18" s="30"/>
      <c r="F18" s="30"/>
      <c r="G18" s="30"/>
      <c r="H18" s="30"/>
      <c r="I18" s="9"/>
      <c r="J18" s="20"/>
    </row>
    <row r="19">
      <c r="A19" s="9"/>
      <c r="B19" s="9"/>
      <c r="C19" s="9"/>
      <c r="D19" s="9"/>
      <c r="E19" s="9"/>
      <c r="F19" s="9"/>
      <c r="G19" s="9"/>
      <c r="H19" s="9"/>
      <c r="I19" s="9"/>
      <c r="J19" s="20"/>
    </row>
    <row r="20" ht="33">
      <c r="A20" s="9"/>
      <c r="B20" s="34" t="s">
        <v>30</v>
      </c>
      <c r="C20" s="63" t="s">
        <v>31</v>
      </c>
      <c r="D20" s="47" t="s">
        <v>32</v>
      </c>
      <c r="E20" s="47" t="s">
        <v>33</v>
      </c>
      <c r="F20" s="47" t="s">
        <v>34</v>
      </c>
      <c r="G20" s="47" t="s">
        <v>35</v>
      </c>
      <c r="H20" s="47" t="s">
        <v>36</v>
      </c>
      <c r="I20" s="9"/>
      <c r="J20" s="20"/>
    </row>
    <row r="21">
      <c r="A21" s="9"/>
      <c r="B21" s="9" t="s">
        <v>37</v>
      </c>
      <c r="C21" s="31">
        <f>'Income Statement'!I9</f>
        <v>29356.516542580845</v>
      </c>
      <c r="D21" s="27">
        <f>Inputs!B94</f>
        <v>29208.04</v>
      </c>
      <c r="E21" s="40">
        <f>C21-D21</f>
        <v>148.47654258084367</v>
      </c>
      <c r="F21" s="29">
        <f>C21/D21-1</f>
        <v>0.005083413422497518</v>
      </c>
      <c r="G21" s="27" t="str">
        <f>Guidance!F9</f>
        <v>Not provided</v>
      </c>
      <c r="H21" s="59">
        <f>Inputs!B99</f>
        <v>17</v>
      </c>
      <c r="I21" s="9"/>
      <c r="J21" s="20"/>
    </row>
    <row r="22">
      <c r="A22" s="9"/>
      <c r="B22" s="9" t="s">
        <v>38</v>
      </c>
      <c r="C22" s="31">
        <f>'Income Statement'!I129</f>
        <v>3517.866490424667</v>
      </c>
      <c r="D22" s="27">
        <f>Inputs!B107</f>
        <v>3510</v>
      </c>
      <c r="E22" s="40">
        <f>C22-D22</f>
        <v>7.866490424667063</v>
      </c>
      <c r="F22" s="29">
        <f>C22/D22-1</f>
        <v>0.002241165363153108</v>
      </c>
      <c r="G22" s="27" t="str">
        <f>Guidance!F10</f>
        <v>Not provided</v>
      </c>
      <c r="H22" s="36"/>
      <c r="I22" s="9"/>
      <c r="J22" s="20"/>
    </row>
    <row r="23">
      <c r="A23" s="9"/>
      <c r="B23" s="9" t="s">
        <v>39</v>
      </c>
      <c r="C23" s="31">
        <f>'Income Statement'!I60</f>
        <v>2883.4264904246666</v>
      </c>
      <c r="D23" s="27">
        <f>Inputs!B108</f>
        <v>3144.08</v>
      </c>
      <c r="E23" s="40">
        <f>C23-D23</f>
        <v>-260.6535095753334</v>
      </c>
      <c r="F23" s="29">
        <f>C23/D23-1</f>
        <v>-0.08290295080765542</v>
      </c>
      <c r="G23" s="40" t="s">
        <v>40</v>
      </c>
      <c r="H23" s="36"/>
      <c r="I23" s="9"/>
      <c r="J23" s="20"/>
    </row>
    <row r="24">
      <c r="A24" s="9"/>
      <c r="B24" s="9" t="s">
        <v>41</v>
      </c>
      <c r="C24" s="120">
        <f>'Income Statement'!I133</f>
        <v>0.9884146246030365</v>
      </c>
      <c r="D24" s="119">
        <f>Inputs!B76</f>
        <v>0.99</v>
      </c>
      <c r="E24" s="121">
        <f>C24-D24</f>
        <v>-0.001585375396963462</v>
      </c>
      <c r="F24" s="29">
        <f>C24/D24-1</f>
        <v>-0.0016013892898620874</v>
      </c>
      <c r="G24" s="54" t="str">
        <f>Guidance!F11</f>
        <v>Not provided</v>
      </c>
      <c r="H24" s="59">
        <f>Inputs!B81</f>
        <v>19</v>
      </c>
      <c r="I24" s="9"/>
      <c r="J24" s="94" t="s">
        <v>42</v>
      </c>
    </row>
    <row r="25">
      <c r="A25" s="9"/>
      <c r="B25" s="9" t="s">
        <v>43</v>
      </c>
      <c r="C25" s="64">
        <f>'Income Statement'!I70</f>
        <v>0.8101560760935816</v>
      </c>
      <c r="D25" s="54">
        <f>Inputs!B85</f>
        <v>0.88</v>
      </c>
      <c r="E25" s="95">
        <f>C25-D25</f>
        <v>-0.06984392390641836</v>
      </c>
      <c r="F25" s="29">
        <f>C25/D25-1</f>
        <v>-0.07936809534820266</v>
      </c>
      <c r="G25" s="49" t="s">
        <v>40</v>
      </c>
      <c r="H25" s="59">
        <f>Inputs!B90</f>
        <v>11</v>
      </c>
      <c r="I25" s="9"/>
      <c r="J25" s="20"/>
    </row>
    <row r="26">
      <c r="A26" s="9"/>
      <c r="B26" s="9" t="s">
        <v>44</v>
      </c>
      <c r="C26" s="31">
        <f>'Income Statement'!I110</f>
        <v>8754.805542580847</v>
      </c>
      <c r="D26" s="27">
        <f>Inputs!B103</f>
        <v>8892.69</v>
      </c>
      <c r="E26" s="40">
        <f>C26-D26</f>
        <v>-137.88445741915348</v>
      </c>
      <c r="F26" s="29">
        <f>C26/D26-1</f>
        <v>-0.015505370975391397</v>
      </c>
      <c r="G26" s="40" t="s">
        <v>40</v>
      </c>
      <c r="H26" s="36"/>
      <c r="I26" s="9"/>
      <c r="J26" s="20"/>
    </row>
    <row r="27">
      <c r="A27" s="9"/>
      <c r="B27" s="23" t="s">
        <v>45</v>
      </c>
      <c r="C27" s="58">
        <f>Inputs!B36</f>
        <v>0.6202857142857143</v>
      </c>
      <c r="D27" s="29"/>
      <c r="E27" s="29"/>
      <c r="F27" s="29"/>
      <c r="G27" s="29"/>
      <c r="H27" s="29"/>
      <c r="I27" s="9"/>
      <c r="J27" s="20" t="s">
        <v>46</v>
      </c>
    </row>
    <row r="28">
      <c r="A28" s="9"/>
      <c r="B28" s="9" t="s">
        <v>47</v>
      </c>
      <c r="C28" s="67" t="str">
        <f>Inputs!B37</f>
        <v>medium</v>
      </c>
      <c r="D28" s="30"/>
      <c r="E28" s="30"/>
      <c r="F28" s="30"/>
      <c r="G28" s="30"/>
      <c r="H28" s="30"/>
      <c r="I28" s="9"/>
      <c r="J28" s="20"/>
    </row>
    <row r="29">
      <c r="A29" s="9"/>
      <c r="B29" s="35" t="s">
        <v>48</v>
      </c>
      <c r="C29" s="56" t="str">
        <f>IF(AND('Segment - Residential C&amp;P'!B122,'Segment - Residential C&amp;P'!C122,'Segment - Residential C&amp;P'!D122,'Segment - Residential C&amp;P'!E122,'Segment - Residential C&amp;P'!F122,'Segment - Residential C&amp;P'!G122,'Segment - Residential C&amp;P'!H122,'Segment - Residential C&amp;P'!B218,'Segment - Residential C&amp;P'!C218,'Segment - Residential C&amp;P'!D218,'Segment - Residential C&amp;P'!E218,'Segment - Residential C&amp;P'!F218,'Segment - Residential C&amp;P'!G218,'Segment - Residential C&amp;P'!H218,'Segment - Residential C&amp;P'!B234,'Segment - Residential C&amp;P'!C234,'Segment - Residential C&amp;P'!D234,'Segment - Residential C&amp;P'!E234,'Segment - Residential C&amp;P'!F234,'Segment - Residential C&amp;P'!G234,'Segment - Residential C&amp;P'!H234,'Segment - Business Services'!B43,'Segment - Business Services'!C43,'Segment - Business Services'!D43,'Segment - Business Services'!E43,'Segment - Business Services'!F43,'Segment - Business Services'!G43,'Segment - Business Services'!H43,'Segment - Media'!B55,'Segment - Media'!C55,'Segment - Media'!D55,'Segment - Media'!E55,'Segment - Media'!F55,'Segment - Media'!G55,'Segment - Media'!H55,'Segment - Media'!B103,'Segment - Media'!C103,'Segment - Media'!D103,'Segment - Media'!E103,'Segment - Media'!F103,'Segment - Media'!G103,'Segment - Media'!H103,'Segment - Media'!B178,'Segment - Media'!C178,'Segment - Media'!D178,'Segment - Media'!E178,'Segment - Media'!F178,'Segment - Media'!G178,'Segment - Media'!H178,'Segment - Studios'!B28,'Segment - Studios'!C28,'Segment - Studios'!D28,'Segment - Studios'!E28,'Segment - Studios'!F28,'Segment - Studios'!G28,'Segment - Studios'!H28,'Segment - Studios'!B78,'Segment - Studios'!C78,'Segment - Studios'!D78,'Segment - Studios'!E78,'Segment - Studios'!F78,'Segment - Studios'!G78,'Segment - Studios'!H78,'Segment - Theme Parks'!B36,'Segment - Theme Parks'!C36,'Segment - Theme Parks'!D36,'Segment - Theme Parks'!E36,'Segment - Theme Parks'!F36,'Segment - Theme Parks'!G36,'Segment - Theme Parks'!H36,'Revenue summary'!B22,'Revenue summary'!C22,'Revenue summary'!D22,'Revenue summary'!E22,'Revenue summary'!F22,'Revenue summary'!G22,'Revenue summary'!H22,'Revenue summary'!B29,'Revenue summary'!C29,'Revenue summary'!D29,'Revenue summary'!E29,'Revenue summary'!F29,'Revenue summary'!G29,'Revenue summary'!H29,'Revenue summary'!I29,'Income Statement'!B66,'Income Statement'!C66,'Income Statement'!D66,'Income Statement'!E66,'Income Statement'!F66,'Income Statement'!G66,'Income Statement'!H66,'Income Statement'!B73,'Income Statement'!C73,'Income Statement'!D73,'Income Statement'!E73,'Income Statement'!F73,'Income Statement'!G73,'Income Statement'!H73,'Income Statement'!I74,'Income Statement'!B85,'Income Statement'!C85,'Income Statement'!D85,'Income Statement'!E85,'Income Statement'!F85,'Income Statement'!G85,'Income Statement'!H85,'Income Statement'!B105,'Income Statement'!C105,'Income Statement'!D105,'Income Statement'!E105,'Income Statement'!F105,'Income Statement'!G105,'Income Statement'!H105,'Income Statement'!B115,'Income Statement'!C115,'Income Statement'!D115,'Income Statement'!E115,'Income Statement'!F115,'Income Statement'!G115,'Income Statement'!H115,'Income Statement'!I115,'Income Statement'!B132,'Income Statement'!C132,'Income Statement'!D132,'Income Statement'!E132,'Income Statement'!F132,'Income Statement'!G132,'Income Statement'!H132,'Income Statement'!B136,'Income Statement'!C136,'Income Statement'!D136,'Income Statement'!E136,'Income Statement'!F136,'Income Statement'!G136,'Income Statement'!H136,'Income Statement'!I149,'Balance Sheet'!B24,'Balance Sheet'!C24,'Balance Sheet'!D24,'Balance Sheet'!E24,'Balance Sheet'!F24,'Balance Sheet'!G24,'Balance Sheet'!H24,'Balance Sheet'!B46,'Balance Sheet'!C46,'Balance Sheet'!D46,'Balance Sheet'!E46,'Balance Sheet'!F46,'Balance Sheet'!G46,'Balance Sheet'!H46,'Balance Sheet'!I46,'Cash Flow Statement'!B48,'Cash Flow Statement'!C48,'Cash Flow Statement'!D48,'Cash Flow Statement'!E48,'Cash Flow Statement'!F48,'Cash Flow Statement'!G48,'Cash Flow Statement'!H48,'Cash Flow Statement'!I48,'Cash Flow Statement'!B49,'Cash Flow Statement'!C49,'Cash Flow Statement'!D49,'Cash Flow Statement'!E49,'Cash Flow Statement'!F49,'Cash Flow Statement'!G49,'Cash Flow Statement'!H49,'Cash Flow Statement'!B51,'Cash Flow Statement'!C51,'Cash Flow Statement'!D51,'Cash Flow Statement'!E51,'Cash Flow Statement'!F51,'Cash Flow Statement'!G51,'Cash Flow Statement'!H51,'Cash Flow Statement'!B57,'Cash Flow Statement'!C57,'Cash Flow Statement'!D57,'Cash Flow Statement'!E57,'Cash Flow Statement'!F57,'Cash Flow Statement'!G57,'Cash Flow Statement'!H57,Geo!F16,Geo!B29,Geo!C29,Geo!D29,Geo!E29,Geo!F29,Geo!G29,Geo!H29,Geo!I29,Cover!C31,Cover!C32,Cover!C33),"PASS","FAIL")</f>
        <v>PASS</v>
      </c>
      <c r="D29" s="42"/>
      <c r="E29" s="42"/>
      <c r="F29" s="42"/>
      <c r="G29" s="42"/>
      <c r="H29" s="42"/>
      <c r="I29" s="9"/>
      <c r="J29" s="20" t="s">
        <v>49</v>
      </c>
    </row>
    <row r="30">
      <c r="A30" s="9"/>
      <c r="B30" s="9"/>
      <c r="C30" s="9"/>
      <c r="D30" s="9"/>
      <c r="E30" s="9"/>
      <c r="F30" s="9"/>
      <c r="G30" s="9"/>
      <c r="H30" s="9"/>
      <c r="I30" s="9"/>
      <c r="J30" s="20"/>
    </row>
    <row r="31">
      <c r="A31" s="9"/>
      <c r="B31" s="9" t="s">
        <v>50</v>
      </c>
      <c r="C31" s="57" t="b">
        <f>ABS(C21-'Income Statement'!I9)&lt;0.001</f>
        <v>1</v>
      </c>
      <c r="D31" s="33"/>
      <c r="E31" s="33"/>
      <c r="F31" s="33"/>
      <c r="G31" s="33"/>
      <c r="H31" s="33"/>
      <c r="I31" s="9"/>
      <c r="J31" s="20"/>
    </row>
    <row r="32">
      <c r="A32" s="9"/>
      <c r="B32" s="9" t="s">
        <v>51</v>
      </c>
      <c r="C32" s="57" t="b">
        <f>ABS(C24-'Income Statement'!I133)&lt;0.000001</f>
        <v>1</v>
      </c>
      <c r="D32" s="33"/>
      <c r="E32" s="33"/>
      <c r="F32" s="33"/>
      <c r="G32" s="33"/>
      <c r="H32" s="33"/>
      <c r="I32" s="9"/>
      <c r="J32" s="20"/>
    </row>
    <row r="33" ht="26.25">
      <c r="A33" s="9"/>
      <c r="B33" s="106" t="s">
        <v>52</v>
      </c>
      <c r="C33" s="57" t="b">
        <f>ABS(C22-'Income Statement'!I129)&lt;0.001</f>
        <v>1</v>
      </c>
      <c r="D33" s="33"/>
      <c r="E33" s="33"/>
      <c r="F33" s="33"/>
      <c r="G33" s="33"/>
      <c r="H33" s="33"/>
      <c r="I33" s="9"/>
      <c r="J33" s="20"/>
    </row>
    <row r="34">
      <c r="A34" s="9"/>
      <c r="B34" s="9"/>
      <c r="C34" s="9"/>
      <c r="D34" s="9"/>
      <c r="E34" s="9"/>
      <c r="F34" s="9"/>
      <c r="G34" s="9"/>
      <c r="H34" s="9"/>
      <c r="I34" s="9"/>
      <c r="J34" s="20"/>
    </row>
    <row r="35">
      <c r="A35" s="9"/>
      <c r="B35" s="9"/>
      <c r="C35" s="9"/>
      <c r="D35" s="9"/>
      <c r="E35" s="9"/>
      <c r="F35" s="9"/>
      <c r="G35" s="9"/>
      <c r="H35" s="9"/>
      <c r="I35" s="9"/>
      <c r="J35" s="20"/>
    </row>
    <row r="36">
      <c r="A36" s="9"/>
      <c r="B36" s="9"/>
      <c r="C36" s="9"/>
      <c r="D36" s="9"/>
      <c r="E36" s="9"/>
      <c r="F36" s="9"/>
      <c r="G36" s="9"/>
      <c r="H36" s="9"/>
      <c r="I36" s="9"/>
      <c r="J36" s="20"/>
    </row>
    <row r="37">
      <c r="A37" s="9"/>
      <c r="B37" s="9"/>
      <c r="C37" s="9"/>
      <c r="D37" s="9"/>
      <c r="E37" s="9"/>
      <c r="F37" s="9"/>
      <c r="G37" s="9"/>
      <c r="H37" s="9"/>
      <c r="I37" s="9"/>
      <c r="J37" s="9"/>
    </row>
    <row r="38">
      <c r="A38" s="9"/>
      <c r="B38" s="9"/>
      <c r="C38" s="9"/>
      <c r="D38" s="9"/>
      <c r="E38" s="9"/>
      <c r="F38" s="9"/>
      <c r="G38" s="9"/>
      <c r="H38" s="9"/>
      <c r="I38" s="9"/>
      <c r="J38" s="9"/>
    </row>
    <row r="39">
      <c r="A39" s="9"/>
      <c r="B39" s="9"/>
      <c r="C39" s="9"/>
      <c r="D39" s="9"/>
      <c r="E39" s="9"/>
      <c r="F39" s="9"/>
      <c r="G39" s="9"/>
      <c r="H39" s="9"/>
      <c r="I39" s="9"/>
      <c r="J39" s="9"/>
    </row>
    <row r="40">
      <c r="A40" s="9"/>
      <c r="B40" s="9"/>
      <c r="C40" s="9"/>
      <c r="D40" s="9"/>
      <c r="E40" s="9"/>
      <c r="F40" s="9"/>
      <c r="G40" s="9"/>
      <c r="H40" s="9"/>
      <c r="I40" s="9"/>
      <c r="J40" s="9"/>
    </row>
    <row r="41">
      <c r="A41" s="9"/>
      <c r="B41" s="9"/>
      <c r="C41" s="9"/>
      <c r="D41" s="9"/>
      <c r="E41" s="9"/>
      <c r="F41" s="9"/>
      <c r="G41" s="9"/>
      <c r="H41" s="9"/>
      <c r="I41" s="9"/>
      <c r="J41" s="9"/>
    </row>
    <row r="42">
      <c r="A42" s="9"/>
      <c r="B42" s="9"/>
      <c r="C42" s="9"/>
      <c r="D42" s="9"/>
      <c r="E42" s="9"/>
      <c r="F42" s="9"/>
      <c r="G42" s="9"/>
      <c r="H42" s="9"/>
      <c r="I42" s="9"/>
      <c r="J42" s="9"/>
    </row>
    <row r="43">
      <c r="A43" s="9"/>
      <c r="B43" s="9"/>
      <c r="C43" s="9"/>
      <c r="D43" s="9"/>
      <c r="E43" s="9"/>
      <c r="F43" s="9"/>
      <c r="G43" s="9"/>
      <c r="H43" s="9"/>
      <c r="I43" s="9"/>
      <c r="J43" s="9"/>
    </row>
    <row r="44">
      <c r="A44" s="9"/>
      <c r="B44" s="9"/>
      <c r="C44" s="9"/>
      <c r="D44" s="9"/>
      <c r="E44" s="9"/>
      <c r="F44" s="9"/>
      <c r="G44" s="9"/>
      <c r="H44" s="9"/>
      <c r="I44" s="9"/>
      <c r="J44" s="9"/>
    </row>
    <row r="45">
      <c r="A45" s="9"/>
      <c r="B45" s="9"/>
      <c r="C45" s="9"/>
      <c r="D45" s="9"/>
      <c r="E45" s="9"/>
      <c r="F45" s="9"/>
      <c r="G45" s="9"/>
      <c r="H45" s="9"/>
      <c r="I45" s="9"/>
      <c r="J45" s="9"/>
    </row>
    <row r="46">
      <c r="A46" s="9"/>
      <c r="B46" s="9"/>
      <c r="C46" s="9"/>
      <c r="D46" s="9"/>
      <c r="E46" s="9"/>
      <c r="F46" s="9"/>
      <c r="G46" s="9"/>
      <c r="H46" s="9"/>
      <c r="I46" s="9"/>
      <c r="J46" s="9"/>
    </row>
  </sheetData>
  <drawing r:id="rId1"/>
</worksheet>
</file>

<file path=xl/worksheets/sheet2.xml><?xml version="1.0" encoding="utf-8"?>
<worksheet xmlns="http://schemas.openxmlformats.org/spreadsheetml/2006/main" xmlns:r="http://schemas.openxmlformats.org/officeDocument/2006/relationships">
  <dimension ref="A1:J135"/>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53</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62</v>
      </c>
      <c r="B8" s="33"/>
      <c r="C8" s="33"/>
      <c r="D8" s="33"/>
      <c r="E8" s="33"/>
      <c r="F8" s="33"/>
      <c r="G8" s="33"/>
      <c r="H8" s="33"/>
      <c r="I8" s="53"/>
      <c r="J8" s="20"/>
    </row>
    <row r="9">
      <c r="A9" s="9" t="s">
        <v>63</v>
      </c>
      <c r="B9" s="27">
        <f>'Segment - Residential C&amp;P'!B120</f>
        <v>17666</v>
      </c>
      <c r="C9" s="27">
        <f>'Segment - Residential C&amp;P'!C120</f>
        <v>17838</v>
      </c>
      <c r="D9" s="27">
        <f>'Segment - Residential C&amp;P'!D120</f>
        <v>17636</v>
      </c>
      <c r="E9" s="27">
        <f>'Segment - Residential C&amp;P'!E120</f>
        <v>17692</v>
      </c>
      <c r="F9" s="40">
        <f>SUM(B9:E9)</f>
        <v>70832</v>
      </c>
      <c r="G9" s="27">
        <f>'Segment - Residential C&amp;P'!G120</f>
        <v>17323</v>
      </c>
      <c r="H9" s="27">
        <f>'Segment - Residential C&amp;P'!H120</f>
        <v>17124</v>
      </c>
      <c r="I9" s="31">
        <f>'Segment - Residential C&amp;P'!I120</f>
        <v>16956.612408580844</v>
      </c>
      <c r="J9" s="20"/>
    </row>
    <row r="10">
      <c r="A10" s="9" t="s">
        <v>64</v>
      </c>
      <c r="B10" s="27">
        <f>'Segment - Business Services'!B23</f>
        <v>2496</v>
      </c>
      <c r="C10" s="27">
        <f>'Segment - Business Services'!C23</f>
        <v>2575</v>
      </c>
      <c r="D10" s="27">
        <f>'Segment - Business Services'!D23</f>
        <v>2576</v>
      </c>
      <c r="E10" s="27">
        <f>'Segment - Business Services'!E23</f>
        <v>2590</v>
      </c>
      <c r="F10" s="40">
        <f>SUM(B10:E10)</f>
        <v>10237</v>
      </c>
      <c r="G10" s="27">
        <f>'Segment - Business Services'!G23</f>
        <v>2640</v>
      </c>
      <c r="H10" s="27">
        <f>'Segment - Business Services'!H23</f>
        <v>2671</v>
      </c>
      <c r="I10" s="31">
        <f>'Segment - Business Services'!I23</f>
        <v>2648.5247040000004</v>
      </c>
      <c r="J10" s="20"/>
    </row>
    <row r="11">
      <c r="A11" s="35" t="s">
        <v>65</v>
      </c>
      <c r="B11" s="45">
        <f>B9+B10</f>
        <v>20162</v>
      </c>
      <c r="C11" s="45">
        <f>C9+C10</f>
        <v>20413</v>
      </c>
      <c r="D11" s="45">
        <f>D9+D10</f>
        <v>20212</v>
      </c>
      <c r="E11" s="45">
        <f>E9+E10</f>
        <v>20282</v>
      </c>
      <c r="F11" s="45">
        <f>SUM(B11:E11)</f>
        <v>81069</v>
      </c>
      <c r="G11" s="45">
        <f>G9+G10</f>
        <v>19963</v>
      </c>
      <c r="H11" s="45">
        <f>H9+H10</f>
        <v>19795</v>
      </c>
      <c r="I11" s="52">
        <f>I9+I10</f>
        <v>19605.137112580844</v>
      </c>
      <c r="J11" s="20"/>
    </row>
    <row r="12">
      <c r="A12" s="9" t="s">
        <v>66</v>
      </c>
      <c r="B12" s="27">
        <f>'Segment - Media'!B101</f>
        <v>4527</v>
      </c>
      <c r="C12" s="27">
        <f>'Segment - Media'!C101</f>
        <v>4542</v>
      </c>
      <c r="D12" s="27">
        <f>'Segment - Media'!D101</f>
        <v>4744</v>
      </c>
      <c r="E12" s="27">
        <f>'Segment - Media'!E101</f>
        <v>5824</v>
      </c>
      <c r="F12" s="40">
        <f>SUM(B12:E12)</f>
        <v>19637</v>
      </c>
      <c r="G12" s="27">
        <f>'Segment - Media'!G101</f>
        <v>7280</v>
      </c>
      <c r="H12" s="27">
        <f>'Segment - Media'!H101</f>
        <v>5690</v>
      </c>
      <c r="I12" s="31">
        <f>'Segment - Media'!I101</f>
        <v>5417.69915</v>
      </c>
      <c r="J12" s="20"/>
    </row>
    <row r="13">
      <c r="A13" s="9" t="s">
        <v>67</v>
      </c>
      <c r="B13" s="27">
        <f>'Segment - Studios'!B26</f>
        <v>2826</v>
      </c>
      <c r="C13" s="27">
        <f>'Segment - Studios'!C26</f>
        <v>2432</v>
      </c>
      <c r="D13" s="27">
        <f>'Segment - Studios'!D26</f>
        <v>3000</v>
      </c>
      <c r="E13" s="27">
        <f>'Segment - Studios'!E26</f>
        <v>3027</v>
      </c>
      <c r="F13" s="40">
        <f>SUM(B13:E13)</f>
        <v>11285</v>
      </c>
      <c r="G13" s="27">
        <f>'Segment - Studios'!G26</f>
        <v>3426</v>
      </c>
      <c r="H13" s="27">
        <f>'Segment - Studios'!H26</f>
        <v>3040</v>
      </c>
      <c r="I13" s="31">
        <f>'Segment - Studios'!I26</f>
        <v>3270.55</v>
      </c>
      <c r="J13" s="20"/>
    </row>
    <row r="14">
      <c r="A14" s="9" t="s">
        <v>68</v>
      </c>
      <c r="B14" s="27">
        <f>'Segment - Theme Parks'!B17</f>
        <v>1876</v>
      </c>
      <c r="C14" s="27">
        <f>'Segment - Theme Parks'!C17</f>
        <v>2349</v>
      </c>
      <c r="D14" s="27">
        <f>'Segment - Theme Parks'!D17</f>
        <v>2717</v>
      </c>
      <c r="E14" s="27">
        <f>'Segment - Theme Parks'!E17</f>
        <v>2893</v>
      </c>
      <c r="F14" s="40">
        <f>SUM(B14:E14)</f>
        <v>9835</v>
      </c>
      <c r="G14" s="27">
        <f>'Segment - Theme Parks'!G17</f>
        <v>2331</v>
      </c>
      <c r="H14" s="27">
        <f>'Segment - Theme Parks'!H17</f>
        <v>2413</v>
      </c>
      <c r="I14" s="31">
        <f>'Segment - Theme Parks'!I17</f>
        <v>2567.1302800000003</v>
      </c>
      <c r="J14" s="20"/>
    </row>
    <row r="15">
      <c r="A15" s="9" t="s">
        <v>69</v>
      </c>
      <c r="B15" s="39">
        <v>11</v>
      </c>
      <c r="C15" s="39">
        <v>9</v>
      </c>
      <c r="D15" s="39">
        <v>15</v>
      </c>
      <c r="E15" s="39">
        <v>11</v>
      </c>
      <c r="F15" s="40">
        <f>SUM(B15:E15)</f>
        <v>46</v>
      </c>
      <c r="G15" s="39">
        <v>15</v>
      </c>
      <c r="H15" s="39">
        <v>18</v>
      </c>
      <c r="I15" s="73">
        <v>16</v>
      </c>
      <c r="J15" s="20" t="s">
        <v>70</v>
      </c>
    </row>
    <row r="16">
      <c r="A16" s="9" t="s">
        <v>71</v>
      </c>
      <c r="B16" s="39">
        <v>-694</v>
      </c>
      <c r="C16" s="39">
        <v>-604</v>
      </c>
      <c r="D16" s="39">
        <v>-579</v>
      </c>
      <c r="E16" s="39">
        <v>-815</v>
      </c>
      <c r="F16" s="40">
        <f>SUM(B16:E16)</f>
        <v>-2692</v>
      </c>
      <c r="G16" s="39">
        <v>-1111</v>
      </c>
      <c r="H16" s="39">
        <v>-435</v>
      </c>
      <c r="I16" s="73">
        <v>-560</v>
      </c>
      <c r="J16" s="20" t="s">
        <v>72</v>
      </c>
    </row>
    <row r="17">
      <c r="A17" s="35" t="s">
        <v>73</v>
      </c>
      <c r="B17" s="45">
        <f>SUM(B12:B16)</f>
        <v>8546</v>
      </c>
      <c r="C17" s="45">
        <f>SUM(C12:C16)</f>
        <v>8728</v>
      </c>
      <c r="D17" s="45">
        <f>SUM(D12:D16)</f>
        <v>9897</v>
      </c>
      <c r="E17" s="45">
        <f>SUM(E12:E16)</f>
        <v>10940</v>
      </c>
      <c r="F17" s="45">
        <f>SUM(B17:E17)</f>
        <v>38111</v>
      </c>
      <c r="G17" s="45">
        <f>SUM(G12:G16)</f>
        <v>11941</v>
      </c>
      <c r="H17" s="45">
        <f>SUM(H12:H16)</f>
        <v>10726</v>
      </c>
      <c r="I17" s="52">
        <f>SUM(I12:I16)</f>
        <v>10711.37943</v>
      </c>
      <c r="J17" s="20"/>
    </row>
    <row r="18">
      <c r="A18" s="9" t="s">
        <v>74</v>
      </c>
      <c r="B18" s="39">
        <v>390</v>
      </c>
      <c r="C18" s="39">
        <v>322</v>
      </c>
      <c r="D18" s="39">
        <v>315</v>
      </c>
      <c r="E18" s="39">
        <v>379</v>
      </c>
      <c r="F18" s="40">
        <f>SUM(B18:E18)</f>
        <v>1406</v>
      </c>
      <c r="G18" s="39">
        <v>424</v>
      </c>
      <c r="H18" s="39">
        <v>368</v>
      </c>
      <c r="I18" s="73">
        <v>340</v>
      </c>
      <c r="J18" s="20" t="s">
        <v>75</v>
      </c>
    </row>
    <row r="19">
      <c r="A19" s="9" t="s">
        <v>76</v>
      </c>
      <c r="B19" s="39">
        <v>-1231</v>
      </c>
      <c r="C19" s="39">
        <v>-1217</v>
      </c>
      <c r="D19" s="39">
        <v>-1273</v>
      </c>
      <c r="E19" s="39">
        <v>-1315</v>
      </c>
      <c r="F19" s="40">
        <f>SUM(B19:E19)</f>
        <v>-5036</v>
      </c>
      <c r="G19" s="39">
        <v>-1435</v>
      </c>
      <c r="H19" s="39">
        <v>-1324</v>
      </c>
      <c r="I19" s="73">
        <v>-1300</v>
      </c>
      <c r="J19" s="20" t="s">
        <v>77</v>
      </c>
    </row>
    <row r="20">
      <c r="A20" s="35" t="s">
        <v>78</v>
      </c>
      <c r="B20" s="45">
        <f>B11+B17+B18+B19</f>
        <v>27867</v>
      </c>
      <c r="C20" s="45">
        <f>C11+C17+C18+C19</f>
        <v>28246</v>
      </c>
      <c r="D20" s="45">
        <f>D11+D17+D18+D19</f>
        <v>29151</v>
      </c>
      <c r="E20" s="45">
        <f>E11+E17+E18+E19</f>
        <v>30286</v>
      </c>
      <c r="F20" s="45">
        <f>SUM(B20:E20)</f>
        <v>115550</v>
      </c>
      <c r="G20" s="45">
        <f>G11+G17+G18+G19</f>
        <v>30893</v>
      </c>
      <c r="H20" s="45">
        <f>H11+H17+H18+H19</f>
        <v>29565</v>
      </c>
      <c r="I20" s="52">
        <f>I11+I17+I18+I19</f>
        <v>29356.516542580845</v>
      </c>
      <c r="J20" s="20"/>
    </row>
    <row r="21">
      <c r="A21" s="9" t="s">
        <v>79</v>
      </c>
      <c r="B21" s="39">
        <v>27865</v>
      </c>
      <c r="C21" s="39">
        <v>28249</v>
      </c>
      <c r="D21" s="39">
        <v>29151</v>
      </c>
      <c r="E21" s="39">
        <v>30287</v>
      </c>
      <c r="F21" s="40">
        <f>SUM(B21:E21)</f>
        <v>115552</v>
      </c>
      <c r="G21" s="39">
        <v>30892</v>
      </c>
      <c r="H21" s="39">
        <v>29568</v>
      </c>
      <c r="I21" s="41" t="s">
        <v>40</v>
      </c>
      <c r="J21" s="20" t="s">
        <v>80</v>
      </c>
    </row>
    <row r="22">
      <c r="A22" s="9" t="s">
        <v>81</v>
      </c>
      <c r="B22" s="33" t="b">
        <f>ABS(B20-B21)&lt;=5</f>
        <v>1</v>
      </c>
      <c r="C22" s="33" t="b">
        <f>ABS(C20-C21)&lt;=5</f>
        <v>1</v>
      </c>
      <c r="D22" s="33" t="b">
        <f>ABS(D20-D21)&lt;=5</f>
        <v>1</v>
      </c>
      <c r="E22" s="33" t="b">
        <f>ABS(E20-E21)&lt;=5</f>
        <v>1</v>
      </c>
      <c r="F22" s="33" t="b">
        <f>ABS(F20-F21)&lt;=5</f>
        <v>1</v>
      </c>
      <c r="G22" s="33" t="b">
        <f>ABS(G20-G21)&lt;=5</f>
        <v>1</v>
      </c>
      <c r="H22" s="33" t="b">
        <f>ABS(H20-H21)&lt;=5</f>
        <v>1</v>
      </c>
      <c r="I22" s="53" t="s">
        <v>40</v>
      </c>
      <c r="J22" s="20" t="s">
        <v>82</v>
      </c>
    </row>
    <row r="23">
      <c r="A23" s="35" t="s">
        <v>83</v>
      </c>
      <c r="B23" s="33"/>
      <c r="C23" s="33"/>
      <c r="D23" s="33"/>
      <c r="E23" s="33"/>
      <c r="F23" s="33"/>
      <c r="G23" s="33"/>
      <c r="H23" s="33"/>
      <c r="I23" s="53"/>
      <c r="J23" s="20"/>
    </row>
    <row r="24">
      <c r="A24" s="9" t="s">
        <v>84</v>
      </c>
      <c r="B24" s="39">
        <v>1769</v>
      </c>
      <c r="C24" s="39">
        <v>1770</v>
      </c>
      <c r="D24" s="39">
        <v>1731</v>
      </c>
      <c r="E24" s="39">
        <v>1660</v>
      </c>
      <c r="F24" s="40">
        <f>SUM(B24:E24)</f>
        <v>6930</v>
      </c>
      <c r="G24" s="39">
        <v>0</v>
      </c>
      <c r="H24" s="39">
        <v>0</v>
      </c>
      <c r="I24" s="73">
        <v>0</v>
      </c>
      <c r="J24" s="20" t="s">
        <v>85</v>
      </c>
    </row>
    <row r="25">
      <c r="A25" s="9" t="s">
        <v>86</v>
      </c>
      <c r="B25" s="39">
        <v>517</v>
      </c>
      <c r="C25" s="39">
        <v>554</v>
      </c>
      <c r="D25" s="39">
        <v>568</v>
      </c>
      <c r="E25" s="39">
        <v>603</v>
      </c>
      <c r="F25" s="40">
        <f>SUM(B25:E25)</f>
        <v>2242</v>
      </c>
      <c r="G25" s="39">
        <v>582</v>
      </c>
      <c r="H25" s="39">
        <v>384</v>
      </c>
      <c r="I25" s="73">
        <v>0</v>
      </c>
      <c r="J25" s="20" t="s">
        <v>87</v>
      </c>
    </row>
    <row r="26">
      <c r="A26" s="9" t="s">
        <v>88</v>
      </c>
      <c r="B26" s="39">
        <v>-264</v>
      </c>
      <c r="C26" s="39">
        <v>-261</v>
      </c>
      <c r="D26" s="39">
        <v>-252</v>
      </c>
      <c r="E26" s="39">
        <v>-241</v>
      </c>
      <c r="F26" s="40">
        <f>SUM(B26:E26)</f>
        <v>-1018</v>
      </c>
      <c r="G26" s="39">
        <v>-17</v>
      </c>
      <c r="H26" s="39">
        <v>-12</v>
      </c>
      <c r="I26" s="73">
        <v>0</v>
      </c>
      <c r="J26" s="20" t="s">
        <v>89</v>
      </c>
    </row>
    <row r="27">
      <c r="A27" s="9" t="s">
        <v>90</v>
      </c>
      <c r="B27" s="27">
        <f>'Income Statement'!B9-(B20+B24+B25+B26)</f>
        <v>-2</v>
      </c>
      <c r="C27" s="27">
        <f>'Income Statement'!C9-(C20+C24+C25+C26)</f>
        <v>4</v>
      </c>
      <c r="D27" s="27">
        <f>'Income Statement'!D9-(D20+D24+D25+D26)</f>
        <v>0</v>
      </c>
      <c r="E27" s="27">
        <f>'Income Statement'!E9-(E20+E24+E25+E26)</f>
        <v>2</v>
      </c>
      <c r="F27" s="40">
        <f>SUM(B27:E27)</f>
        <v>4</v>
      </c>
      <c r="G27" s="27">
        <f>'Income Statement'!G9-(G20+G24+G25+G26)</f>
        <v>-1</v>
      </c>
      <c r="H27" s="27">
        <f>'Income Statement'!H9-(H20+H24+H25+H26)</f>
        <v>3</v>
      </c>
      <c r="I27" s="73">
        <v>0</v>
      </c>
      <c r="J27" s="20" t="s">
        <v>91</v>
      </c>
    </row>
    <row r="28">
      <c r="A28" s="35" t="s">
        <v>92</v>
      </c>
      <c r="B28" s="45">
        <f>B20+B24+B25+B26+B27</f>
        <v>29887</v>
      </c>
      <c r="C28" s="45">
        <f>C20+C24+C25+C26+C27</f>
        <v>30313</v>
      </c>
      <c r="D28" s="45">
        <f>D20+D24+D25+D26+D27</f>
        <v>31198</v>
      </c>
      <c r="E28" s="45">
        <f>E20+E24+E25+E26+E27</f>
        <v>32310</v>
      </c>
      <c r="F28" s="45">
        <f>SUM(B28:E28)</f>
        <v>123708</v>
      </c>
      <c r="G28" s="45">
        <f>G20+G24+G25+G26+G27</f>
        <v>31457</v>
      </c>
      <c r="H28" s="45">
        <f>H20+H24+H25+H26+H27</f>
        <v>29940</v>
      </c>
      <c r="I28" s="52">
        <f>I20+I24+I25+I26+I27</f>
        <v>29356.516542580845</v>
      </c>
      <c r="J28" s="20"/>
    </row>
    <row r="29" ht="26.25">
      <c r="A29" s="106" t="s">
        <v>93</v>
      </c>
      <c r="B29" s="118" t="b">
        <f>ABS(B21+B24+B25+B26-'Income Statement'!B9)&lt;=3</f>
        <v>1</v>
      </c>
      <c r="C29" s="118" t="b">
        <f>ABS(C21+C24+C25+C26-'Income Statement'!C9)&lt;=3</f>
        <v>1</v>
      </c>
      <c r="D29" s="118" t="b">
        <f>ABS(D21+D24+D25+D26-'Income Statement'!D9)&lt;=3</f>
        <v>1</v>
      </c>
      <c r="E29" s="118" t="b">
        <f>ABS(E21+E24+E25+E26-'Income Statement'!E9)&lt;=3</f>
        <v>1</v>
      </c>
      <c r="F29" s="118" t="b">
        <f>ABS(F21+F24+F25+F26-'Income Statement'!F9)&lt;=3</f>
        <v>1</v>
      </c>
      <c r="G29" s="118" t="b">
        <f>ABS(G21+G24+G25+G26-'Income Statement'!G9)&lt;=3</f>
        <v>1</v>
      </c>
      <c r="H29" s="118" t="b">
        <f>ABS(H21+H24+H25+H26-'Income Statement'!H9)&lt;=3</f>
        <v>1</v>
      </c>
      <c r="I29" s="79" t="b">
        <f>ABS(I28-'Income Statement'!I9)&lt;0.01</f>
        <v>1</v>
      </c>
      <c r="J29" s="20" t="s">
        <v>94</v>
      </c>
    </row>
    <row r="30">
      <c r="A30" s="9"/>
      <c r="B30" s="9"/>
      <c r="C30" s="9"/>
      <c r="D30" s="9"/>
      <c r="E30" s="9"/>
      <c r="F30" s="9"/>
      <c r="G30" s="9"/>
      <c r="H30" s="9"/>
      <c r="I30" s="69"/>
      <c r="J30" s="20"/>
    </row>
    <row r="31">
      <c r="A31" s="35" t="s">
        <v>95</v>
      </c>
      <c r="B31" s="33"/>
      <c r="C31" s="33"/>
      <c r="D31" s="33"/>
      <c r="E31" s="33"/>
      <c r="F31" s="33"/>
      <c r="G31" s="33"/>
      <c r="H31" s="33"/>
      <c r="I31" s="53"/>
      <c r="J31" s="20"/>
    </row>
    <row r="32">
      <c r="A32" s="9" t="s">
        <v>63</v>
      </c>
      <c r="B32" s="40">
        <f>B9</f>
        <v>17666</v>
      </c>
      <c r="C32" s="40">
        <f>C9</f>
        <v>17838</v>
      </c>
      <c r="D32" s="40">
        <f>D9</f>
        <v>17636</v>
      </c>
      <c r="E32" s="40">
        <f>E9</f>
        <v>17692</v>
      </c>
      <c r="F32" s="40">
        <f>SUM(B32:E32)</f>
        <v>70832</v>
      </c>
      <c r="G32" s="40">
        <f>G9</f>
        <v>17323</v>
      </c>
      <c r="H32" s="40">
        <f>H9</f>
        <v>17124</v>
      </c>
      <c r="I32" s="41">
        <f>I9</f>
        <v>16956.612408580844</v>
      </c>
      <c r="J32" s="20"/>
    </row>
    <row r="33">
      <c r="A33" s="23" t="s">
        <v>96</v>
      </c>
      <c r="B33" s="29" t="s">
        <v>40</v>
      </c>
      <c r="C33" s="29">
        <f>IFERROR(C32/B32-1,"n.a.")</f>
        <v>0.009736216460998426</v>
      </c>
      <c r="D33" s="29">
        <f>IFERROR(D32/C32-1,"n.a.")</f>
        <v>-0.011324139477519868</v>
      </c>
      <c r="E33" s="29">
        <f>IFERROR(E32/D32-1,"n.a.")</f>
        <v>0.0031753232025402145</v>
      </c>
      <c r="F33" s="29" t="s">
        <v>40</v>
      </c>
      <c r="G33" s="29">
        <f>IFERROR(G32/E32-1,"n.a.")</f>
        <v>-0.02085688446755596</v>
      </c>
      <c r="H33" s="29">
        <f>IFERROR(H32/G32-1,"n.a.")</f>
        <v>-0.0114876176181955</v>
      </c>
      <c r="I33" s="50">
        <f>IFERROR(I32/H32-1,"n.a.")</f>
        <v>-0.009775028697684873</v>
      </c>
      <c r="J33" s="20"/>
    </row>
    <row r="34">
      <c r="A34" s="23" t="s">
        <v>97</v>
      </c>
      <c r="B34" s="29">
        <f>IFERROR(B32/B20,"n.a.")</f>
        <v>0.6339397854092654</v>
      </c>
      <c r="C34" s="29">
        <f>IFERROR(C32/C20,"n.a.")</f>
        <v>0.6315230475111521</v>
      </c>
      <c r="D34" s="29">
        <f>IFERROR(D32/D20,"n.a.")</f>
        <v>0.604987822030119</v>
      </c>
      <c r="E34" s="29">
        <f>IFERROR(E32/E20,"n.a.")</f>
        <v>0.5841643003367892</v>
      </c>
      <c r="F34" s="29">
        <f>IFERROR(F32/F20,"n.a.")</f>
        <v>0.6129987018606664</v>
      </c>
      <c r="G34" s="29">
        <f>IFERROR(G32/G20,"n.a.")</f>
        <v>0.5607419156443207</v>
      </c>
      <c r="H34" s="29">
        <f>IFERROR(H32/H20,"n.a.")</f>
        <v>0.5791983764586505</v>
      </c>
      <c r="I34" s="50">
        <f>IFERROR(I32/I20,"n.a.")</f>
        <v>0.5776098258792296</v>
      </c>
      <c r="J34" s="20"/>
    </row>
    <row r="35">
      <c r="A35" s="23" t="s">
        <v>98</v>
      </c>
      <c r="B35" s="29" t="s">
        <v>40</v>
      </c>
      <c r="C35" s="29" t="s">
        <v>40</v>
      </c>
      <c r="D35" s="29" t="s">
        <v>40</v>
      </c>
      <c r="E35" s="29" t="s">
        <v>40</v>
      </c>
      <c r="F35" s="29" t="s">
        <v>40</v>
      </c>
      <c r="G35" s="29">
        <f>IFERROR(G32/B32-1,"n.a.")</f>
        <v>-0.019415827012340126</v>
      </c>
      <c r="H35" s="29">
        <f>IFERROR(H32/C32-1,"n.a.")</f>
        <v>-0.04002690884628324</v>
      </c>
      <c r="I35" s="50">
        <f>IFERROR(I32/D32-1,"n.a.")</f>
        <v>-0.03852277111698543</v>
      </c>
      <c r="J35" s="20"/>
    </row>
    <row r="36">
      <c r="A36" s="23" t="s">
        <v>99</v>
      </c>
      <c r="B36" s="29" t="s">
        <v>40</v>
      </c>
      <c r="C36" s="29" t="s">
        <v>40</v>
      </c>
      <c r="D36" s="29" t="s">
        <v>40</v>
      </c>
      <c r="E36" s="29" t="s">
        <v>40</v>
      </c>
      <c r="F36" s="29" t="s">
        <v>40</v>
      </c>
      <c r="G36" s="11">
        <f>'Segment - Residential C&amp;P'!G191</f>
        <v>0</v>
      </c>
      <c r="H36" s="11">
        <f>'Segment - Residential C&amp;P'!H191</f>
        <v>0</v>
      </c>
      <c r="I36" s="58">
        <f>'Segment - Residential C&amp;P'!I191</f>
        <v>0</v>
      </c>
      <c r="J36" s="20" t="s">
        <v>100</v>
      </c>
    </row>
    <row r="37">
      <c r="A37" s="23" t="s">
        <v>101</v>
      </c>
      <c r="B37" s="29" t="s">
        <v>40</v>
      </c>
      <c r="C37" s="29" t="s">
        <v>40</v>
      </c>
      <c r="D37" s="29" t="s">
        <v>40</v>
      </c>
      <c r="E37" s="29" t="s">
        <v>40</v>
      </c>
      <c r="F37" s="29" t="s">
        <v>40</v>
      </c>
      <c r="G37" s="11">
        <f>'Segment - Residential C&amp;P'!G192</f>
        <v>0.017203498949854623</v>
      </c>
      <c r="H37" s="11">
        <f>'Segment - Residential C&amp;P'!H192</f>
        <v>0.0031066783215432103</v>
      </c>
      <c r="I37" s="58">
        <f>'Segment - Residential C&amp;P'!I192</f>
        <v>-0.00036147652528918125</v>
      </c>
      <c r="J37" s="20" t="s">
        <v>102</v>
      </c>
    </row>
    <row r="38">
      <c r="A38" s="23" t="s">
        <v>103</v>
      </c>
      <c r="B38" s="29" t="s">
        <v>40</v>
      </c>
      <c r="C38" s="29" t="s">
        <v>40</v>
      </c>
      <c r="D38" s="29" t="s">
        <v>40</v>
      </c>
      <c r="E38" s="29" t="s">
        <v>40</v>
      </c>
      <c r="F38" s="29" t="s">
        <v>40</v>
      </c>
      <c r="G38" s="29">
        <f>IFERROR(IF(OR(ISTEXT(G35),ISTEXT(G36),ISTEXT(G37)),"n.a.",(1+G35)/((1+G36)*(1+G37))-1),"n.a.")</f>
        <v>-0.03600000000000003</v>
      </c>
      <c r="H38" s="29">
        <f>IFERROR(IF(OR(ISTEXT(H35),ISTEXT(H36),ISTEXT(H37)),"n.a.",(1+H35)/((1+H36)*(1+H37))-1),"n.a.")</f>
        <v>-0.04300000000000004</v>
      </c>
      <c r="I38" s="50">
        <f>IFERROR(IF(OR(ISTEXT(I35),ISTEXT(I36),ISTEXT(I37)),"n.a.",(1+I35)/((1+I36)*(1+I37))-1),"n.a.")</f>
        <v>-0.03817509399202512</v>
      </c>
      <c r="J38" s="20"/>
    </row>
    <row r="39">
      <c r="A39" s="9" t="s">
        <v>64</v>
      </c>
      <c r="B39" s="40">
        <f>B10</f>
        <v>2496</v>
      </c>
      <c r="C39" s="40">
        <f>C10</f>
        <v>2575</v>
      </c>
      <c r="D39" s="40">
        <f>D10</f>
        <v>2576</v>
      </c>
      <c r="E39" s="40">
        <f>E10</f>
        <v>2590</v>
      </c>
      <c r="F39" s="40">
        <f>SUM(B39:E39)</f>
        <v>10237</v>
      </c>
      <c r="G39" s="40">
        <f>G10</f>
        <v>2640</v>
      </c>
      <c r="H39" s="40">
        <f>H10</f>
        <v>2671</v>
      </c>
      <c r="I39" s="41">
        <f>I10</f>
        <v>2648.5247040000004</v>
      </c>
      <c r="J39" s="20"/>
    </row>
    <row r="40">
      <c r="A40" s="23" t="s">
        <v>96</v>
      </c>
      <c r="B40" s="29" t="s">
        <v>40</v>
      </c>
      <c r="C40" s="29">
        <f>IFERROR(C39/B39-1,"n.a.")</f>
        <v>0.03165064102564097</v>
      </c>
      <c r="D40" s="29">
        <f>IFERROR(D39/C39-1,"n.a.")</f>
        <v>0.0003883495145631244</v>
      </c>
      <c r="E40" s="29">
        <f>IFERROR(E39/D39-1,"n.a.")</f>
        <v>0.005434782608695565</v>
      </c>
      <c r="F40" s="29" t="s">
        <v>40</v>
      </c>
      <c r="G40" s="29">
        <f>IFERROR(G39/E39-1,"n.a.")</f>
        <v>0.019305019305019266</v>
      </c>
      <c r="H40" s="29">
        <f>IFERROR(H39/G39-1,"n.a.")</f>
        <v>0.011742424242424221</v>
      </c>
      <c r="I40" s="50">
        <f>IFERROR(I39/H39-1,"n.a.")</f>
        <v>-0.008414562336203524</v>
      </c>
      <c r="J40" s="20"/>
    </row>
    <row r="41">
      <c r="A41" s="23" t="s">
        <v>97</v>
      </c>
      <c r="B41" s="29">
        <f>IFERROR(B39/B20,"n.a.")</f>
        <v>0.08956830659920335</v>
      </c>
      <c r="C41" s="29">
        <f>IFERROR(C39/C20,"n.a.")</f>
        <v>0.09116335056291157</v>
      </c>
      <c r="D41" s="29">
        <f>IFERROR(D39/D20,"n.a.")</f>
        <v>0.08836746595314054</v>
      </c>
      <c r="E41" s="29">
        <f>IFERROR(E39/E20,"n.a.")</f>
        <v>0.0855180611503665</v>
      </c>
      <c r="F41" s="29">
        <f>IFERROR(F39/F20,"n.a.")</f>
        <v>0.08859368238857637</v>
      </c>
      <c r="G41" s="29">
        <f>IFERROR(G39/G20,"n.a.")</f>
        <v>0.08545625222542323</v>
      </c>
      <c r="H41" s="29">
        <f>IFERROR(H39/H20,"n.a.")</f>
        <v>0.09034331134787756</v>
      </c>
      <c r="I41" s="50">
        <f>IFERROR(I39/I20,"n.a.")</f>
        <v>0.09021931127824331</v>
      </c>
      <c r="J41" s="20"/>
    </row>
    <row r="42">
      <c r="A42" s="23" t="s">
        <v>98</v>
      </c>
      <c r="B42" s="29" t="s">
        <v>40</v>
      </c>
      <c r="C42" s="29" t="s">
        <v>40</v>
      </c>
      <c r="D42" s="29" t="s">
        <v>40</v>
      </c>
      <c r="E42" s="29" t="s">
        <v>40</v>
      </c>
      <c r="F42" s="29" t="s">
        <v>40</v>
      </c>
      <c r="G42" s="29">
        <f>IFERROR(G39/B39-1,"n.a.")</f>
        <v>0.05769230769230771</v>
      </c>
      <c r="H42" s="29">
        <f>IFERROR(H39/C39-1,"n.a.")</f>
        <v>0.037281553398058165</v>
      </c>
      <c r="I42" s="50">
        <f>IFERROR(I39/D39-1,"n.a.")</f>
        <v>0.028154000000000234</v>
      </c>
      <c r="J42" s="20"/>
    </row>
    <row r="43">
      <c r="A43" s="23" t="s">
        <v>99</v>
      </c>
      <c r="B43" s="29" t="s">
        <v>40</v>
      </c>
      <c r="C43" s="29" t="s">
        <v>40</v>
      </c>
      <c r="D43" s="29" t="s">
        <v>40</v>
      </c>
      <c r="E43" s="29" t="s">
        <v>40</v>
      </c>
      <c r="F43" s="29" t="s">
        <v>40</v>
      </c>
      <c r="G43" s="11" t="str">
        <f>'Segment - Business Services'!G30</f>
        <v>n.a.</v>
      </c>
      <c r="H43" s="11">
        <f>'Segment - Business Services'!H30</f>
        <v>0</v>
      </c>
      <c r="I43" s="58">
        <f>'Segment - Business Services'!I30</f>
        <v>0</v>
      </c>
      <c r="J43" s="20"/>
    </row>
    <row r="44">
      <c r="A44" s="23" t="s">
        <v>104</v>
      </c>
      <c r="B44" s="29" t="s">
        <v>40</v>
      </c>
      <c r="C44" s="29" t="s">
        <v>40</v>
      </c>
      <c r="D44" s="29" t="s">
        <v>40</v>
      </c>
      <c r="E44" s="29" t="s">
        <v>40</v>
      </c>
      <c r="F44" s="29" t="s">
        <v>40</v>
      </c>
      <c r="G44" s="11">
        <f>'Segment - Business Services'!G31</f>
        <v>0.0006549741649080065</v>
      </c>
      <c r="H44" s="11">
        <f>'Segment - Business Services'!H31</f>
        <v>0.0002715076162567165</v>
      </c>
      <c r="I44" s="58">
        <f>'Segment - Business Services'!I31</f>
        <v>0</v>
      </c>
      <c r="J44" s="20" t="s">
        <v>105</v>
      </c>
    </row>
    <row r="45">
      <c r="A45" s="23" t="s">
        <v>103</v>
      </c>
      <c r="B45" s="29" t="s">
        <v>40</v>
      </c>
      <c r="C45" s="29" t="s">
        <v>40</v>
      </c>
      <c r="D45" s="29" t="s">
        <v>40</v>
      </c>
      <c r="E45" s="29" t="s">
        <v>40</v>
      </c>
      <c r="F45" s="29" t="s">
        <v>40</v>
      </c>
      <c r="G45" s="29" t="str">
        <f>IFERROR(IF(OR(ISTEXT(G42),ISTEXT(G43),ISTEXT(G44)),"n.a.",(1+G42)/((1+G43)*(1+G44))-1),"n.a.")</f>
        <v>n.a.</v>
      </c>
      <c r="H45" s="29">
        <f>IFERROR(IF(OR(ISTEXT(H42),ISTEXT(H43),ISTEXT(H44)),"n.a.",(1+H42)/((1+H43)*(1+H44))-1),"n.a.")</f>
        <v>0.03699999999999992</v>
      </c>
      <c r="I45" s="50">
        <f>IFERROR(IF(OR(ISTEXT(I42),ISTEXT(I43),ISTEXT(I44)),"n.a.",(1+I42)/((1+I43)*(1+I44))-1),"n.a.")</f>
        <v>0.028154000000000234</v>
      </c>
      <c r="J45" s="20"/>
    </row>
    <row r="46">
      <c r="A46" s="35" t="s">
        <v>65</v>
      </c>
      <c r="B46" s="45">
        <f>B11</f>
        <v>20162</v>
      </c>
      <c r="C46" s="45">
        <f>C11</f>
        <v>20413</v>
      </c>
      <c r="D46" s="45">
        <f>D11</f>
        <v>20212</v>
      </c>
      <c r="E46" s="45">
        <f>E11</f>
        <v>20282</v>
      </c>
      <c r="F46" s="45">
        <f>SUM(B46:E46)</f>
        <v>81069</v>
      </c>
      <c r="G46" s="45">
        <f>G11</f>
        <v>19963</v>
      </c>
      <c r="H46" s="45">
        <f>H11</f>
        <v>19795</v>
      </c>
      <c r="I46" s="52">
        <f>I11</f>
        <v>19605.137112580844</v>
      </c>
      <c r="J46" s="20"/>
    </row>
    <row r="47">
      <c r="A47" s="23" t="s">
        <v>96</v>
      </c>
      <c r="B47" s="29" t="s">
        <v>40</v>
      </c>
      <c r="C47" s="29">
        <f>IFERROR(C46/B46-1,"n.a.")</f>
        <v>0.012449161789505059</v>
      </c>
      <c r="D47" s="29">
        <f>IFERROR(D46/C46-1,"n.a.")</f>
        <v>-0.009846666340077359</v>
      </c>
      <c r="E47" s="29">
        <f>IFERROR(E46/D46-1,"n.a.")</f>
        <v>0.0034632891351671358</v>
      </c>
      <c r="F47" s="29" t="s">
        <v>40</v>
      </c>
      <c r="G47" s="29">
        <f>IFERROR(G46/E46-1,"n.a.")</f>
        <v>-0.015728231929790004</v>
      </c>
      <c r="H47" s="29">
        <f>IFERROR(H46/G46-1,"n.a.")</f>
        <v>-0.008415568802284223</v>
      </c>
      <c r="I47" s="50">
        <f>IFERROR(I46/H46-1,"n.a.")</f>
        <v>-0.009591456803190512</v>
      </c>
      <c r="J47" s="20"/>
    </row>
    <row r="48">
      <c r="A48" s="23" t="s">
        <v>97</v>
      </c>
      <c r="B48" s="29">
        <f>IFERROR(B46/B20,"n.a.")</f>
        <v>0.7235080920084688</v>
      </c>
      <c r="C48" s="29">
        <f>IFERROR(C46/C20,"n.a.")</f>
        <v>0.7226863980740635</v>
      </c>
      <c r="D48" s="29">
        <f>IFERROR(D46/D20,"n.a.")</f>
        <v>0.6933552879832596</v>
      </c>
      <c r="E48" s="29">
        <f>IFERROR(E46/E20,"n.a.")</f>
        <v>0.6696823614871558</v>
      </c>
      <c r="F48" s="29">
        <f>IFERROR(F46/F20,"n.a.")</f>
        <v>0.7015923842492428</v>
      </c>
      <c r="G48" s="29">
        <f>IFERROR(G46/G20,"n.a.")</f>
        <v>0.6461981678697439</v>
      </c>
      <c r="H48" s="29">
        <f>IFERROR(H46/H20,"n.a.")</f>
        <v>0.669541687806528</v>
      </c>
      <c r="I48" s="50">
        <f>IFERROR(I46/I20,"n.a.")</f>
        <v>0.6678291371574728</v>
      </c>
      <c r="J48" s="20"/>
    </row>
    <row r="49">
      <c r="A49" s="23" t="s">
        <v>98</v>
      </c>
      <c r="B49" s="29" t="s">
        <v>40</v>
      </c>
      <c r="C49" s="29" t="s">
        <v>40</v>
      </c>
      <c r="D49" s="29" t="s">
        <v>40</v>
      </c>
      <c r="E49" s="29" t="s">
        <v>40</v>
      </c>
      <c r="F49" s="29" t="s">
        <v>40</v>
      </c>
      <c r="G49" s="29">
        <f>IFERROR(G46/B46-1,"n.a.")</f>
        <v>-0.009870052574149413</v>
      </c>
      <c r="H49" s="29">
        <f>IFERROR(H46/C46-1,"n.a.")</f>
        <v>-0.030274824866506678</v>
      </c>
      <c r="I49" s="50">
        <f>IFERROR(I46/D46-1,"n.a.")</f>
        <v>-0.030024880636214002</v>
      </c>
      <c r="J49" s="20"/>
    </row>
    <row r="50">
      <c r="A50" s="23" t="s">
        <v>99</v>
      </c>
      <c r="B50" s="29" t="s">
        <v>40</v>
      </c>
      <c r="C50" s="29" t="s">
        <v>40</v>
      </c>
      <c r="D50" s="29" t="s">
        <v>40</v>
      </c>
      <c r="E50" s="29" t="s">
        <v>40</v>
      </c>
      <c r="F50" s="29" t="s">
        <v>40</v>
      </c>
      <c r="G50" s="29" t="s">
        <v>40</v>
      </c>
      <c r="H50" s="65">
        <v>0</v>
      </c>
      <c r="I50" s="48">
        <v>0</v>
      </c>
      <c r="J50" s="20" t="s">
        <v>89</v>
      </c>
    </row>
    <row r="51">
      <c r="A51" s="23" t="s">
        <v>101</v>
      </c>
      <c r="B51" s="29" t="s">
        <v>40</v>
      </c>
      <c r="C51" s="29" t="s">
        <v>40</v>
      </c>
      <c r="D51" s="29" t="s">
        <v>40</v>
      </c>
      <c r="E51" s="29" t="s">
        <v>40</v>
      </c>
      <c r="F51" s="29" t="s">
        <v>40</v>
      </c>
      <c r="G51" s="11">
        <f>IFERROR(('Segment - Residential C&amp;P'!G192*B9+'Segment - Business Services'!G31*B10)/B11,"n.a.")</f>
        <v>0.015154837216731585</v>
      </c>
      <c r="H51" s="11">
        <f>IFERROR(('Segment - Residential C&amp;P'!H192*C9+'Segment - Business Services'!H31*C10)/C11,"n.a.")</f>
        <v>0.002749035419171549</v>
      </c>
      <c r="I51" s="58">
        <f>IFERROR(('Segment - Residential C&amp;P'!I192*D9+'Segment - Business Services'!I31*D10)/D11,"n.a.")</f>
        <v>-0.00031540668909558675</v>
      </c>
      <c r="J51" s="20" t="s">
        <v>102</v>
      </c>
    </row>
    <row r="52">
      <c r="A52" s="23" t="s">
        <v>103</v>
      </c>
      <c r="B52" s="29" t="s">
        <v>40</v>
      </c>
      <c r="C52" s="29" t="s">
        <v>40</v>
      </c>
      <c r="D52" s="29" t="s">
        <v>40</v>
      </c>
      <c r="E52" s="29" t="s">
        <v>40</v>
      </c>
      <c r="F52" s="29" t="s">
        <v>40</v>
      </c>
      <c r="G52" s="29" t="str">
        <f>IFERROR(IF(OR(ISTEXT(G49),ISTEXT(G50),ISTEXT(G51)),"n.a.",(1+G49)/((1+G50)*(1+G51))-1),"n.a.")</f>
        <v>n.a.</v>
      </c>
      <c r="H52" s="29">
        <f>IFERROR(IF(OR(ISTEXT(H49),ISTEXT(H50),ISTEXT(H51)),"n.a.",(1+H49)/((1+H50)*(1+H51))-1),"n.a.")</f>
        <v>-0.03293332540766136</v>
      </c>
      <c r="I52" s="50">
        <f>IFERROR(IF(OR(ISTEXT(I49),ISTEXT(I50),ISTEXT(I51)),"n.a.",(1+I49)/((1+I50)*(1+I51))-1),"n.a.")</f>
        <v>-0.029718847470402765</v>
      </c>
      <c r="J52" s="20"/>
    </row>
    <row r="53">
      <c r="A53" s="9" t="s">
        <v>66</v>
      </c>
      <c r="B53" s="40">
        <f>B12</f>
        <v>4527</v>
      </c>
      <c r="C53" s="40">
        <f>C12</f>
        <v>4542</v>
      </c>
      <c r="D53" s="40">
        <f>D12</f>
        <v>4744</v>
      </c>
      <c r="E53" s="40">
        <f>E12</f>
        <v>5824</v>
      </c>
      <c r="F53" s="40">
        <f>SUM(B53:E53)</f>
        <v>19637</v>
      </c>
      <c r="G53" s="40">
        <f>G12</f>
        <v>7280</v>
      </c>
      <c r="H53" s="40">
        <f>H12</f>
        <v>5690</v>
      </c>
      <c r="I53" s="41">
        <f>I12</f>
        <v>5417.69915</v>
      </c>
      <c r="J53" s="20"/>
    </row>
    <row r="54">
      <c r="A54" s="23" t="s">
        <v>96</v>
      </c>
      <c r="B54" s="29" t="s">
        <v>40</v>
      </c>
      <c r="C54" s="29">
        <f>IFERROR(C53/B53-1,"n.a.")</f>
        <v>0.003313452617627499</v>
      </c>
      <c r="D54" s="29">
        <f>IFERROR(D53/C53-1,"n.a.")</f>
        <v>0.044473800088066895</v>
      </c>
      <c r="E54" s="29">
        <f>IFERROR(E53/D53-1,"n.a.")</f>
        <v>0.22765598650927488</v>
      </c>
      <c r="F54" s="29" t="s">
        <v>40</v>
      </c>
      <c r="G54" s="29">
        <f>IFERROR(G53/E53-1,"n.a.")</f>
        <v>0.25</v>
      </c>
      <c r="H54" s="29">
        <f>IFERROR(H53/G53-1,"n.a.")</f>
        <v>-0.2184065934065934</v>
      </c>
      <c r="I54" s="50">
        <f>IFERROR(I53/H53-1,"n.a.")</f>
        <v>-0.04785603690685403</v>
      </c>
      <c r="J54" s="20"/>
    </row>
    <row r="55">
      <c r="A55" s="23" t="s">
        <v>97</v>
      </c>
      <c r="B55" s="29">
        <f>IFERROR(B53/B20,"n.a.")</f>
        <v>0.1624502099257186</v>
      </c>
      <c r="C55" s="29">
        <f>IFERROR(C53/C20,"n.a.")</f>
        <v>0.16080152942009487</v>
      </c>
      <c r="D55" s="29">
        <f>IFERROR(D53/D20,"n.a.")</f>
        <v>0.1627388425782992</v>
      </c>
      <c r="E55" s="29">
        <f>IFERROR(E53/E20,"n.a.")</f>
        <v>0.19230007264082413</v>
      </c>
      <c r="F55" s="29">
        <f>IFERROR(F53/F20,"n.a.")</f>
        <v>0.16994374729554307</v>
      </c>
      <c r="G55" s="29">
        <f>IFERROR(G53/G20,"n.a.")</f>
        <v>0.2356520894701065</v>
      </c>
      <c r="H55" s="29">
        <f>IFERROR(H53/H20,"n.a.")</f>
        <v>0.19245729748012852</v>
      </c>
      <c r="I55" s="50">
        <f>IFERROR(I53/I20,"n.a.")</f>
        <v>0.18454843380827463</v>
      </c>
      <c r="J55" s="20"/>
    </row>
    <row r="56">
      <c r="A56" s="23" t="s">
        <v>98</v>
      </c>
      <c r="B56" s="29" t="s">
        <v>40</v>
      </c>
      <c r="C56" s="29" t="s">
        <v>40</v>
      </c>
      <c r="D56" s="29" t="s">
        <v>40</v>
      </c>
      <c r="E56" s="29" t="s">
        <v>40</v>
      </c>
      <c r="F56" s="29" t="s">
        <v>40</v>
      </c>
      <c r="G56" s="29">
        <f>IFERROR(G53/B53-1,"n.a.")</f>
        <v>0.6081290037552463</v>
      </c>
      <c r="H56" s="29">
        <f>IFERROR(H53/C53-1,"n.a.")</f>
        <v>0.2527520915896082</v>
      </c>
      <c r="I56" s="50">
        <f>IFERROR(I53/D53-1,"n.a.")</f>
        <v>0.14201078204047235</v>
      </c>
      <c r="J56" s="20"/>
    </row>
    <row r="57">
      <c r="A57" s="23" t="s">
        <v>99</v>
      </c>
      <c r="B57" s="29" t="s">
        <v>40</v>
      </c>
      <c r="C57" s="29" t="s">
        <v>40</v>
      </c>
      <c r="D57" s="29" t="s">
        <v>40</v>
      </c>
      <c r="E57" s="29" t="s">
        <v>40</v>
      </c>
      <c r="F57" s="29" t="s">
        <v>40</v>
      </c>
      <c r="G57" s="11">
        <f>'Segment - Media'!G153</f>
        <v>0</v>
      </c>
      <c r="H57" s="11">
        <f>'Segment - Media'!H153</f>
        <v>0</v>
      </c>
      <c r="I57" s="58">
        <f>'Segment - Media'!I153</f>
        <v>0</v>
      </c>
      <c r="J57" s="20"/>
    </row>
    <row r="58">
      <c r="A58" s="23" t="s">
        <v>106</v>
      </c>
      <c r="B58" s="29" t="s">
        <v>40</v>
      </c>
      <c r="C58" s="29" t="s">
        <v>40</v>
      </c>
      <c r="D58" s="29" t="s">
        <v>40</v>
      </c>
      <c r="E58" s="29" t="s">
        <v>40</v>
      </c>
      <c r="F58" s="29" t="s">
        <v>40</v>
      </c>
      <c r="G58" s="11" t="str">
        <f>'Segment - Media'!G154</f>
        <v>n.a.</v>
      </c>
      <c r="H58" s="11" t="str">
        <f>'Segment - Media'!H154</f>
        <v>n.a.</v>
      </c>
      <c r="I58" s="58">
        <f>'Segment - Media'!I154</f>
        <v>-0.0013058600337268128</v>
      </c>
      <c r="J58" s="20"/>
    </row>
    <row r="59">
      <c r="A59" s="23" t="s">
        <v>103</v>
      </c>
      <c r="B59" s="29" t="s">
        <v>40</v>
      </c>
      <c r="C59" s="29" t="s">
        <v>40</v>
      </c>
      <c r="D59" s="29" t="s">
        <v>40</v>
      </c>
      <c r="E59" s="29" t="s">
        <v>40</v>
      </c>
      <c r="F59" s="29" t="s">
        <v>40</v>
      </c>
      <c r="G59" s="29" t="str">
        <f>IFERROR(IF(OR(ISTEXT(G56),ISTEXT(G57),ISTEXT(G58)),"n.a.",(1+G56)/((1+G57)*(1+G58))-1),"n.a.")</f>
        <v>n.a.</v>
      </c>
      <c r="H59" s="29" t="str">
        <f>IFERROR(IF(OR(ISTEXT(H56),ISTEXT(H57),ISTEXT(H58)),"n.a.",(1+H56)/((1+H57)*(1+H58))-1),"n.a.")</f>
        <v>n.a.</v>
      </c>
      <c r="I59" s="50">
        <f>IFERROR(IF(OR(ISTEXT(I56),ISTEXT(I57),ISTEXT(I58)),"n.a.",(1+I56)/((1+I57)*(1+I58))-1),"n.a.")</f>
        <v>0.1435040382624444</v>
      </c>
      <c r="J59" s="20"/>
    </row>
    <row r="60">
      <c r="A60" s="9" t="s">
        <v>67</v>
      </c>
      <c r="B60" s="40">
        <f>B13</f>
        <v>2826</v>
      </c>
      <c r="C60" s="40">
        <f>C13</f>
        <v>2432</v>
      </c>
      <c r="D60" s="40">
        <f>D13</f>
        <v>3000</v>
      </c>
      <c r="E60" s="40">
        <f>E13</f>
        <v>3027</v>
      </c>
      <c r="F60" s="40">
        <f>SUM(B60:E60)</f>
        <v>11285</v>
      </c>
      <c r="G60" s="40">
        <f>G13</f>
        <v>3426</v>
      </c>
      <c r="H60" s="40">
        <f>H13</f>
        <v>3040</v>
      </c>
      <c r="I60" s="41">
        <f>I13</f>
        <v>3270.55</v>
      </c>
      <c r="J60" s="20"/>
    </row>
    <row r="61">
      <c r="A61" s="23" t="s">
        <v>96</v>
      </c>
      <c r="B61" s="29" t="s">
        <v>40</v>
      </c>
      <c r="C61" s="29">
        <f>IFERROR(C60/B60-1,"n.a.")</f>
        <v>-0.1394196744515216</v>
      </c>
      <c r="D61" s="29">
        <f>IFERROR(D60/C60-1,"n.a.")</f>
        <v>0.23355263157894735</v>
      </c>
      <c r="E61" s="29">
        <f>IFERROR(E60/D60-1,"n.a.")</f>
        <v>0.008999999999999897</v>
      </c>
      <c r="F61" s="29" t="s">
        <v>40</v>
      </c>
      <c r="G61" s="29">
        <f>IFERROR(G60/E60-1,"n.a.")</f>
        <v>0.13181367690782952</v>
      </c>
      <c r="H61" s="29">
        <f>IFERROR(H60/G60-1,"n.a.")</f>
        <v>-0.11266783420899007</v>
      </c>
      <c r="I61" s="50">
        <f>IFERROR(I60/H60-1,"n.a.")</f>
        <v>0.07583881578947382</v>
      </c>
      <c r="J61" s="20"/>
    </row>
    <row r="62">
      <c r="A62" s="23" t="s">
        <v>97</v>
      </c>
      <c r="B62" s="29">
        <f>IFERROR(B60/B20,"n.a.")</f>
        <v>0.10141027021207881</v>
      </c>
      <c r="C62" s="29">
        <f>IFERROR(C60/C20,"n.a.")</f>
        <v>0.08610068682291298</v>
      </c>
      <c r="D62" s="29">
        <f>IFERROR(D60/D20,"n.a.")</f>
        <v>0.10291242152927858</v>
      </c>
      <c r="E62" s="29">
        <f>IFERROR(E60/E20,"n.a.")</f>
        <v>0.09994717030971406</v>
      </c>
      <c r="F62" s="29">
        <f>IFERROR(F60/F20,"n.a.")</f>
        <v>0.09766334919948075</v>
      </c>
      <c r="G62" s="29">
        <f>IFERROR(G60/G20,"n.a.")</f>
        <v>0.11089890913799243</v>
      </c>
      <c r="H62" s="29">
        <f>IFERROR(H60/H20,"n.a.")</f>
        <v>0.1028242854726873</v>
      </c>
      <c r="I62" s="50">
        <f>IFERROR(I60/I20,"n.a.")</f>
        <v>0.11140797291995304</v>
      </c>
      <c r="J62" s="20"/>
    </row>
    <row r="63">
      <c r="A63" s="23" t="s">
        <v>98</v>
      </c>
      <c r="B63" s="29" t="s">
        <v>40</v>
      </c>
      <c r="C63" s="29" t="s">
        <v>40</v>
      </c>
      <c r="D63" s="29" t="s">
        <v>40</v>
      </c>
      <c r="E63" s="29" t="s">
        <v>40</v>
      </c>
      <c r="F63" s="29" t="s">
        <v>40</v>
      </c>
      <c r="G63" s="29">
        <f>IFERROR(G60/B60-1,"n.a.")</f>
        <v>0.2123142250530785</v>
      </c>
      <c r="H63" s="29">
        <f>IFERROR(H60/C60-1,"n.a.")</f>
        <v>0.25</v>
      </c>
      <c r="I63" s="50">
        <f>IFERROR(I60/D60-1,"n.a.")</f>
        <v>0.0901833333333335</v>
      </c>
      <c r="J63" s="20"/>
    </row>
    <row r="64">
      <c r="A64" s="23" t="s">
        <v>99</v>
      </c>
      <c r="B64" s="29" t="s">
        <v>40</v>
      </c>
      <c r="C64" s="29" t="s">
        <v>40</v>
      </c>
      <c r="D64" s="29" t="s">
        <v>40</v>
      </c>
      <c r="E64" s="29" t="s">
        <v>40</v>
      </c>
      <c r="F64" s="29" t="s">
        <v>40</v>
      </c>
      <c r="G64" s="11">
        <f>'Segment - Studios'!G51</f>
        <v>0</v>
      </c>
      <c r="H64" s="11">
        <f>'Segment - Studios'!H51</f>
        <v>0</v>
      </c>
      <c r="I64" s="58">
        <f>'Segment - Studios'!I51</f>
        <v>0</v>
      </c>
      <c r="J64" s="20"/>
    </row>
    <row r="65">
      <c r="A65" s="23" t="s">
        <v>106</v>
      </c>
      <c r="B65" s="29" t="s">
        <v>40</v>
      </c>
      <c r="C65" s="29" t="s">
        <v>40</v>
      </c>
      <c r="D65" s="29" t="s">
        <v>40</v>
      </c>
      <c r="E65" s="29" t="s">
        <v>40</v>
      </c>
      <c r="F65" s="29" t="s">
        <v>40</v>
      </c>
      <c r="G65" s="11" t="str">
        <f>'Segment - Studios'!G52</f>
        <v>n.a.</v>
      </c>
      <c r="H65" s="11" t="str">
        <f>'Segment - Studios'!H52</f>
        <v>n.a.</v>
      </c>
      <c r="I65" s="58" t="str">
        <f>'Segment - Studios'!I52</f>
        <v>n.a.</v>
      </c>
      <c r="J65" s="20"/>
    </row>
    <row r="66">
      <c r="A66" s="23" t="s">
        <v>103</v>
      </c>
      <c r="B66" s="29" t="s">
        <v>40</v>
      </c>
      <c r="C66" s="29" t="s">
        <v>40</v>
      </c>
      <c r="D66" s="29" t="s">
        <v>40</v>
      </c>
      <c r="E66" s="29" t="s">
        <v>40</v>
      </c>
      <c r="F66" s="29" t="s">
        <v>40</v>
      </c>
      <c r="G66" s="29" t="str">
        <f>IFERROR(IF(OR(ISTEXT(G63),ISTEXT(G64),ISTEXT(G65)),"n.a.",(1+G63)/((1+G64)*(1+G65))-1),"n.a.")</f>
        <v>n.a.</v>
      </c>
      <c r="H66" s="29" t="str">
        <f>IFERROR(IF(OR(ISTEXT(H63),ISTEXT(H64),ISTEXT(H65)),"n.a.",(1+H63)/((1+H64)*(1+H65))-1),"n.a.")</f>
        <v>n.a.</v>
      </c>
      <c r="I66" s="50" t="str">
        <f>IFERROR(IF(OR(ISTEXT(I63),ISTEXT(I64),ISTEXT(I65)),"n.a.",(1+I63)/((1+I64)*(1+I65))-1),"n.a.")</f>
        <v>n.a.</v>
      </c>
      <c r="J66" s="20"/>
    </row>
    <row r="67">
      <c r="A67" s="9" t="s">
        <v>68</v>
      </c>
      <c r="B67" s="40">
        <f>B14</f>
        <v>1876</v>
      </c>
      <c r="C67" s="40">
        <f>C14</f>
        <v>2349</v>
      </c>
      <c r="D67" s="40">
        <f>D14</f>
        <v>2717</v>
      </c>
      <c r="E67" s="40">
        <f>E14</f>
        <v>2893</v>
      </c>
      <c r="F67" s="40">
        <f>SUM(B67:E67)</f>
        <v>9835</v>
      </c>
      <c r="G67" s="40">
        <f>G14</f>
        <v>2331</v>
      </c>
      <c r="H67" s="40">
        <f>H14</f>
        <v>2413</v>
      </c>
      <c r="I67" s="41">
        <f>I14</f>
        <v>2567.1302800000003</v>
      </c>
      <c r="J67" s="20"/>
    </row>
    <row r="68">
      <c r="A68" s="23" t="s">
        <v>96</v>
      </c>
      <c r="B68" s="29" t="s">
        <v>40</v>
      </c>
      <c r="C68" s="29">
        <f>IFERROR(C67/B67-1,"n.a.")</f>
        <v>0.25213219616204685</v>
      </c>
      <c r="D68" s="29">
        <f>IFERROR(D67/C67-1,"n.a.")</f>
        <v>0.15666240953597277</v>
      </c>
      <c r="E68" s="29">
        <f>IFERROR(E67/D67-1,"n.a.")</f>
        <v>0.06477732793522262</v>
      </c>
      <c r="F68" s="29" t="s">
        <v>40</v>
      </c>
      <c r="G68" s="29">
        <f>IFERROR(G67/E67-1,"n.a.")</f>
        <v>-0.19426201175250601</v>
      </c>
      <c r="H68" s="29">
        <f>IFERROR(H67/G67-1,"n.a.")</f>
        <v>0.03517803517803508</v>
      </c>
      <c r="I68" s="50">
        <f>IFERROR(I67/H67-1,"n.a.")</f>
        <v>0.06387496062992137</v>
      </c>
      <c r="J68" s="20"/>
    </row>
    <row r="69">
      <c r="A69" s="23" t="s">
        <v>97</v>
      </c>
      <c r="B69" s="29">
        <f>IFERROR(B67/B20,"n.a.")</f>
        <v>0.06731976890228586</v>
      </c>
      <c r="C69" s="29">
        <f>IFERROR(C67/C20,"n.a.")</f>
        <v>0.08316221765913757</v>
      </c>
      <c r="D69" s="29">
        <f>IFERROR(D67/D20,"n.a.")</f>
        <v>0.09320434976501664</v>
      </c>
      <c r="E69" s="29">
        <f>IFERROR(E67/E20,"n.a.")</f>
        <v>0.09552268374826653</v>
      </c>
      <c r="F69" s="29">
        <f>IFERROR(F67/F20,"n.a.")</f>
        <v>0.08511466897446993</v>
      </c>
      <c r="G69" s="29">
        <f>IFERROR(G67/G20,"n.a.")</f>
        <v>0.07545398633994756</v>
      </c>
      <c r="H69" s="29">
        <f>IFERROR(H67/H20,"n.a.")</f>
        <v>0.08161677659394555</v>
      </c>
      <c r="I69" s="50">
        <f>IFERROR(I67/I20,"n.a.")</f>
        <v>0.08744669267133402</v>
      </c>
      <c r="J69" s="20"/>
    </row>
    <row r="70">
      <c r="A70" s="23" t="s">
        <v>98</v>
      </c>
      <c r="B70" s="29" t="s">
        <v>40</v>
      </c>
      <c r="C70" s="29" t="s">
        <v>40</v>
      </c>
      <c r="D70" s="29" t="s">
        <v>40</v>
      </c>
      <c r="E70" s="29" t="s">
        <v>40</v>
      </c>
      <c r="F70" s="29" t="s">
        <v>40</v>
      </c>
      <c r="G70" s="29">
        <f>IFERROR(G67/B67-1,"n.a.")</f>
        <v>0.2425373134328359</v>
      </c>
      <c r="H70" s="29">
        <f>IFERROR(H67/C67-1,"n.a.")</f>
        <v>0.027245636441038723</v>
      </c>
      <c r="I70" s="50">
        <f>IFERROR(I67/D67-1,"n.a.")</f>
        <v>-0.055159999999999876</v>
      </c>
      <c r="J70" s="20"/>
    </row>
    <row r="71">
      <c r="A71" s="23" t="s">
        <v>99</v>
      </c>
      <c r="B71" s="29" t="s">
        <v>40</v>
      </c>
      <c r="C71" s="29" t="s">
        <v>40</v>
      </c>
      <c r="D71" s="29" t="s">
        <v>40</v>
      </c>
      <c r="E71" s="29" t="s">
        <v>40</v>
      </c>
      <c r="F71" s="29" t="s">
        <v>40</v>
      </c>
      <c r="G71" s="11">
        <f>'Segment - Theme Parks'!G23</f>
        <v>0</v>
      </c>
      <c r="H71" s="11">
        <f>'Segment - Theme Parks'!H23</f>
        <v>0</v>
      </c>
      <c r="I71" s="58">
        <f>'Segment - Theme Parks'!I23</f>
        <v>0</v>
      </c>
      <c r="J71" s="20"/>
    </row>
    <row r="72">
      <c r="A72" s="23" t="s">
        <v>106</v>
      </c>
      <c r="B72" s="29" t="s">
        <v>40</v>
      </c>
      <c r="C72" s="29" t="s">
        <v>40</v>
      </c>
      <c r="D72" s="29" t="s">
        <v>40</v>
      </c>
      <c r="E72" s="29" t="s">
        <v>40</v>
      </c>
      <c r="F72" s="29" t="s">
        <v>40</v>
      </c>
      <c r="G72" s="11" t="str">
        <f>'Segment - Theme Parks'!G24</f>
        <v>n.a.</v>
      </c>
      <c r="H72" s="11" t="str">
        <f>'Segment - Theme Parks'!H24</f>
        <v>n.a.</v>
      </c>
      <c r="I72" s="58" t="str">
        <f>'Segment - Theme Parks'!I24</f>
        <v>n.a.</v>
      </c>
      <c r="J72" s="20"/>
    </row>
    <row r="73">
      <c r="A73" s="23" t="s">
        <v>103</v>
      </c>
      <c r="B73" s="29" t="s">
        <v>40</v>
      </c>
      <c r="C73" s="29" t="s">
        <v>40</v>
      </c>
      <c r="D73" s="29" t="s">
        <v>40</v>
      </c>
      <c r="E73" s="29" t="s">
        <v>40</v>
      </c>
      <c r="F73" s="29" t="s">
        <v>40</v>
      </c>
      <c r="G73" s="29" t="str">
        <f>IFERROR(IF(OR(ISTEXT(G70),ISTEXT(G71),ISTEXT(G72)),"n.a.",(1+G70)/((1+G71)*(1+G72))-1),"n.a.")</f>
        <v>n.a.</v>
      </c>
      <c r="H73" s="29" t="str">
        <f>IFERROR(IF(OR(ISTEXT(H70),ISTEXT(H71),ISTEXT(H72)),"n.a.",(1+H70)/((1+H71)*(1+H72))-1),"n.a.")</f>
        <v>n.a.</v>
      </c>
      <c r="I73" s="50" t="str">
        <f>IFERROR(IF(OR(ISTEXT(I70),ISTEXT(I71),ISTEXT(I72)),"n.a.",(1+I70)/((1+I71)*(1+I72))-1),"n.a.")</f>
        <v>n.a.</v>
      </c>
      <c r="J73" s="20"/>
    </row>
    <row r="74">
      <c r="A74" s="9" t="s">
        <v>69</v>
      </c>
      <c r="B74" s="40">
        <f>B15</f>
        <v>11</v>
      </c>
      <c r="C74" s="40">
        <f>C15</f>
        <v>9</v>
      </c>
      <c r="D74" s="40">
        <f>D15</f>
        <v>15</v>
      </c>
      <c r="E74" s="40">
        <f>E15</f>
        <v>11</v>
      </c>
      <c r="F74" s="40">
        <f>SUM(B74:E74)</f>
        <v>46</v>
      </c>
      <c r="G74" s="40">
        <f>G15</f>
        <v>15</v>
      </c>
      <c r="H74" s="40">
        <f>H15</f>
        <v>18</v>
      </c>
      <c r="I74" s="41">
        <f>I15</f>
        <v>16</v>
      </c>
      <c r="J74" s="20"/>
    </row>
    <row r="75">
      <c r="A75" s="23" t="s">
        <v>96</v>
      </c>
      <c r="B75" s="29" t="s">
        <v>40</v>
      </c>
      <c r="C75" s="29">
        <f>IFERROR(C74/B74-1,"n.a.")</f>
        <v>-0.18181818181818177</v>
      </c>
      <c r="D75" s="29">
        <f>IFERROR(D74/C74-1,"n.a.")</f>
        <v>0.6666666666666667</v>
      </c>
      <c r="E75" s="29">
        <f>IFERROR(E74/D74-1,"n.a.")</f>
        <v>-0.2666666666666667</v>
      </c>
      <c r="F75" s="29" t="s">
        <v>40</v>
      </c>
      <c r="G75" s="29">
        <f>IFERROR(G74/E74-1,"n.a.")</f>
        <v>0.36363636363636354</v>
      </c>
      <c r="H75" s="29">
        <f>IFERROR(H74/G74-1,"n.a.")</f>
        <v>0.19999999999999996</v>
      </c>
      <c r="I75" s="50">
        <f>IFERROR(I74/H74-1,"n.a.")</f>
        <v>-0.11111111111111116</v>
      </c>
      <c r="J75" s="20"/>
    </row>
    <row r="76">
      <c r="A76" s="23" t="s">
        <v>97</v>
      </c>
      <c r="B76" s="29">
        <f>IFERROR(B74/B20,"n.a.")</f>
        <v>0.00039473212042918145</v>
      </c>
      <c r="C76" s="29">
        <f>IFERROR(C74/C20,"n.a.")</f>
        <v>0.0003186291864334773</v>
      </c>
      <c r="D76" s="29">
        <f>IFERROR(D74/D20,"n.a.")</f>
        <v>0.0005145621076463929</v>
      </c>
      <c r="E76" s="29">
        <f>IFERROR(E74/E20,"n.a.")</f>
        <v>0.0003632041207158423</v>
      </c>
      <c r="F76" s="29">
        <f>IFERROR(F74/F20,"n.a.")</f>
        <v>0.00039809606231068804</v>
      </c>
      <c r="G76" s="29">
        <f>IFERROR(G74/G20,"n.a.")</f>
        <v>0.0004855468876444502</v>
      </c>
      <c r="H76" s="29">
        <f>IFERROR(H74/H20,"n.a.")</f>
        <v>0.0006088280060882801</v>
      </c>
      <c r="I76" s="50">
        <f>IFERROR(I74/I20,"n.a.")</f>
        <v>0.0005450237931599421</v>
      </c>
      <c r="J76" s="20"/>
    </row>
    <row r="77">
      <c r="A77" s="23" t="s">
        <v>98</v>
      </c>
      <c r="B77" s="29" t="s">
        <v>40</v>
      </c>
      <c r="C77" s="29" t="s">
        <v>40</v>
      </c>
      <c r="D77" s="29" t="s">
        <v>40</v>
      </c>
      <c r="E77" s="29" t="s">
        <v>40</v>
      </c>
      <c r="F77" s="29" t="s">
        <v>40</v>
      </c>
      <c r="G77" s="29">
        <f>IFERROR(G74/B74-1,"n.a.")</f>
        <v>0.36363636363636354</v>
      </c>
      <c r="H77" s="29">
        <f>IFERROR(H74/C74-1,"n.a.")</f>
        <v>1</v>
      </c>
      <c r="I77" s="50">
        <f>IFERROR(I74/D74-1,"n.a.")</f>
        <v>0.06666666666666665</v>
      </c>
      <c r="J77" s="20"/>
    </row>
    <row r="78">
      <c r="A78" s="23" t="s">
        <v>99</v>
      </c>
      <c r="B78" s="29" t="s">
        <v>40</v>
      </c>
      <c r="C78" s="29" t="s">
        <v>40</v>
      </c>
      <c r="D78" s="29" t="s">
        <v>40</v>
      </c>
      <c r="E78" s="29" t="s">
        <v>40</v>
      </c>
      <c r="F78" s="29" t="s">
        <v>40</v>
      </c>
      <c r="G78" s="65">
        <v>0</v>
      </c>
      <c r="H78" s="65">
        <v>0</v>
      </c>
      <c r="I78" s="48">
        <v>0</v>
      </c>
      <c r="J78" s="20" t="s">
        <v>89</v>
      </c>
    </row>
    <row r="79">
      <c r="A79" s="23" t="s">
        <v>106</v>
      </c>
      <c r="B79" s="29" t="s">
        <v>40</v>
      </c>
      <c r="C79" s="29" t="s">
        <v>40</v>
      </c>
      <c r="D79" s="29" t="s">
        <v>40</v>
      </c>
      <c r="E79" s="29" t="s">
        <v>40</v>
      </c>
      <c r="F79" s="29" t="s">
        <v>40</v>
      </c>
      <c r="G79" s="29" t="s">
        <v>40</v>
      </c>
      <c r="H79" s="29" t="s">
        <v>40</v>
      </c>
      <c r="I79" s="50" t="s">
        <v>40</v>
      </c>
      <c r="J79" s="20"/>
    </row>
    <row r="80">
      <c r="A80" s="23" t="s">
        <v>103</v>
      </c>
      <c r="B80" s="29" t="s">
        <v>40</v>
      </c>
      <c r="C80" s="29" t="s">
        <v>40</v>
      </c>
      <c r="D80" s="29" t="s">
        <v>40</v>
      </c>
      <c r="E80" s="29" t="s">
        <v>40</v>
      </c>
      <c r="F80" s="29" t="s">
        <v>40</v>
      </c>
      <c r="G80" s="29" t="str">
        <f>IFERROR(IF(OR(ISTEXT(G77),ISTEXT(G78),ISTEXT(G79)),"n.a.",(1+G77)/((1+G78)*(1+G79))-1),"n.a.")</f>
        <v>n.a.</v>
      </c>
      <c r="H80" s="29" t="str">
        <f>IFERROR(IF(OR(ISTEXT(H77),ISTEXT(H78),ISTEXT(H79)),"n.a.",(1+H77)/((1+H78)*(1+H79))-1),"n.a.")</f>
        <v>n.a.</v>
      </c>
      <c r="I80" s="50" t="str">
        <f>IFERROR(IF(OR(ISTEXT(I77),ISTEXT(I78),ISTEXT(I79)),"n.a.",(1+I77)/((1+I78)*(1+I79))-1),"n.a.")</f>
        <v>n.a.</v>
      </c>
      <c r="J80" s="20"/>
    </row>
    <row r="81">
      <c r="A81" s="9" t="s">
        <v>107</v>
      </c>
      <c r="B81" s="40">
        <f>B16</f>
        <v>-694</v>
      </c>
      <c r="C81" s="40">
        <f>C16</f>
        <v>-604</v>
      </c>
      <c r="D81" s="40">
        <f>D16</f>
        <v>-579</v>
      </c>
      <c r="E81" s="40">
        <f>E16</f>
        <v>-815</v>
      </c>
      <c r="F81" s="40">
        <f>SUM(B81:E81)</f>
        <v>-2692</v>
      </c>
      <c r="G81" s="40">
        <f>G16</f>
        <v>-1111</v>
      </c>
      <c r="H81" s="40">
        <f>H16</f>
        <v>-435</v>
      </c>
      <c r="I81" s="41">
        <f>I16</f>
        <v>-560</v>
      </c>
      <c r="J81" s="20"/>
    </row>
    <row r="82">
      <c r="A82" s="23" t="s">
        <v>96</v>
      </c>
      <c r="B82" s="29" t="s">
        <v>40</v>
      </c>
      <c r="C82" s="29">
        <f>IFERROR(C81/B81-1,"n.a.")</f>
        <v>-0.12968299711815567</v>
      </c>
      <c r="D82" s="29">
        <f>IFERROR(D81/C81-1,"n.a.")</f>
        <v>-0.04139072847682124</v>
      </c>
      <c r="E82" s="29">
        <f>IFERROR(E81/D81-1,"n.a.")</f>
        <v>0.40759930915371334</v>
      </c>
      <c r="F82" s="29" t="s">
        <v>40</v>
      </c>
      <c r="G82" s="29">
        <f>IFERROR(G81/E81-1,"n.a.")</f>
        <v>0.36319018404907966</v>
      </c>
      <c r="H82" s="29">
        <f>IFERROR(H81/G81-1,"n.a.")</f>
        <v>-0.6084608460846085</v>
      </c>
      <c r="I82" s="50">
        <f>IFERROR(I81/H81-1,"n.a.")</f>
        <v>0.28735632183908044</v>
      </c>
      <c r="J82" s="20"/>
    </row>
    <row r="83">
      <c r="A83" s="23" t="s">
        <v>97</v>
      </c>
      <c r="B83" s="29">
        <f>IFERROR(B81/B20,"n.a.")</f>
        <v>-0.024904008325259266</v>
      </c>
      <c r="C83" s="29">
        <f>IFERROR(C81/C20,"n.a.")</f>
        <v>-0.021383558733980033</v>
      </c>
      <c r="D83" s="29">
        <f>IFERROR(D81/D20,"n.a.")</f>
        <v>-0.019862097355150765</v>
      </c>
      <c r="E83" s="29">
        <f>IFERROR(E81/E20,"n.a.")</f>
        <v>-0.026910123489401045</v>
      </c>
      <c r="F83" s="29">
        <f>IFERROR(F81/F20,"n.a.")</f>
        <v>-0.023297273907399395</v>
      </c>
      <c r="G83" s="29">
        <f>IFERROR(G81/G20,"n.a.")</f>
        <v>-0.03596283947819894</v>
      </c>
      <c r="H83" s="29">
        <f>IFERROR(H81/H20,"n.a.")</f>
        <v>-0.014713343480466767</v>
      </c>
      <c r="I83" s="50">
        <f>IFERROR(I81/I20,"n.a.")</f>
        <v>-0.01907583276059797</v>
      </c>
      <c r="J83" s="20"/>
    </row>
    <row r="84">
      <c r="A84" s="23" t="s">
        <v>98</v>
      </c>
      <c r="B84" s="29" t="s">
        <v>40</v>
      </c>
      <c r="C84" s="29" t="s">
        <v>40</v>
      </c>
      <c r="D84" s="29" t="s">
        <v>40</v>
      </c>
      <c r="E84" s="29" t="s">
        <v>40</v>
      </c>
      <c r="F84" s="29" t="s">
        <v>40</v>
      </c>
      <c r="G84" s="29">
        <f>IFERROR(G81/B81-1,"n.a.")</f>
        <v>0.600864553314121</v>
      </c>
      <c r="H84" s="29">
        <f>IFERROR(H81/C81-1,"n.a.")</f>
        <v>-0.2798013245033113</v>
      </c>
      <c r="I84" s="50">
        <f>IFERROR(I81/D81-1,"n.a.")</f>
        <v>-0.032815198618307395</v>
      </c>
      <c r="J84" s="20"/>
    </row>
    <row r="85">
      <c r="A85" s="23" t="s">
        <v>99</v>
      </c>
      <c r="B85" s="29" t="s">
        <v>40</v>
      </c>
      <c r="C85" s="29" t="s">
        <v>40</v>
      </c>
      <c r="D85" s="29" t="s">
        <v>40</v>
      </c>
      <c r="E85" s="29" t="s">
        <v>40</v>
      </c>
      <c r="F85" s="29" t="s">
        <v>40</v>
      </c>
      <c r="G85" s="65">
        <v>0</v>
      </c>
      <c r="H85" s="65">
        <v>0</v>
      </c>
      <c r="I85" s="48">
        <v>0</v>
      </c>
      <c r="J85" s="20" t="s">
        <v>89</v>
      </c>
    </row>
    <row r="86">
      <c r="A86" s="23" t="s">
        <v>106</v>
      </c>
      <c r="B86" s="29" t="s">
        <v>40</v>
      </c>
      <c r="C86" s="29" t="s">
        <v>40</v>
      </c>
      <c r="D86" s="29" t="s">
        <v>40</v>
      </c>
      <c r="E86" s="29" t="s">
        <v>40</v>
      </c>
      <c r="F86" s="29" t="s">
        <v>40</v>
      </c>
      <c r="G86" s="29" t="s">
        <v>40</v>
      </c>
      <c r="H86" s="29" t="s">
        <v>40</v>
      </c>
      <c r="I86" s="50" t="s">
        <v>40</v>
      </c>
      <c r="J86" s="20"/>
    </row>
    <row r="87">
      <c r="A87" s="23" t="s">
        <v>103</v>
      </c>
      <c r="B87" s="29" t="s">
        <v>40</v>
      </c>
      <c r="C87" s="29" t="s">
        <v>40</v>
      </c>
      <c r="D87" s="29" t="s">
        <v>40</v>
      </c>
      <c r="E87" s="29" t="s">
        <v>40</v>
      </c>
      <c r="F87" s="29" t="s">
        <v>40</v>
      </c>
      <c r="G87" s="29" t="str">
        <f>IFERROR(IF(OR(ISTEXT(G84),ISTEXT(G85),ISTEXT(G86)),"n.a.",(1+G84)/((1+G85)*(1+G86))-1),"n.a.")</f>
        <v>n.a.</v>
      </c>
      <c r="H87" s="29" t="str">
        <f>IFERROR(IF(OR(ISTEXT(H84),ISTEXT(H85),ISTEXT(H86)),"n.a.",(1+H84)/((1+H85)*(1+H86))-1),"n.a.")</f>
        <v>n.a.</v>
      </c>
      <c r="I87" s="50" t="str">
        <f>IFERROR(IF(OR(ISTEXT(I84),ISTEXT(I85),ISTEXT(I86)),"n.a.",(1+I84)/((1+I85)*(1+I86))-1),"n.a.")</f>
        <v>n.a.</v>
      </c>
      <c r="J87" s="20"/>
    </row>
    <row r="88">
      <c r="A88" s="35" t="s">
        <v>73</v>
      </c>
      <c r="B88" s="45">
        <f>B17</f>
        <v>8546</v>
      </c>
      <c r="C88" s="45">
        <f>C17</f>
        <v>8728</v>
      </c>
      <c r="D88" s="45">
        <f>D17</f>
        <v>9897</v>
      </c>
      <c r="E88" s="45">
        <f>E17</f>
        <v>10940</v>
      </c>
      <c r="F88" s="45">
        <f>SUM(B88:E88)</f>
        <v>38111</v>
      </c>
      <c r="G88" s="45">
        <f>G17</f>
        <v>11941</v>
      </c>
      <c r="H88" s="45">
        <f>H17</f>
        <v>10726</v>
      </c>
      <c r="I88" s="52">
        <f>I17</f>
        <v>10711.37943</v>
      </c>
      <c r="J88" s="20"/>
    </row>
    <row r="89">
      <c r="A89" s="23" t="s">
        <v>96</v>
      </c>
      <c r="B89" s="29" t="s">
        <v>40</v>
      </c>
      <c r="C89" s="29">
        <f>IFERROR(C88/B88-1,"n.a.")</f>
        <v>0.021296512988532745</v>
      </c>
      <c r="D89" s="29">
        <f>IFERROR(D88/C88-1,"n.a.")</f>
        <v>0.13393675527039406</v>
      </c>
      <c r="E89" s="29">
        <f>IFERROR(E88/D88-1,"n.a.")</f>
        <v>0.10538547034454893</v>
      </c>
      <c r="F89" s="29" t="s">
        <v>40</v>
      </c>
      <c r="G89" s="29">
        <f>IFERROR(G88/E88-1,"n.a.")</f>
        <v>0.09149908592321765</v>
      </c>
      <c r="H89" s="29">
        <f>IFERROR(H88/G88-1,"n.a.")</f>
        <v>-0.10175027217150989</v>
      </c>
      <c r="I89" s="50">
        <f>IFERROR(I88/H88-1,"n.a.")</f>
        <v>-0.0013630962148050152</v>
      </c>
      <c r="J89" s="20"/>
    </row>
    <row r="90">
      <c r="A90" s="23" t="s">
        <v>97</v>
      </c>
      <c r="B90" s="29">
        <f>IFERROR(B88/B20,"n.a.")</f>
        <v>0.3066709728352532</v>
      </c>
      <c r="C90" s="29">
        <f>IFERROR(C88/C20,"n.a.")</f>
        <v>0.3089995043545989</v>
      </c>
      <c r="D90" s="29">
        <f>IFERROR(D88/D20,"n.a.")</f>
        <v>0.33950807862509</v>
      </c>
      <c r="E90" s="29">
        <f>IFERROR(E88/E20,"n.a.")</f>
        <v>0.3612230073301195</v>
      </c>
      <c r="F90" s="29">
        <f>IFERROR(F88/F20,"n.a.")</f>
        <v>0.32982258762440503</v>
      </c>
      <c r="G90" s="29">
        <f>IFERROR(G88/G20,"n.a.")</f>
        <v>0.386527692357492</v>
      </c>
      <c r="H90" s="29">
        <f>IFERROR(H88/H20,"n.a.")</f>
        <v>0.3627938440723829</v>
      </c>
      <c r="I90" s="50">
        <f>IFERROR(I88/I20,"n.a.")</f>
        <v>0.36487229043212366</v>
      </c>
      <c r="J90" s="20"/>
    </row>
    <row r="91">
      <c r="A91" s="23" t="s">
        <v>98</v>
      </c>
      <c r="B91" s="29" t="s">
        <v>40</v>
      </c>
      <c r="C91" s="29" t="s">
        <v>40</v>
      </c>
      <c r="D91" s="29" t="s">
        <v>40</v>
      </c>
      <c r="E91" s="29" t="s">
        <v>40</v>
      </c>
      <c r="F91" s="29" t="s">
        <v>40</v>
      </c>
      <c r="G91" s="29">
        <f>IFERROR(G88/B88-1,"n.a.")</f>
        <v>0.3972618769014744</v>
      </c>
      <c r="H91" s="29">
        <f>IFERROR(H88/C88-1,"n.a.")</f>
        <v>0.22891842346471125</v>
      </c>
      <c r="I91" s="50">
        <f>IFERROR(I88/D88-1,"n.a.")</f>
        <v>0.08228548347984255</v>
      </c>
      <c r="J91" s="20"/>
    </row>
    <row r="92">
      <c r="A92" s="23" t="s">
        <v>99</v>
      </c>
      <c r="B92" s="29" t="s">
        <v>40</v>
      </c>
      <c r="C92" s="29" t="s">
        <v>40</v>
      </c>
      <c r="D92" s="29" t="s">
        <v>40</v>
      </c>
      <c r="E92" s="29" t="s">
        <v>40</v>
      </c>
      <c r="F92" s="29" t="s">
        <v>40</v>
      </c>
      <c r="G92" s="65">
        <v>0</v>
      </c>
      <c r="H92" s="65">
        <v>0</v>
      </c>
      <c r="I92" s="48">
        <v>0</v>
      </c>
      <c r="J92" s="20" t="s">
        <v>89</v>
      </c>
    </row>
    <row r="93">
      <c r="A93" s="23" t="s">
        <v>106</v>
      </c>
      <c r="B93" s="29" t="s">
        <v>40</v>
      </c>
      <c r="C93" s="29" t="s">
        <v>40</v>
      </c>
      <c r="D93" s="29" t="s">
        <v>40</v>
      </c>
      <c r="E93" s="29" t="s">
        <v>40</v>
      </c>
      <c r="F93" s="29" t="s">
        <v>40</v>
      </c>
      <c r="G93" s="29" t="s">
        <v>40</v>
      </c>
      <c r="H93" s="29" t="s">
        <v>40</v>
      </c>
      <c r="I93" s="50" t="s">
        <v>40</v>
      </c>
      <c r="J93" s="20"/>
    </row>
    <row r="94">
      <c r="A94" s="23" t="s">
        <v>103</v>
      </c>
      <c r="B94" s="29" t="s">
        <v>40</v>
      </c>
      <c r="C94" s="29" t="s">
        <v>40</v>
      </c>
      <c r="D94" s="29" t="s">
        <v>40</v>
      </c>
      <c r="E94" s="29" t="s">
        <v>40</v>
      </c>
      <c r="F94" s="29" t="s">
        <v>40</v>
      </c>
      <c r="G94" s="29" t="str">
        <f>IFERROR(IF(OR(ISTEXT(G91),ISTEXT(G92),ISTEXT(G93)),"n.a.",(1+G91)/((1+G92)*(1+G93))-1),"n.a.")</f>
        <v>n.a.</v>
      </c>
      <c r="H94" s="29" t="str">
        <f>IFERROR(IF(OR(ISTEXT(H91),ISTEXT(H92),ISTEXT(H93)),"n.a.",(1+H91)/((1+H92)*(1+H93))-1),"n.a.")</f>
        <v>n.a.</v>
      </c>
      <c r="I94" s="50" t="str">
        <f>IFERROR(IF(OR(ISTEXT(I91),ISTEXT(I92),ISTEXT(I93)),"n.a.",(1+I91)/((1+I92)*(1+I93))-1),"n.a.")</f>
        <v>n.a.</v>
      </c>
      <c r="J94" s="20"/>
    </row>
    <row r="95">
      <c r="A95" s="9" t="s">
        <v>108</v>
      </c>
      <c r="B95" s="40">
        <f>B18</f>
        <v>390</v>
      </c>
      <c r="C95" s="40">
        <f>C18</f>
        <v>322</v>
      </c>
      <c r="D95" s="40">
        <f>D18</f>
        <v>315</v>
      </c>
      <c r="E95" s="40">
        <f>E18</f>
        <v>379</v>
      </c>
      <c r="F95" s="40">
        <f>SUM(B95:E95)</f>
        <v>1406</v>
      </c>
      <c r="G95" s="40">
        <f>G18</f>
        <v>424</v>
      </c>
      <c r="H95" s="40">
        <f>H18</f>
        <v>368</v>
      </c>
      <c r="I95" s="41">
        <f>I18</f>
        <v>340</v>
      </c>
      <c r="J95" s="20"/>
    </row>
    <row r="96">
      <c r="A96" s="23" t="s">
        <v>96</v>
      </c>
      <c r="B96" s="29" t="s">
        <v>40</v>
      </c>
      <c r="C96" s="29">
        <f>IFERROR(C95/B95-1,"n.a.")</f>
        <v>-0.1743589743589744</v>
      </c>
      <c r="D96" s="29">
        <f>IFERROR(D95/C95-1,"n.a.")</f>
        <v>-0.021739130434782594</v>
      </c>
      <c r="E96" s="29">
        <f>IFERROR(E95/D95-1,"n.a.")</f>
        <v>0.20317460317460312</v>
      </c>
      <c r="F96" s="29" t="s">
        <v>40</v>
      </c>
      <c r="G96" s="29">
        <f>IFERROR(G95/E95-1,"n.a.")</f>
        <v>0.1187335092348285</v>
      </c>
      <c r="H96" s="29">
        <f>IFERROR(H95/G95-1,"n.a.")</f>
        <v>-0.13207547169811318</v>
      </c>
      <c r="I96" s="50">
        <f>IFERROR(I95/H95-1,"n.a.")</f>
        <v>-0.07608695652173914</v>
      </c>
      <c r="J96" s="20"/>
    </row>
    <row r="97">
      <c r="A97" s="23" t="s">
        <v>97</v>
      </c>
      <c r="B97" s="29">
        <f>IFERROR(B95/B20,"n.a.")</f>
        <v>0.013995047906125525</v>
      </c>
      <c r="C97" s="29">
        <f>IFERROR(C95/C20,"n.a.")</f>
        <v>0.011399844225731077</v>
      </c>
      <c r="D97" s="29">
        <f>IFERROR(D95/D20,"n.a.")</f>
        <v>0.010805804260574252</v>
      </c>
      <c r="E97" s="29">
        <f>IFERROR(E95/E20,"n.a.")</f>
        <v>0.012514032886482203</v>
      </c>
      <c r="F97" s="29">
        <f>IFERROR(F95/F20,"n.a.")</f>
        <v>0.012167892687148421</v>
      </c>
      <c r="G97" s="29">
        <f>IFERROR(G95/G20,"n.a.")</f>
        <v>0.013724792024083126</v>
      </c>
      <c r="H97" s="29">
        <f>IFERROR(H95/H20,"n.a.")</f>
        <v>0.012447150346693726</v>
      </c>
      <c r="I97" s="50">
        <f>IFERROR(I95/I20,"n.a.")</f>
        <v>0.01158175560464877</v>
      </c>
      <c r="J97" s="20"/>
    </row>
    <row r="98">
      <c r="A98" s="23" t="s">
        <v>98</v>
      </c>
      <c r="B98" s="29" t="s">
        <v>40</v>
      </c>
      <c r="C98" s="29" t="s">
        <v>40</v>
      </c>
      <c r="D98" s="29" t="s">
        <v>40</v>
      </c>
      <c r="E98" s="29" t="s">
        <v>40</v>
      </c>
      <c r="F98" s="29" t="s">
        <v>40</v>
      </c>
      <c r="G98" s="29">
        <f>IFERROR(G95/B95-1,"n.a.")</f>
        <v>0.08717948717948709</v>
      </c>
      <c r="H98" s="29">
        <f>IFERROR(H95/C95-1,"n.a.")</f>
        <v>0.1428571428571428</v>
      </c>
      <c r="I98" s="50">
        <f>IFERROR(I95/D95-1,"n.a.")</f>
        <v>0.0793650793650793</v>
      </c>
      <c r="J98" s="20"/>
    </row>
    <row r="99">
      <c r="A99" s="23" t="s">
        <v>99</v>
      </c>
      <c r="B99" s="29" t="s">
        <v>40</v>
      </c>
      <c r="C99" s="29" t="s">
        <v>40</v>
      </c>
      <c r="D99" s="29" t="s">
        <v>40</v>
      </c>
      <c r="E99" s="29" t="s">
        <v>40</v>
      </c>
      <c r="F99" s="29" t="s">
        <v>40</v>
      </c>
      <c r="G99" s="65">
        <v>0</v>
      </c>
      <c r="H99" s="65">
        <v>0</v>
      </c>
      <c r="I99" s="48">
        <v>0</v>
      </c>
      <c r="J99" s="20" t="s">
        <v>89</v>
      </c>
    </row>
    <row r="100">
      <c r="A100" s="23" t="s">
        <v>106</v>
      </c>
      <c r="B100" s="29" t="s">
        <v>40</v>
      </c>
      <c r="C100" s="29" t="s">
        <v>40</v>
      </c>
      <c r="D100" s="29" t="s">
        <v>40</v>
      </c>
      <c r="E100" s="29" t="s">
        <v>40</v>
      </c>
      <c r="F100" s="29" t="s">
        <v>40</v>
      </c>
      <c r="G100" s="29" t="s">
        <v>40</v>
      </c>
      <c r="H100" s="29" t="s">
        <v>40</v>
      </c>
      <c r="I100" s="50" t="s">
        <v>40</v>
      </c>
      <c r="J100" s="20"/>
    </row>
    <row r="101">
      <c r="A101" s="23" t="s">
        <v>103</v>
      </c>
      <c r="B101" s="29" t="s">
        <v>40</v>
      </c>
      <c r="C101" s="29" t="s">
        <v>40</v>
      </c>
      <c r="D101" s="29" t="s">
        <v>40</v>
      </c>
      <c r="E101" s="29" t="s">
        <v>40</v>
      </c>
      <c r="F101" s="29" t="s">
        <v>40</v>
      </c>
      <c r="G101" s="29" t="str">
        <f>IFERROR(IF(OR(ISTEXT(G98),ISTEXT(G99),ISTEXT(G100)),"n.a.",(1+G98)/((1+G99)*(1+G100))-1),"n.a.")</f>
        <v>n.a.</v>
      </c>
      <c r="H101" s="29" t="str">
        <f>IFERROR(IF(OR(ISTEXT(H98),ISTEXT(H99),ISTEXT(H100)),"n.a.",(1+H98)/((1+H99)*(1+H100))-1),"n.a.")</f>
        <v>n.a.</v>
      </c>
      <c r="I101" s="50" t="str">
        <f>IFERROR(IF(OR(ISTEXT(I98),ISTEXT(I99),ISTEXT(I100)),"n.a.",(1+I98)/((1+I99)*(1+I100))-1),"n.a.")</f>
        <v>n.a.</v>
      </c>
      <c r="J101" s="20"/>
    </row>
    <row r="102">
      <c r="A102" s="9" t="s">
        <v>109</v>
      </c>
      <c r="B102" s="40">
        <f>B19</f>
        <v>-1231</v>
      </c>
      <c r="C102" s="40">
        <f>C19</f>
        <v>-1217</v>
      </c>
      <c r="D102" s="40">
        <f>D19</f>
        <v>-1273</v>
      </c>
      <c r="E102" s="40">
        <f>E19</f>
        <v>-1315</v>
      </c>
      <c r="F102" s="40">
        <f>SUM(B102:E102)</f>
        <v>-5036</v>
      </c>
      <c r="G102" s="40">
        <f>G19</f>
        <v>-1435</v>
      </c>
      <c r="H102" s="40">
        <f>H19</f>
        <v>-1324</v>
      </c>
      <c r="I102" s="41">
        <f>I19</f>
        <v>-1300</v>
      </c>
      <c r="J102" s="20"/>
    </row>
    <row r="103">
      <c r="A103" s="23" t="s">
        <v>96</v>
      </c>
      <c r="B103" s="29" t="s">
        <v>40</v>
      </c>
      <c r="C103" s="29">
        <f>IFERROR(C102/B102-1,"n.a.")</f>
        <v>-0.011372867587327362</v>
      </c>
      <c r="D103" s="29">
        <f>IFERROR(D102/C102-1,"n.a.")</f>
        <v>0.046014790468364763</v>
      </c>
      <c r="E103" s="29">
        <f>IFERROR(E102/D102-1,"n.a.")</f>
        <v>0.03299293008641002</v>
      </c>
      <c r="F103" s="29" t="s">
        <v>40</v>
      </c>
      <c r="G103" s="29">
        <f>IFERROR(G102/E102-1,"n.a.")</f>
        <v>0.09125475285171092</v>
      </c>
      <c r="H103" s="29">
        <f>IFERROR(H102/G102-1,"n.a.")</f>
        <v>-0.07735191637630667</v>
      </c>
      <c r="I103" s="50">
        <f>IFERROR(I102/H102-1,"n.a.")</f>
        <v>-0.01812688821752262</v>
      </c>
      <c r="J103" s="20"/>
    </row>
    <row r="104">
      <c r="A104" s="23" t="s">
        <v>97</v>
      </c>
      <c r="B104" s="29">
        <f>IFERROR(B102/B20,"n.a.")</f>
        <v>-0.04417411274984749</v>
      </c>
      <c r="C104" s="29">
        <f>IFERROR(C102/C20,"n.a.")</f>
        <v>-0.04308574665439354</v>
      </c>
      <c r="D104" s="29">
        <f>IFERROR(D102/D20,"n.a.")</f>
        <v>-0.04366917086892388</v>
      </c>
      <c r="E104" s="29">
        <f>IFERROR(E102/E20,"n.a.")</f>
        <v>-0.043419401703757514</v>
      </c>
      <c r="F104" s="29">
        <f>IFERROR(F102/F20,"n.a.")</f>
        <v>-0.04358286456079619</v>
      </c>
      <c r="G104" s="29">
        <f>IFERROR(G102/G20,"n.a.")</f>
        <v>-0.04645065225131907</v>
      </c>
      <c r="H104" s="29">
        <f>IFERROR(H102/H20,"n.a.")</f>
        <v>-0.0447826822256046</v>
      </c>
      <c r="I104" s="50">
        <f>IFERROR(I102/I20,"n.a.")</f>
        <v>-0.04428318319424529</v>
      </c>
      <c r="J104" s="20"/>
    </row>
    <row r="105">
      <c r="A105" s="23" t="s">
        <v>98</v>
      </c>
      <c r="B105" s="29" t="s">
        <v>40</v>
      </c>
      <c r="C105" s="29" t="s">
        <v>40</v>
      </c>
      <c r="D105" s="29" t="s">
        <v>40</v>
      </c>
      <c r="E105" s="29" t="s">
        <v>40</v>
      </c>
      <c r="F105" s="29" t="s">
        <v>40</v>
      </c>
      <c r="G105" s="29">
        <f>IFERROR(G102/B102-1,"n.a.")</f>
        <v>0.165718927701056</v>
      </c>
      <c r="H105" s="29">
        <f>IFERROR(H102/C102-1,"n.a.")</f>
        <v>0.08792111750205422</v>
      </c>
      <c r="I105" s="50">
        <f>IFERROR(I102/D102-1,"n.a.")</f>
        <v>0.02120974076983506</v>
      </c>
      <c r="J105" s="20"/>
    </row>
    <row r="106">
      <c r="A106" s="23" t="s">
        <v>99</v>
      </c>
      <c r="B106" s="29" t="s">
        <v>40</v>
      </c>
      <c r="C106" s="29" t="s">
        <v>40</v>
      </c>
      <c r="D106" s="29" t="s">
        <v>40</v>
      </c>
      <c r="E106" s="29" t="s">
        <v>40</v>
      </c>
      <c r="F106" s="29" t="s">
        <v>40</v>
      </c>
      <c r="G106" s="65">
        <v>0</v>
      </c>
      <c r="H106" s="65">
        <v>0</v>
      </c>
      <c r="I106" s="48">
        <v>0</v>
      </c>
      <c r="J106" s="20" t="s">
        <v>89</v>
      </c>
    </row>
    <row r="107">
      <c r="A107" s="23" t="s">
        <v>106</v>
      </c>
      <c r="B107" s="29" t="s">
        <v>40</v>
      </c>
      <c r="C107" s="29" t="s">
        <v>40</v>
      </c>
      <c r="D107" s="29" t="s">
        <v>40</v>
      </c>
      <c r="E107" s="29" t="s">
        <v>40</v>
      </c>
      <c r="F107" s="29" t="s">
        <v>40</v>
      </c>
      <c r="G107" s="29" t="s">
        <v>40</v>
      </c>
      <c r="H107" s="29" t="s">
        <v>40</v>
      </c>
      <c r="I107" s="50" t="s">
        <v>40</v>
      </c>
      <c r="J107" s="20"/>
    </row>
    <row r="108">
      <c r="A108" s="23" t="s">
        <v>103</v>
      </c>
      <c r="B108" s="29" t="s">
        <v>40</v>
      </c>
      <c r="C108" s="29" t="s">
        <v>40</v>
      </c>
      <c r="D108" s="29" t="s">
        <v>40</v>
      </c>
      <c r="E108" s="29" t="s">
        <v>40</v>
      </c>
      <c r="F108" s="29" t="s">
        <v>40</v>
      </c>
      <c r="G108" s="29" t="str">
        <f>IFERROR(IF(OR(ISTEXT(G105),ISTEXT(G106),ISTEXT(G107)),"n.a.",(1+G105)/((1+G106)*(1+G107))-1),"n.a.")</f>
        <v>n.a.</v>
      </c>
      <c r="H108" s="29" t="str">
        <f>IFERROR(IF(OR(ISTEXT(H105),ISTEXT(H106),ISTEXT(H107)),"n.a.",(1+H105)/((1+H106)*(1+H107))-1),"n.a.")</f>
        <v>n.a.</v>
      </c>
      <c r="I108" s="50" t="str">
        <f>IFERROR(IF(OR(ISTEXT(I105),ISTEXT(I106),ISTEXT(I107)),"n.a.",(1+I105)/((1+I106)*(1+I107))-1),"n.a.")</f>
        <v>n.a.</v>
      </c>
      <c r="J108" s="20"/>
    </row>
    <row r="109">
      <c r="A109" s="35" t="s">
        <v>110</v>
      </c>
      <c r="B109" s="45">
        <f>B20</f>
        <v>27867</v>
      </c>
      <c r="C109" s="45">
        <f>C20</f>
        <v>28246</v>
      </c>
      <c r="D109" s="45">
        <f>D20</f>
        <v>29151</v>
      </c>
      <c r="E109" s="45">
        <f>E20</f>
        <v>30286</v>
      </c>
      <c r="F109" s="45">
        <f>SUM(B109:E109)</f>
        <v>115550</v>
      </c>
      <c r="G109" s="45">
        <f>G20</f>
        <v>30893</v>
      </c>
      <c r="H109" s="45">
        <f>H20</f>
        <v>29565</v>
      </c>
      <c r="I109" s="52">
        <f>I20</f>
        <v>29356.516542580845</v>
      </c>
      <c r="J109" s="20"/>
    </row>
    <row r="110">
      <c r="A110" s="23" t="s">
        <v>96</v>
      </c>
      <c r="B110" s="29" t="s">
        <v>40</v>
      </c>
      <c r="C110" s="29">
        <f>IFERROR(C109/B109-1,"n.a.")</f>
        <v>0.013600315785696315</v>
      </c>
      <c r="D110" s="29">
        <f>IFERROR(D109/C109-1,"n.a.")</f>
        <v>0.032039934858032915</v>
      </c>
      <c r="E110" s="29">
        <f>IFERROR(E109/D109-1,"n.a.")</f>
        <v>0.038935199478577154</v>
      </c>
      <c r="F110" s="29" t="s">
        <v>40</v>
      </c>
      <c r="G110" s="29">
        <f>IFERROR(G109/E109-1,"n.a.")</f>
        <v>0.02004226375222884</v>
      </c>
      <c r="H110" s="29">
        <f>IFERROR(H109/G109-1,"n.a.")</f>
        <v>-0.04298708445278865</v>
      </c>
      <c r="I110" s="50">
        <f>IFERROR(I109/H109-1,"n.a.")</f>
        <v>-0.007051698204605272</v>
      </c>
      <c r="J110" s="20"/>
    </row>
    <row r="111">
      <c r="A111" s="23" t="s">
        <v>97</v>
      </c>
      <c r="B111" s="29">
        <f>IFERROR(B109/B20,"n.a.")</f>
        <v>1</v>
      </c>
      <c r="C111" s="29">
        <f>IFERROR(C109/C20,"n.a.")</f>
        <v>1</v>
      </c>
      <c r="D111" s="29">
        <f>IFERROR(D109/D20,"n.a.")</f>
        <v>1</v>
      </c>
      <c r="E111" s="29">
        <f>IFERROR(E109/E20,"n.a.")</f>
        <v>1</v>
      </c>
      <c r="F111" s="29">
        <f>IFERROR(F109/F20,"n.a.")</f>
        <v>1</v>
      </c>
      <c r="G111" s="29">
        <f>IFERROR(G109/G20,"n.a.")</f>
        <v>1</v>
      </c>
      <c r="H111" s="29">
        <f>IFERROR(H109/H20,"n.a.")</f>
        <v>1</v>
      </c>
      <c r="I111" s="50">
        <f>IFERROR(I109/I20,"n.a.")</f>
        <v>1</v>
      </c>
      <c r="J111" s="20"/>
    </row>
    <row r="112">
      <c r="A112" s="23" t="s">
        <v>98</v>
      </c>
      <c r="B112" s="29" t="s">
        <v>40</v>
      </c>
      <c r="C112" s="29" t="s">
        <v>40</v>
      </c>
      <c r="D112" s="29" t="s">
        <v>40</v>
      </c>
      <c r="E112" s="29" t="s">
        <v>40</v>
      </c>
      <c r="F112" s="29" t="s">
        <v>40</v>
      </c>
      <c r="G112" s="29">
        <f>IFERROR(G109/B109-1,"n.a.")</f>
        <v>0.1085872178562457</v>
      </c>
      <c r="H112" s="29">
        <f>IFERROR(H109/C109-1,"n.a.")</f>
        <v>0.04669687743397288</v>
      </c>
      <c r="I112" s="50">
        <f>IFERROR(I109/D109-1,"n.a.")</f>
        <v>0.007050068353773309</v>
      </c>
      <c r="J112" s="20"/>
    </row>
    <row r="113">
      <c r="A113" s="23" t="s">
        <v>99</v>
      </c>
      <c r="B113" s="29" t="s">
        <v>40</v>
      </c>
      <c r="C113" s="29" t="s">
        <v>40</v>
      </c>
      <c r="D113" s="29" t="s">
        <v>40</v>
      </c>
      <c r="E113" s="29" t="s">
        <v>40</v>
      </c>
      <c r="F113" s="29" t="s">
        <v>40</v>
      </c>
      <c r="G113" s="65">
        <v>0</v>
      </c>
      <c r="H113" s="65">
        <v>0</v>
      </c>
      <c r="I113" s="48">
        <v>0</v>
      </c>
      <c r="J113" s="20" t="s">
        <v>89</v>
      </c>
    </row>
    <row r="114">
      <c r="A114" s="23" t="s">
        <v>106</v>
      </c>
      <c r="B114" s="29" t="s">
        <v>40</v>
      </c>
      <c r="C114" s="29" t="s">
        <v>40</v>
      </c>
      <c r="D114" s="29" t="s">
        <v>40</v>
      </c>
      <c r="E114" s="29" t="s">
        <v>40</v>
      </c>
      <c r="F114" s="29" t="s">
        <v>40</v>
      </c>
      <c r="G114" s="29" t="s">
        <v>40</v>
      </c>
      <c r="H114" s="29" t="s">
        <v>40</v>
      </c>
      <c r="I114" s="50" t="s">
        <v>40</v>
      </c>
      <c r="J114" s="20"/>
    </row>
    <row r="115">
      <c r="A115" s="23" t="s">
        <v>103</v>
      </c>
      <c r="B115" s="29" t="s">
        <v>40</v>
      </c>
      <c r="C115" s="29" t="s">
        <v>40</v>
      </c>
      <c r="D115" s="29" t="s">
        <v>40</v>
      </c>
      <c r="E115" s="29" t="s">
        <v>40</v>
      </c>
      <c r="F115" s="29" t="s">
        <v>40</v>
      </c>
      <c r="G115" s="29" t="str">
        <f>IFERROR(IF(OR(ISTEXT(G112),ISTEXT(G113),ISTEXT(G114)),"n.a.",(1+G112)/((1+G113)*(1+G114))-1),"n.a.")</f>
        <v>n.a.</v>
      </c>
      <c r="H115" s="29" t="str">
        <f>IFERROR(IF(OR(ISTEXT(H112),ISTEXT(H113),ISTEXT(H114)),"n.a.",(1+H112)/((1+H113)*(1+H114))-1),"n.a.")</f>
        <v>n.a.</v>
      </c>
      <c r="I115" s="50" t="str">
        <f>IFERROR(IF(OR(ISTEXT(I112),ISTEXT(I113),ISTEXT(I114)),"n.a.",(1+I112)/((1+I113)*(1+I114))-1),"n.a.")</f>
        <v>n.a.</v>
      </c>
      <c r="J115" s="20"/>
    </row>
    <row r="116">
      <c r="A116" s="35" t="s">
        <v>92</v>
      </c>
      <c r="B116" s="45">
        <f>B28</f>
        <v>29887</v>
      </c>
      <c r="C116" s="45">
        <f>C28</f>
        <v>30313</v>
      </c>
      <c r="D116" s="45">
        <f>D28</f>
        <v>31198</v>
      </c>
      <c r="E116" s="45">
        <f>E28</f>
        <v>32310</v>
      </c>
      <c r="F116" s="45">
        <f>SUM(B116:E116)</f>
        <v>123708</v>
      </c>
      <c r="G116" s="45">
        <f>G28</f>
        <v>31457</v>
      </c>
      <c r="H116" s="45">
        <f>H28</f>
        <v>29940</v>
      </c>
      <c r="I116" s="52">
        <f>I28</f>
        <v>29356.516542580845</v>
      </c>
      <c r="J116" s="20"/>
    </row>
    <row r="117">
      <c r="A117" s="23" t="s">
        <v>96</v>
      </c>
      <c r="B117" s="29" t="s">
        <v>40</v>
      </c>
      <c r="C117" s="29">
        <f>IFERROR(C116/B116-1,"n.a.")</f>
        <v>0.014253688894837246</v>
      </c>
      <c r="D117" s="29">
        <f>IFERROR(D116/C116-1,"n.a.")</f>
        <v>0.029195394715138656</v>
      </c>
      <c r="E117" s="29">
        <f>IFERROR(E116/D116-1,"n.a.")</f>
        <v>0.03564331046861979</v>
      </c>
      <c r="F117" s="29" t="s">
        <v>40</v>
      </c>
      <c r="G117" s="29">
        <f>IFERROR(G116/E116-1,"n.a.")</f>
        <v>-0.026400495202723584</v>
      </c>
      <c r="H117" s="29">
        <f>IFERROR(H116/G116-1,"n.a.")</f>
        <v>-0.048224560511173964</v>
      </c>
      <c r="I117" s="50">
        <f>IFERROR(I116/H116-1,"n.a.")</f>
        <v>-0.019488425431501533</v>
      </c>
      <c r="J117" s="20"/>
    </row>
    <row r="118">
      <c r="A118" s="23" t="s">
        <v>98</v>
      </c>
      <c r="B118" s="29" t="s">
        <v>40</v>
      </c>
      <c r="C118" s="29" t="s">
        <v>40</v>
      </c>
      <c r="D118" s="29" t="s">
        <v>40</v>
      </c>
      <c r="E118" s="29" t="s">
        <v>40</v>
      </c>
      <c r="F118" s="29" t="s">
        <v>40</v>
      </c>
      <c r="G118" s="29">
        <f>IFERROR(G116/B116-1,"n.a.")</f>
        <v>0.05253120085655971</v>
      </c>
      <c r="H118" s="29">
        <f>IFERROR(H116/C116-1,"n.a.")</f>
        <v>-0.012304951670900288</v>
      </c>
      <c r="I118" s="50">
        <f>IFERROR(I116/D116-1,"n.a.")</f>
        <v>-0.059025689384548885</v>
      </c>
      <c r="J118" s="20"/>
    </row>
    <row r="119">
      <c r="A119" s="23" t="s">
        <v>99</v>
      </c>
      <c r="B119" s="29" t="s">
        <v>40</v>
      </c>
      <c r="C119" s="29" t="s">
        <v>40</v>
      </c>
      <c r="D119" s="29" t="s">
        <v>40</v>
      </c>
      <c r="E119" s="29" t="s">
        <v>40</v>
      </c>
      <c r="F119" s="29" t="s">
        <v>40</v>
      </c>
      <c r="G119" s="29">
        <f>IFERROR(B20/B28*G28/G20-1,"n.a.")</f>
        <v>-0.050565274519478565</v>
      </c>
      <c r="H119" s="29">
        <f>IFERROR(C20/C28*H28/H20-1,"n.a.")</f>
        <v>-0.0563695472652207</v>
      </c>
      <c r="I119" s="50">
        <f>IFERROR(D20/D28*I28/I20-1,"n.a.")</f>
        <v>-0.06561318033207253</v>
      </c>
      <c r="J119" s="20" t="s">
        <v>111</v>
      </c>
    </row>
    <row r="120">
      <c r="A120" s="23" t="s">
        <v>106</v>
      </c>
      <c r="B120" s="29" t="s">
        <v>40</v>
      </c>
      <c r="C120" s="29" t="s">
        <v>40</v>
      </c>
      <c r="D120" s="29" t="s">
        <v>40</v>
      </c>
      <c r="E120" s="29" t="s">
        <v>40</v>
      </c>
      <c r="F120" s="29" t="s">
        <v>40</v>
      </c>
      <c r="G120" s="29" t="s">
        <v>40</v>
      </c>
      <c r="H120" s="29" t="s">
        <v>40</v>
      </c>
      <c r="I120" s="50" t="s">
        <v>40</v>
      </c>
      <c r="J120" s="20" t="s">
        <v>112</v>
      </c>
    </row>
    <row r="121">
      <c r="A121" s="23" t="s">
        <v>103</v>
      </c>
      <c r="B121" s="29" t="s">
        <v>40</v>
      </c>
      <c r="C121" s="29" t="s">
        <v>40</v>
      </c>
      <c r="D121" s="29" t="s">
        <v>40</v>
      </c>
      <c r="E121" s="29" t="s">
        <v>40</v>
      </c>
      <c r="F121" s="29" t="s">
        <v>40</v>
      </c>
      <c r="G121" s="29" t="str">
        <f>IFERROR(IF(OR(ISTEXT(G118),ISTEXT(G119),ISTEXT(G120)),"n.a.",(1+G118)/((1+G119)*(1+G120))-1),"n.a.")</f>
        <v>n.a.</v>
      </c>
      <c r="H121" s="29" t="str">
        <f>IFERROR(IF(OR(ISTEXT(H118),ISTEXT(H119),ISTEXT(H120)),"n.a.",(1+H118)/((1+H119)*(1+H120))-1),"n.a.")</f>
        <v>n.a.</v>
      </c>
      <c r="I121" s="50" t="str">
        <f>IFERROR(IF(OR(ISTEXT(I118),ISTEXT(I119),ISTEXT(I120)),"n.a.",(1+I118)/((1+I119)*(1+I120))-1),"n.a.")</f>
        <v>n.a.</v>
      </c>
      <c r="J121" s="20"/>
    </row>
    <row r="122">
      <c r="A122" s="23" t="s">
        <v>113</v>
      </c>
      <c r="B122" s="29" t="s">
        <v>40</v>
      </c>
      <c r="C122" s="29" t="s">
        <v>40</v>
      </c>
      <c r="D122" s="29" t="s">
        <v>40</v>
      </c>
      <c r="E122" s="29" t="s">
        <v>40</v>
      </c>
      <c r="F122" s="29" t="s">
        <v>40</v>
      </c>
      <c r="G122" s="29">
        <f>IFERROR(G20/B20-1,"n.a.")</f>
        <v>0.1085872178562457</v>
      </c>
      <c r="H122" s="29">
        <f>IFERROR(H20/C20-1,"n.a.")</f>
        <v>0.04669687743397288</v>
      </c>
      <c r="I122" s="50">
        <f>IFERROR(I20/D20-1,"n.a.")</f>
        <v>0.007050068353773309</v>
      </c>
      <c r="J122" s="20" t="s">
        <v>114</v>
      </c>
    </row>
    <row r="123">
      <c r="A123" s="9"/>
      <c r="B123" s="9"/>
      <c r="C123" s="9"/>
      <c r="D123" s="9"/>
      <c r="E123" s="9"/>
      <c r="F123" s="9"/>
      <c r="G123" s="9"/>
      <c r="H123" s="9"/>
      <c r="I123" s="9"/>
      <c r="J123" s="20"/>
    </row>
    <row r="124">
      <c r="A124" s="9"/>
      <c r="B124" s="9"/>
      <c r="C124" s="9"/>
      <c r="D124" s="9"/>
      <c r="E124" s="9"/>
      <c r="F124" s="9"/>
      <c r="G124" s="9"/>
      <c r="H124" s="9"/>
      <c r="I124" s="9"/>
      <c r="J124" s="20"/>
    </row>
    <row r="125">
      <c r="A125" s="9"/>
      <c r="B125" s="9"/>
      <c r="C125" s="9"/>
      <c r="D125" s="9"/>
      <c r="E125" s="9"/>
      <c r="F125" s="9"/>
      <c r="G125" s="9"/>
      <c r="H125" s="9"/>
      <c r="I125" s="9"/>
      <c r="J125" s="20"/>
    </row>
    <row r="126">
      <c r="A126" s="9"/>
      <c r="B126" s="9"/>
      <c r="C126" s="9"/>
      <c r="D126" s="9"/>
      <c r="E126" s="9"/>
      <c r="F126" s="9"/>
      <c r="G126" s="9"/>
      <c r="H126" s="9"/>
      <c r="I126" s="9"/>
      <c r="J126" s="9"/>
    </row>
    <row r="127">
      <c r="A127" s="9"/>
      <c r="B127" s="9"/>
      <c r="C127" s="9"/>
      <c r="D127" s="9"/>
      <c r="E127" s="9"/>
      <c r="F127" s="9"/>
      <c r="G127" s="9"/>
      <c r="H127" s="9"/>
      <c r="I127" s="9"/>
      <c r="J127" s="9"/>
    </row>
    <row r="128">
      <c r="A128" s="9"/>
      <c r="B128" s="9"/>
      <c r="C128" s="9"/>
      <c r="D128" s="9"/>
      <c r="E128" s="9"/>
      <c r="F128" s="9"/>
      <c r="G128" s="9"/>
      <c r="H128" s="9"/>
      <c r="I128" s="9"/>
      <c r="J128" s="9"/>
    </row>
    <row r="129">
      <c r="A129" s="9"/>
      <c r="B129" s="9"/>
      <c r="C129" s="9"/>
      <c r="D129" s="9"/>
      <c r="E129" s="9"/>
      <c r="F129" s="9"/>
      <c r="G129" s="9"/>
      <c r="H129" s="9"/>
      <c r="I129" s="9"/>
      <c r="J129" s="9"/>
    </row>
    <row r="130">
      <c r="A130" s="9"/>
      <c r="B130" s="9"/>
      <c r="C130" s="9"/>
      <c r="D130" s="9"/>
      <c r="E130" s="9"/>
      <c r="F130" s="9"/>
      <c r="G130" s="9"/>
      <c r="H130" s="9"/>
      <c r="I130" s="9"/>
      <c r="J130" s="9"/>
    </row>
    <row r="131">
      <c r="A131" s="9"/>
      <c r="B131" s="9"/>
      <c r="C131" s="9"/>
      <c r="D131" s="9"/>
      <c r="E131" s="9"/>
      <c r="F131" s="9"/>
      <c r="G131" s="9"/>
      <c r="H131" s="9"/>
      <c r="I131" s="9"/>
      <c r="J131" s="9"/>
    </row>
    <row r="132">
      <c r="A132" s="9"/>
      <c r="B132" s="9"/>
      <c r="C132" s="9"/>
      <c r="D132" s="9"/>
      <c r="E132" s="9"/>
      <c r="F132" s="9"/>
      <c r="G132" s="9"/>
      <c r="H132" s="9"/>
      <c r="I132" s="9"/>
      <c r="J132" s="9"/>
    </row>
    <row r="133">
      <c r="A133" s="9"/>
      <c r="B133" s="9"/>
      <c r="C133" s="9"/>
      <c r="D133" s="9"/>
      <c r="E133" s="9"/>
      <c r="F133" s="9"/>
      <c r="G133" s="9"/>
      <c r="H133" s="9"/>
      <c r="I133" s="9"/>
      <c r="J133" s="9"/>
    </row>
    <row r="134">
      <c r="A134" s="9"/>
      <c r="B134" s="9"/>
      <c r="C134" s="9"/>
      <c r="D134" s="9"/>
      <c r="E134" s="9"/>
      <c r="F134" s="9"/>
      <c r="G134" s="9"/>
      <c r="H134" s="9"/>
      <c r="I134" s="9"/>
      <c r="J134" s="9"/>
    </row>
    <row r="135">
      <c r="A135" s="9"/>
      <c r="B135" s="9"/>
      <c r="C135" s="9"/>
      <c r="D135" s="9"/>
      <c r="E135" s="9"/>
      <c r="F135" s="9"/>
      <c r="G135" s="9"/>
      <c r="H135" s="9"/>
      <c r="I135" s="9"/>
      <c r="J135" s="9"/>
    </row>
  </sheetData>
</worksheet>
</file>

<file path=xl/worksheets/sheet3.xml><?xml version="1.0" encoding="utf-8"?>
<worksheet xmlns="http://schemas.openxmlformats.org/spreadsheetml/2006/main" xmlns:r="http://schemas.openxmlformats.org/officeDocument/2006/relationships">
  <dimension ref="A1:J247"/>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115</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116</v>
      </c>
      <c r="B8" s="33"/>
      <c r="C8" s="33"/>
      <c r="D8" s="33"/>
      <c r="E8" s="33"/>
      <c r="F8" s="33"/>
      <c r="G8" s="33"/>
      <c r="H8" s="33"/>
      <c r="I8" s="53"/>
      <c r="J8" s="20"/>
    </row>
    <row r="9">
      <c r="A9" s="9" t="s">
        <v>117</v>
      </c>
      <c r="B9" s="39">
        <v>57827</v>
      </c>
      <c r="C9" s="40">
        <f>B13</f>
        <v>58063</v>
      </c>
      <c r="D9" s="40">
        <f>C13</f>
        <v>58356</v>
      </c>
      <c r="E9" s="40">
        <f>D13</f>
        <v>58641</v>
      </c>
      <c r="F9" s="40">
        <f>B9</f>
        <v>57827</v>
      </c>
      <c r="G9" s="40">
        <f>E13</f>
        <v>58935</v>
      </c>
      <c r="H9" s="40">
        <f>G13</f>
        <v>59164</v>
      </c>
      <c r="I9" s="41">
        <f>H13</f>
        <v>59443</v>
      </c>
      <c r="J9" s="20" t="s">
        <v>118</v>
      </c>
    </row>
    <row r="10">
      <c r="A10" s="9" t="s">
        <v>119</v>
      </c>
      <c r="B10" s="40">
        <f>B13-B9</f>
        <v>236</v>
      </c>
      <c r="C10" s="40">
        <f>C13-C9</f>
        <v>293</v>
      </c>
      <c r="D10" s="40">
        <f>D13-D9</f>
        <v>285</v>
      </c>
      <c r="E10" s="40">
        <f>E13-E9</f>
        <v>294</v>
      </c>
      <c r="F10" s="40">
        <f>SUM(B10:E10)</f>
        <v>1108</v>
      </c>
      <c r="G10" s="40">
        <f>G13-G9</f>
        <v>229</v>
      </c>
      <c r="H10" s="40">
        <f>H13-H9</f>
        <v>279</v>
      </c>
      <c r="I10" s="73">
        <v>280</v>
      </c>
      <c r="J10" s="20" t="s">
        <v>120</v>
      </c>
    </row>
    <row r="11">
      <c r="A11" s="9" t="s">
        <v>121</v>
      </c>
      <c r="B11" s="40" t="s">
        <v>40</v>
      </c>
      <c r="C11" s="40" t="s">
        <v>40</v>
      </c>
      <c r="D11" s="40" t="s">
        <v>40</v>
      </c>
      <c r="E11" s="40" t="s">
        <v>40</v>
      </c>
      <c r="F11" s="40" t="s">
        <v>40</v>
      </c>
      <c r="G11" s="40">
        <f>IFERROR(G10-B10,"n.a.")</f>
        <v>-7</v>
      </c>
      <c r="H11" s="40">
        <f>IFERROR(H10-C10,"n.a.")</f>
        <v>-14</v>
      </c>
      <c r="I11" s="41">
        <f>IFERROR(I10-D10,"n.a.")</f>
        <v>-5</v>
      </c>
      <c r="J11" s="20"/>
    </row>
    <row r="12">
      <c r="A12" s="9" t="s">
        <v>122</v>
      </c>
      <c r="B12" s="40">
        <f>B13-B9-B10</f>
        <v>0</v>
      </c>
      <c r="C12" s="40">
        <f>C13-C9-C10</f>
        <v>0</v>
      </c>
      <c r="D12" s="40">
        <f>D13-D9-D10</f>
        <v>0</v>
      </c>
      <c r="E12" s="40">
        <f>E13-E9-E10</f>
        <v>0</v>
      </c>
      <c r="F12" s="40">
        <f>SUM(B12:E12)</f>
        <v>0</v>
      </c>
      <c r="G12" s="40">
        <f>G13-G9-G10</f>
        <v>0</v>
      </c>
      <c r="H12" s="40">
        <f>H13-H9-H10</f>
        <v>0</v>
      </c>
      <c r="I12" s="73">
        <v>0</v>
      </c>
      <c r="J12" s="20"/>
    </row>
    <row r="13">
      <c r="A13" s="35" t="s">
        <v>123</v>
      </c>
      <c r="B13" s="44">
        <v>58063</v>
      </c>
      <c r="C13" s="44">
        <v>58356</v>
      </c>
      <c r="D13" s="44">
        <v>58641</v>
      </c>
      <c r="E13" s="44">
        <v>58935</v>
      </c>
      <c r="F13" s="45">
        <f>E13</f>
        <v>58935</v>
      </c>
      <c r="G13" s="44">
        <v>59164</v>
      </c>
      <c r="H13" s="44">
        <v>59443</v>
      </c>
      <c r="I13" s="52">
        <f>I9+I10+I12</f>
        <v>59723</v>
      </c>
      <c r="J13" s="20" t="s">
        <v>118</v>
      </c>
    </row>
    <row r="14">
      <c r="A14" s="9" t="s">
        <v>124</v>
      </c>
      <c r="B14" s="40">
        <f>AVERAGE(B9,B13)</f>
        <v>57945</v>
      </c>
      <c r="C14" s="40">
        <f>AVERAGE(C9,C13)</f>
        <v>58209.5</v>
      </c>
      <c r="D14" s="40">
        <f>AVERAGE(D9,D13)</f>
        <v>58498.5</v>
      </c>
      <c r="E14" s="40">
        <f>AVERAGE(E9,E13)</f>
        <v>58788</v>
      </c>
      <c r="F14" s="40">
        <f>AVERAGE(B14:E14)</f>
        <v>58360.25</v>
      </c>
      <c r="G14" s="40">
        <f>AVERAGE(G9,G13)</f>
        <v>59049.5</v>
      </c>
      <c r="H14" s="40">
        <f>AVERAGE(H9,H13)</f>
        <v>59303.5</v>
      </c>
      <c r="I14" s="41">
        <f>AVERAGE(I9,I13)</f>
        <v>59583</v>
      </c>
      <c r="J14" s="20"/>
    </row>
    <row r="15">
      <c r="A15" s="23" t="s">
        <v>125</v>
      </c>
      <c r="B15" s="29" t="s">
        <v>40</v>
      </c>
      <c r="C15" s="29" t="s">
        <v>40</v>
      </c>
      <c r="D15" s="29" t="s">
        <v>40</v>
      </c>
      <c r="E15" s="29" t="s">
        <v>40</v>
      </c>
      <c r="F15" s="29" t="s">
        <v>40</v>
      </c>
      <c r="G15" s="29">
        <f>IFERROR(G13/B13-1,"n.a.")</f>
        <v>0.018962161789780163</v>
      </c>
      <c r="H15" s="29">
        <f>IFERROR(H13/C13-1,"n.a.")</f>
        <v>0.018627047775721328</v>
      </c>
      <c r="I15" s="50">
        <f>IFERROR(I13/D13-1,"n.a.")</f>
        <v>0.01845125424191263</v>
      </c>
      <c r="J15" s="20"/>
    </row>
    <row r="16">
      <c r="A16" s="9" t="s">
        <v>126</v>
      </c>
      <c r="B16" s="40" t="s">
        <v>40</v>
      </c>
      <c r="C16" s="40" t="s">
        <v>40</v>
      </c>
      <c r="D16" s="40" t="s">
        <v>40</v>
      </c>
      <c r="E16" s="40" t="s">
        <v>40</v>
      </c>
      <c r="F16" s="40" t="s">
        <v>40</v>
      </c>
      <c r="G16" s="40">
        <f>IFERROR(G13-B13,"n.a.")</f>
        <v>1101</v>
      </c>
      <c r="H16" s="40">
        <f>IFERROR(H13-C13,"n.a.")</f>
        <v>1087</v>
      </c>
      <c r="I16" s="41">
        <f>IFERROR(I13-D13,"n.a.")</f>
        <v>1082</v>
      </c>
      <c r="J16" s="20"/>
    </row>
    <row r="17">
      <c r="A17" s="9" t="s">
        <v>127</v>
      </c>
      <c r="B17" s="40" t="s">
        <v>40</v>
      </c>
      <c r="C17" s="40">
        <f>IFERROR(C13-B13,"n.a.")</f>
        <v>293</v>
      </c>
      <c r="D17" s="40">
        <f>IFERROR(D13-C13,"n.a.")</f>
        <v>285</v>
      </c>
      <c r="E17" s="40">
        <f>IFERROR(E13-D13,"n.a.")</f>
        <v>294</v>
      </c>
      <c r="F17" s="40" t="s">
        <v>40</v>
      </c>
      <c r="G17" s="40">
        <f>IFERROR(G13-E13,"n.a.")</f>
        <v>229</v>
      </c>
      <c r="H17" s="40">
        <f>IFERROR(H13-G13,"n.a.")</f>
        <v>279</v>
      </c>
      <c r="I17" s="41">
        <f>IFERROR(I13-H13,"n.a.")</f>
        <v>280</v>
      </c>
      <c r="J17" s="20"/>
    </row>
    <row r="18">
      <c r="A18" s="35" t="s">
        <v>128</v>
      </c>
      <c r="B18" s="33"/>
      <c r="C18" s="33"/>
      <c r="D18" s="33"/>
      <c r="E18" s="33"/>
      <c r="F18" s="33"/>
      <c r="G18" s="33"/>
      <c r="H18" s="33"/>
      <c r="I18" s="53"/>
      <c r="J18" s="20"/>
    </row>
    <row r="19">
      <c r="A19" s="9" t="s">
        <v>117</v>
      </c>
      <c r="B19" s="39">
        <v>31172</v>
      </c>
      <c r="C19" s="40">
        <f>B25</f>
        <v>30969</v>
      </c>
      <c r="D19" s="40">
        <f>C25</f>
        <v>30746</v>
      </c>
      <c r="E19" s="40">
        <f>D25</f>
        <v>30642</v>
      </c>
      <c r="F19" s="40">
        <f>B19</f>
        <v>31172</v>
      </c>
      <c r="G19" s="40">
        <f>E25</f>
        <v>30439</v>
      </c>
      <c r="H19" s="40">
        <f>G25</f>
        <v>30345</v>
      </c>
      <c r="I19" s="41">
        <f>H25</f>
        <v>30179</v>
      </c>
      <c r="J19" s="20" t="s">
        <v>118</v>
      </c>
    </row>
    <row r="20">
      <c r="A20" s="9" t="s">
        <v>129</v>
      </c>
      <c r="B20" s="40" t="s">
        <v>40</v>
      </c>
      <c r="C20" s="40" t="s">
        <v>40</v>
      </c>
      <c r="D20" s="40" t="s">
        <v>40</v>
      </c>
      <c r="E20" s="40" t="s">
        <v>40</v>
      </c>
      <c r="F20" s="40" t="s">
        <v>40</v>
      </c>
      <c r="G20" s="40" t="s">
        <v>40</v>
      </c>
      <c r="H20" s="40" t="s">
        <v>40</v>
      </c>
      <c r="I20" s="41" t="s">
        <v>40</v>
      </c>
      <c r="J20" s="20"/>
    </row>
    <row r="21">
      <c r="A21" s="9" t="s">
        <v>130</v>
      </c>
      <c r="B21" s="40" t="s">
        <v>40</v>
      </c>
      <c r="C21" s="40" t="s">
        <v>40</v>
      </c>
      <c r="D21" s="40" t="s">
        <v>40</v>
      </c>
      <c r="E21" s="40" t="s">
        <v>40</v>
      </c>
      <c r="F21" s="40" t="s">
        <v>40</v>
      </c>
      <c r="G21" s="40" t="s">
        <v>40</v>
      </c>
      <c r="H21" s="40" t="s">
        <v>40</v>
      </c>
      <c r="I21" s="41" t="s">
        <v>40</v>
      </c>
      <c r="J21" s="20"/>
    </row>
    <row r="22">
      <c r="A22" s="9" t="s">
        <v>131</v>
      </c>
      <c r="B22" s="39">
        <v>-204</v>
      </c>
      <c r="C22" s="39">
        <v>-223</v>
      </c>
      <c r="D22" s="39">
        <v>-103</v>
      </c>
      <c r="E22" s="39">
        <v>-203</v>
      </c>
      <c r="F22" s="40">
        <f>SUM(B22:E22)</f>
        <v>-733</v>
      </c>
      <c r="G22" s="39">
        <v>-94</v>
      </c>
      <c r="H22" s="39">
        <v>-166</v>
      </c>
      <c r="I22" s="73">
        <v>-140</v>
      </c>
      <c r="J22" s="20" t="s">
        <v>132</v>
      </c>
    </row>
    <row r="23">
      <c r="A23" s="9" t="s">
        <v>121</v>
      </c>
      <c r="B23" s="40" t="s">
        <v>40</v>
      </c>
      <c r="C23" s="40" t="s">
        <v>40</v>
      </c>
      <c r="D23" s="40" t="s">
        <v>40</v>
      </c>
      <c r="E23" s="40" t="s">
        <v>40</v>
      </c>
      <c r="F23" s="40" t="s">
        <v>40</v>
      </c>
      <c r="G23" s="40">
        <f>IFERROR(G22-B22,"n.a.")</f>
        <v>110</v>
      </c>
      <c r="H23" s="40">
        <f>IFERROR(H22-C22,"n.a.")</f>
        <v>57</v>
      </c>
      <c r="I23" s="41">
        <f>IFERROR(I22-D22,"n.a.")</f>
        <v>-37</v>
      </c>
      <c r="J23" s="20"/>
    </row>
    <row r="24">
      <c r="A24" s="9" t="s">
        <v>122</v>
      </c>
      <c r="B24" s="40">
        <f>B25-B19-B22</f>
        <v>1</v>
      </c>
      <c r="C24" s="40">
        <f>C25-C19-C22</f>
        <v>0</v>
      </c>
      <c r="D24" s="40">
        <f>D25-D19-D22</f>
        <v>-1</v>
      </c>
      <c r="E24" s="40">
        <f>E25-E19-E22</f>
        <v>0</v>
      </c>
      <c r="F24" s="40">
        <f>SUM(B24:E24)</f>
        <v>0</v>
      </c>
      <c r="G24" s="40">
        <f>G25-G19-G22</f>
        <v>0</v>
      </c>
      <c r="H24" s="40">
        <f>H25-H19-H22</f>
        <v>0</v>
      </c>
      <c r="I24" s="73">
        <v>0</v>
      </c>
      <c r="J24" s="20"/>
    </row>
    <row r="25">
      <c r="A25" s="35" t="s">
        <v>123</v>
      </c>
      <c r="B25" s="44">
        <v>30969</v>
      </c>
      <c r="C25" s="44">
        <v>30746</v>
      </c>
      <c r="D25" s="44">
        <v>30642</v>
      </c>
      <c r="E25" s="44">
        <v>30439</v>
      </c>
      <c r="F25" s="45">
        <f>E25</f>
        <v>30439</v>
      </c>
      <c r="G25" s="44">
        <v>30345</v>
      </c>
      <c r="H25" s="44">
        <v>30179</v>
      </c>
      <c r="I25" s="52">
        <f>I19+I22+I24</f>
        <v>30039</v>
      </c>
      <c r="J25" s="20" t="s">
        <v>118</v>
      </c>
    </row>
    <row r="26">
      <c r="A26" s="9" t="s">
        <v>124</v>
      </c>
      <c r="B26" s="40">
        <f>AVERAGE(B19,B25)</f>
        <v>31070.5</v>
      </c>
      <c r="C26" s="40">
        <f>AVERAGE(C19,C25)</f>
        <v>30857.5</v>
      </c>
      <c r="D26" s="40">
        <f>AVERAGE(D19,D25)</f>
        <v>30694</v>
      </c>
      <c r="E26" s="40">
        <f>AVERAGE(E19,E25)</f>
        <v>30540.5</v>
      </c>
      <c r="F26" s="40">
        <f>AVERAGE(B26:E26)</f>
        <v>30790.625</v>
      </c>
      <c r="G26" s="40">
        <f>AVERAGE(G19,G25)</f>
        <v>30392</v>
      </c>
      <c r="H26" s="40">
        <f>AVERAGE(H19,H25)</f>
        <v>30262</v>
      </c>
      <c r="I26" s="41">
        <f>AVERAGE(I19,I25)</f>
        <v>30109</v>
      </c>
      <c r="J26" s="20"/>
    </row>
    <row r="27">
      <c r="A27" s="23" t="s">
        <v>125</v>
      </c>
      <c r="B27" s="29" t="s">
        <v>40</v>
      </c>
      <c r="C27" s="29" t="s">
        <v>40</v>
      </c>
      <c r="D27" s="29" t="s">
        <v>40</v>
      </c>
      <c r="E27" s="29" t="s">
        <v>40</v>
      </c>
      <c r="F27" s="29" t="s">
        <v>40</v>
      </c>
      <c r="G27" s="29">
        <f>IFERROR(G25/B25-1,"n.a.")</f>
        <v>-0.02014918143950406</v>
      </c>
      <c r="H27" s="29">
        <f>IFERROR(H25/C25-1,"n.a.")</f>
        <v>-0.01844142327457232</v>
      </c>
      <c r="I27" s="50">
        <f>IFERROR(I25/D25-1,"n.a.")</f>
        <v>-0.0196788721362835</v>
      </c>
      <c r="J27" s="20"/>
    </row>
    <row r="28">
      <c r="A28" s="9" t="s">
        <v>126</v>
      </c>
      <c r="B28" s="40" t="s">
        <v>40</v>
      </c>
      <c r="C28" s="40" t="s">
        <v>40</v>
      </c>
      <c r="D28" s="40" t="s">
        <v>40</v>
      </c>
      <c r="E28" s="40" t="s">
        <v>40</v>
      </c>
      <c r="F28" s="40" t="s">
        <v>40</v>
      </c>
      <c r="G28" s="40">
        <f>IFERROR(G25-B25,"n.a.")</f>
        <v>-624</v>
      </c>
      <c r="H28" s="40">
        <f>IFERROR(H25-C25,"n.a.")</f>
        <v>-567</v>
      </c>
      <c r="I28" s="41">
        <f>IFERROR(I25-D25,"n.a.")</f>
        <v>-603</v>
      </c>
      <c r="J28" s="20"/>
    </row>
    <row r="29">
      <c r="A29" s="9" t="s">
        <v>127</v>
      </c>
      <c r="B29" s="40" t="s">
        <v>40</v>
      </c>
      <c r="C29" s="40">
        <f>IFERROR(C25-B25,"n.a.")</f>
        <v>-223</v>
      </c>
      <c r="D29" s="40">
        <f>IFERROR(D25-C25,"n.a.")</f>
        <v>-104</v>
      </c>
      <c r="E29" s="40">
        <f>IFERROR(E25-D25,"n.a.")</f>
        <v>-203</v>
      </c>
      <c r="F29" s="40" t="s">
        <v>40</v>
      </c>
      <c r="G29" s="40">
        <f>IFERROR(G25-E25,"n.a.")</f>
        <v>-94</v>
      </c>
      <c r="H29" s="40">
        <f>IFERROR(H25-G25,"n.a.")</f>
        <v>-166</v>
      </c>
      <c r="I29" s="41">
        <f>IFERROR(I25-H25,"n.a.")</f>
        <v>-140</v>
      </c>
      <c r="J29" s="20"/>
    </row>
    <row r="30">
      <c r="A30" s="35" t="s">
        <v>133</v>
      </c>
      <c r="B30" s="33"/>
      <c r="C30" s="33"/>
      <c r="D30" s="33"/>
      <c r="E30" s="33"/>
      <c r="F30" s="33"/>
      <c r="G30" s="33"/>
      <c r="H30" s="33"/>
      <c r="I30" s="53"/>
      <c r="J30" s="20"/>
    </row>
    <row r="31">
      <c r="A31" s="9" t="s">
        <v>117</v>
      </c>
      <c r="B31" s="39">
        <v>17686</v>
      </c>
      <c r="C31" s="40">
        <f>B37</f>
        <v>17674</v>
      </c>
      <c r="D31" s="40">
        <f>C37</f>
        <v>17573</v>
      </c>
      <c r="E31" s="40">
        <f>D37</f>
        <v>17477</v>
      </c>
      <c r="F31" s="40">
        <f>B31</f>
        <v>17686</v>
      </c>
      <c r="G31" s="40">
        <f>E37</f>
        <v>17499</v>
      </c>
      <c r="H31" s="40">
        <f>G37</f>
        <v>17603</v>
      </c>
      <c r="I31" s="41">
        <f>H37</f>
        <v>17539</v>
      </c>
      <c r="J31" s="20" t="s">
        <v>118</v>
      </c>
    </row>
    <row r="32">
      <c r="A32" s="9" t="s">
        <v>129</v>
      </c>
      <c r="B32" s="40" t="s">
        <v>40</v>
      </c>
      <c r="C32" s="40" t="s">
        <v>40</v>
      </c>
      <c r="D32" s="40" t="s">
        <v>40</v>
      </c>
      <c r="E32" s="40" t="s">
        <v>40</v>
      </c>
      <c r="F32" s="40" t="s">
        <v>40</v>
      </c>
      <c r="G32" s="40" t="s">
        <v>40</v>
      </c>
      <c r="H32" s="40" t="s">
        <v>40</v>
      </c>
      <c r="I32" s="41" t="s">
        <v>40</v>
      </c>
      <c r="J32" s="20"/>
    </row>
    <row r="33">
      <c r="A33" s="9" t="s">
        <v>130</v>
      </c>
      <c r="B33" s="40" t="s">
        <v>40</v>
      </c>
      <c r="C33" s="40" t="s">
        <v>40</v>
      </c>
      <c r="D33" s="40" t="s">
        <v>40</v>
      </c>
      <c r="E33" s="40" t="s">
        <v>40</v>
      </c>
      <c r="F33" s="40" t="s">
        <v>40</v>
      </c>
      <c r="G33" s="40" t="s">
        <v>40</v>
      </c>
      <c r="H33" s="40" t="s">
        <v>40</v>
      </c>
      <c r="I33" s="41" t="s">
        <v>40</v>
      </c>
      <c r="J33" s="20"/>
    </row>
    <row r="34">
      <c r="A34" s="9" t="s">
        <v>131</v>
      </c>
      <c r="B34" s="39">
        <v>-11</v>
      </c>
      <c r="C34" s="39">
        <v>-102</v>
      </c>
      <c r="D34" s="39">
        <v>-95</v>
      </c>
      <c r="E34" s="39">
        <v>22</v>
      </c>
      <c r="F34" s="40">
        <f>SUM(B34:E34)</f>
        <v>-186</v>
      </c>
      <c r="G34" s="39">
        <v>104</v>
      </c>
      <c r="H34" s="39">
        <v>-64</v>
      </c>
      <c r="I34" s="73">
        <v>-60</v>
      </c>
      <c r="J34" s="20" t="s">
        <v>134</v>
      </c>
    </row>
    <row r="35">
      <c r="A35" s="9" t="s">
        <v>121</v>
      </c>
      <c r="B35" s="40" t="s">
        <v>40</v>
      </c>
      <c r="C35" s="40" t="s">
        <v>40</v>
      </c>
      <c r="D35" s="40" t="s">
        <v>40</v>
      </c>
      <c r="E35" s="40" t="s">
        <v>40</v>
      </c>
      <c r="F35" s="40" t="s">
        <v>40</v>
      </c>
      <c r="G35" s="40">
        <f>IFERROR(G34-B34,"n.a.")</f>
        <v>115</v>
      </c>
      <c r="H35" s="40">
        <f>IFERROR(H34-C34,"n.a.")</f>
        <v>38</v>
      </c>
      <c r="I35" s="41">
        <f>IFERROR(I34-D34,"n.a.")</f>
        <v>35</v>
      </c>
      <c r="J35" s="20"/>
    </row>
    <row r="36">
      <c r="A36" s="9" t="s">
        <v>122</v>
      </c>
      <c r="B36" s="40">
        <f>B37-B31-B34</f>
        <v>-1</v>
      </c>
      <c r="C36" s="40">
        <f>C37-C31-C34</f>
        <v>1</v>
      </c>
      <c r="D36" s="40">
        <f>D37-D31-D34</f>
        <v>-1</v>
      </c>
      <c r="E36" s="40">
        <f>E37-E31-E34</f>
        <v>0</v>
      </c>
      <c r="F36" s="40">
        <f>SUM(B36:E36)</f>
        <v>-1</v>
      </c>
      <c r="G36" s="40">
        <f>G37-G31-G34</f>
        <v>0</v>
      </c>
      <c r="H36" s="40">
        <f>H37-H31-H34</f>
        <v>0</v>
      </c>
      <c r="I36" s="73">
        <v>0</v>
      </c>
      <c r="J36" s="20"/>
    </row>
    <row r="37">
      <c r="A37" s="35" t="s">
        <v>123</v>
      </c>
      <c r="B37" s="44">
        <v>17674</v>
      </c>
      <c r="C37" s="44">
        <v>17573</v>
      </c>
      <c r="D37" s="44">
        <v>17477</v>
      </c>
      <c r="E37" s="44">
        <v>17499</v>
      </c>
      <c r="F37" s="45">
        <f>E37</f>
        <v>17499</v>
      </c>
      <c r="G37" s="44">
        <v>17603</v>
      </c>
      <c r="H37" s="44">
        <v>17539</v>
      </c>
      <c r="I37" s="52">
        <f>I31+I34+I36</f>
        <v>17479</v>
      </c>
      <c r="J37" s="20" t="s">
        <v>118</v>
      </c>
    </row>
    <row r="38">
      <c r="A38" s="9" t="s">
        <v>124</v>
      </c>
      <c r="B38" s="40">
        <f>AVERAGE(B31,B37)</f>
        <v>17680</v>
      </c>
      <c r="C38" s="40">
        <f>AVERAGE(C31,C37)</f>
        <v>17623.5</v>
      </c>
      <c r="D38" s="40">
        <f>AVERAGE(D31,D37)</f>
        <v>17525</v>
      </c>
      <c r="E38" s="40">
        <f>AVERAGE(E31,E37)</f>
        <v>17488</v>
      </c>
      <c r="F38" s="40">
        <f>AVERAGE(B38:E38)</f>
        <v>17579.125</v>
      </c>
      <c r="G38" s="40">
        <f>AVERAGE(G31,G37)</f>
        <v>17551</v>
      </c>
      <c r="H38" s="40">
        <f>AVERAGE(H31,H37)</f>
        <v>17571</v>
      </c>
      <c r="I38" s="41">
        <f>AVERAGE(I31,I37)</f>
        <v>17509</v>
      </c>
      <c r="J38" s="20"/>
    </row>
    <row r="39">
      <c r="A39" s="23" t="s">
        <v>125</v>
      </c>
      <c r="B39" s="29" t="s">
        <v>40</v>
      </c>
      <c r="C39" s="29" t="s">
        <v>40</v>
      </c>
      <c r="D39" s="29" t="s">
        <v>40</v>
      </c>
      <c r="E39" s="29" t="s">
        <v>40</v>
      </c>
      <c r="F39" s="29" t="s">
        <v>40</v>
      </c>
      <c r="G39" s="29">
        <f>IFERROR(G37/B37-1,"n.a.")</f>
        <v>-0.004017200407378074</v>
      </c>
      <c r="H39" s="29">
        <f>IFERROR(H37/C37-1,"n.a.")</f>
        <v>-0.00193478631992261</v>
      </c>
      <c r="I39" s="50">
        <f>IFERROR(I37/D37-1,"n.a.")</f>
        <v>0.0001144361160381191</v>
      </c>
      <c r="J39" s="20"/>
    </row>
    <row r="40">
      <c r="A40" s="9" t="s">
        <v>126</v>
      </c>
      <c r="B40" s="40" t="s">
        <v>40</v>
      </c>
      <c r="C40" s="40" t="s">
        <v>40</v>
      </c>
      <c r="D40" s="40" t="s">
        <v>40</v>
      </c>
      <c r="E40" s="40" t="s">
        <v>40</v>
      </c>
      <c r="F40" s="40" t="s">
        <v>40</v>
      </c>
      <c r="G40" s="40">
        <f>IFERROR(G37-B37,"n.a.")</f>
        <v>-71</v>
      </c>
      <c r="H40" s="40">
        <f>IFERROR(H37-C37,"n.a.")</f>
        <v>-34</v>
      </c>
      <c r="I40" s="41">
        <f>IFERROR(I37-D37,"n.a.")</f>
        <v>2</v>
      </c>
      <c r="J40" s="20"/>
    </row>
    <row r="41">
      <c r="A41" s="9" t="s">
        <v>127</v>
      </c>
      <c r="B41" s="40" t="s">
        <v>40</v>
      </c>
      <c r="C41" s="40">
        <f>IFERROR(C37-B37,"n.a.")</f>
        <v>-101</v>
      </c>
      <c r="D41" s="40">
        <f>IFERROR(D37-C37,"n.a.")</f>
        <v>-96</v>
      </c>
      <c r="E41" s="40">
        <f>IFERROR(E37-D37,"n.a.")</f>
        <v>22</v>
      </c>
      <c r="F41" s="40" t="s">
        <v>40</v>
      </c>
      <c r="G41" s="40">
        <f>IFERROR(G37-E37,"n.a.")</f>
        <v>104</v>
      </c>
      <c r="H41" s="40">
        <f>IFERROR(H37-G37,"n.a.")</f>
        <v>-64</v>
      </c>
      <c r="I41" s="41">
        <f>IFERROR(I37-H37,"n.a.")</f>
        <v>-60</v>
      </c>
      <c r="J41" s="20"/>
    </row>
    <row r="42">
      <c r="A42" s="35" t="s">
        <v>135</v>
      </c>
      <c r="B42" s="33"/>
      <c r="C42" s="33"/>
      <c r="D42" s="33"/>
      <c r="E42" s="33"/>
      <c r="F42" s="33"/>
      <c r="G42" s="33"/>
      <c r="H42" s="33"/>
      <c r="I42" s="53"/>
      <c r="J42" s="20"/>
    </row>
    <row r="43">
      <c r="A43" s="9" t="s">
        <v>131</v>
      </c>
      <c r="B43" s="40">
        <f>B22+B34</f>
        <v>-215</v>
      </c>
      <c r="C43" s="40">
        <f>C22+C34</f>
        <v>-325</v>
      </c>
      <c r="D43" s="40">
        <f>D22+D34</f>
        <v>-198</v>
      </c>
      <c r="E43" s="40">
        <f>E22+E34</f>
        <v>-181</v>
      </c>
      <c r="F43" s="40">
        <f>SUM(B43:E43)</f>
        <v>-919</v>
      </c>
      <c r="G43" s="40">
        <f>G22+G34</f>
        <v>10</v>
      </c>
      <c r="H43" s="40">
        <f>H22+H34</f>
        <v>-230</v>
      </c>
      <c r="I43" s="41">
        <f>I22+I34</f>
        <v>-200</v>
      </c>
      <c r="J43" s="20"/>
    </row>
    <row r="44">
      <c r="A44" s="35" t="s">
        <v>123</v>
      </c>
      <c r="B44" s="45">
        <f>B25+B37</f>
        <v>48643</v>
      </c>
      <c r="C44" s="45">
        <f>C25+C37</f>
        <v>48319</v>
      </c>
      <c r="D44" s="45">
        <f>D25+D37</f>
        <v>48119</v>
      </c>
      <c r="E44" s="45">
        <f>E25+E37</f>
        <v>47938</v>
      </c>
      <c r="F44" s="45">
        <f>F25+F37</f>
        <v>47938</v>
      </c>
      <c r="G44" s="45">
        <f>G25+G37</f>
        <v>47948</v>
      </c>
      <c r="H44" s="45">
        <f>H25+H37</f>
        <v>47718</v>
      </c>
      <c r="I44" s="52">
        <f>I25+I37</f>
        <v>47518</v>
      </c>
      <c r="J44" s="20"/>
    </row>
    <row r="45">
      <c r="A45" s="23" t="s">
        <v>125</v>
      </c>
      <c r="B45" s="29" t="s">
        <v>40</v>
      </c>
      <c r="C45" s="29" t="s">
        <v>40</v>
      </c>
      <c r="D45" s="29" t="s">
        <v>40</v>
      </c>
      <c r="E45" s="29" t="s">
        <v>40</v>
      </c>
      <c r="F45" s="29" t="s">
        <v>40</v>
      </c>
      <c r="G45" s="29">
        <f>IFERROR(G44/B44-1,"n.a.")</f>
        <v>-0.014287770079970397</v>
      </c>
      <c r="H45" s="29">
        <f>IFERROR(H44/C44-1,"n.a.")</f>
        <v>-0.012438171319770652</v>
      </c>
      <c r="I45" s="50">
        <f>IFERROR(I44/D44-1,"n.a.")</f>
        <v>-0.01248986886676784</v>
      </c>
      <c r="J45" s="20"/>
    </row>
    <row r="46">
      <c r="A46" s="9" t="s">
        <v>126</v>
      </c>
      <c r="B46" s="40" t="s">
        <v>40</v>
      </c>
      <c r="C46" s="40" t="s">
        <v>40</v>
      </c>
      <c r="D46" s="40" t="s">
        <v>40</v>
      </c>
      <c r="E46" s="40" t="s">
        <v>40</v>
      </c>
      <c r="F46" s="40" t="s">
        <v>40</v>
      </c>
      <c r="G46" s="40">
        <f>IFERROR(G44-B44,"n.a.")</f>
        <v>-695</v>
      </c>
      <c r="H46" s="40">
        <f>IFERROR(H44-C44,"n.a.")</f>
        <v>-601</v>
      </c>
      <c r="I46" s="41">
        <f>IFERROR(I44-D44,"n.a.")</f>
        <v>-601</v>
      </c>
      <c r="J46" s="20"/>
    </row>
    <row r="47">
      <c r="A47" s="9" t="s">
        <v>127</v>
      </c>
      <c r="B47" s="40" t="s">
        <v>40</v>
      </c>
      <c r="C47" s="40">
        <f>IFERROR(C44-B44,"n.a.")</f>
        <v>-324</v>
      </c>
      <c r="D47" s="40">
        <f>IFERROR(D44-C44,"n.a.")</f>
        <v>-200</v>
      </c>
      <c r="E47" s="40">
        <f>IFERROR(E44-D44,"n.a.")</f>
        <v>-181</v>
      </c>
      <c r="F47" s="40" t="s">
        <v>40</v>
      </c>
      <c r="G47" s="40">
        <f>IFERROR(G44-E44,"n.a.")</f>
        <v>10</v>
      </c>
      <c r="H47" s="40">
        <f>IFERROR(H44-G44,"n.a.")</f>
        <v>-230</v>
      </c>
      <c r="I47" s="41">
        <f>IFERROR(I44-H44,"n.a.")</f>
        <v>-200</v>
      </c>
      <c r="J47" s="20"/>
    </row>
    <row r="48">
      <c r="A48" s="35" t="s">
        <v>136</v>
      </c>
      <c r="B48" s="33"/>
      <c r="C48" s="33"/>
      <c r="D48" s="33"/>
      <c r="E48" s="33"/>
      <c r="F48" s="33"/>
      <c r="G48" s="33"/>
      <c r="H48" s="33"/>
      <c r="I48" s="53"/>
      <c r="J48" s="20"/>
    </row>
    <row r="49">
      <c r="A49" s="9" t="s">
        <v>117</v>
      </c>
      <c r="B49" s="39">
        <v>29373</v>
      </c>
      <c r="C49" s="40">
        <f>B55</f>
        <v>29190</v>
      </c>
      <c r="D49" s="40">
        <f>C55</f>
        <v>28989</v>
      </c>
      <c r="E49" s="40">
        <f>D55</f>
        <v>28897</v>
      </c>
      <c r="F49" s="40">
        <f>B49</f>
        <v>29373</v>
      </c>
      <c r="G49" s="40">
        <f>E55</f>
        <v>28719</v>
      </c>
      <c r="H49" s="40">
        <f>G55</f>
        <v>28654</v>
      </c>
      <c r="I49" s="41">
        <f>H55</f>
        <v>28486</v>
      </c>
      <c r="J49" s="20" t="s">
        <v>118</v>
      </c>
    </row>
    <row r="50">
      <c r="A50" s="9" t="s">
        <v>129</v>
      </c>
      <c r="B50" s="40" t="s">
        <v>40</v>
      </c>
      <c r="C50" s="40" t="s">
        <v>40</v>
      </c>
      <c r="D50" s="40" t="s">
        <v>40</v>
      </c>
      <c r="E50" s="40" t="s">
        <v>40</v>
      </c>
      <c r="F50" s="40" t="s">
        <v>40</v>
      </c>
      <c r="G50" s="40" t="s">
        <v>40</v>
      </c>
      <c r="H50" s="40" t="s">
        <v>40</v>
      </c>
      <c r="I50" s="41" t="s">
        <v>40</v>
      </c>
      <c r="J50" s="20"/>
    </row>
    <row r="51">
      <c r="A51" s="9" t="s">
        <v>130</v>
      </c>
      <c r="B51" s="40" t="s">
        <v>40</v>
      </c>
      <c r="C51" s="40" t="s">
        <v>40</v>
      </c>
      <c r="D51" s="40" t="s">
        <v>40</v>
      </c>
      <c r="E51" s="40" t="s">
        <v>40</v>
      </c>
      <c r="F51" s="40" t="s">
        <v>40</v>
      </c>
      <c r="G51" s="40" t="s">
        <v>40</v>
      </c>
      <c r="H51" s="40" t="s">
        <v>40</v>
      </c>
      <c r="I51" s="41" t="s">
        <v>40</v>
      </c>
      <c r="J51" s="20"/>
    </row>
    <row r="52">
      <c r="A52" s="9" t="s">
        <v>131</v>
      </c>
      <c r="B52" s="39">
        <v>-183</v>
      </c>
      <c r="C52" s="39">
        <v>-201</v>
      </c>
      <c r="D52" s="39">
        <v>-91</v>
      </c>
      <c r="E52" s="39">
        <v>-178</v>
      </c>
      <c r="F52" s="40">
        <f>SUM(B52:E52)</f>
        <v>-653</v>
      </c>
      <c r="G52" s="39">
        <v>-65</v>
      </c>
      <c r="H52" s="39">
        <v>-167</v>
      </c>
      <c r="I52" s="73">
        <v>-135</v>
      </c>
      <c r="J52" s="20" t="s">
        <v>137</v>
      </c>
    </row>
    <row r="53">
      <c r="A53" s="9" t="s">
        <v>121</v>
      </c>
      <c r="B53" s="40" t="s">
        <v>40</v>
      </c>
      <c r="C53" s="40" t="s">
        <v>40</v>
      </c>
      <c r="D53" s="40" t="s">
        <v>40</v>
      </c>
      <c r="E53" s="40" t="s">
        <v>40</v>
      </c>
      <c r="F53" s="40" t="s">
        <v>40</v>
      </c>
      <c r="G53" s="40">
        <f>IFERROR(G52-B52,"n.a.")</f>
        <v>118</v>
      </c>
      <c r="H53" s="40">
        <f>IFERROR(H52-C52,"n.a.")</f>
        <v>34</v>
      </c>
      <c r="I53" s="41">
        <f>IFERROR(I52-D52,"n.a.")</f>
        <v>-44</v>
      </c>
      <c r="J53" s="20"/>
    </row>
    <row r="54">
      <c r="A54" s="9" t="s">
        <v>122</v>
      </c>
      <c r="B54" s="40">
        <f>B55-B49-B52</f>
        <v>0</v>
      </c>
      <c r="C54" s="40">
        <f>C55-C49-C52</f>
        <v>0</v>
      </c>
      <c r="D54" s="40">
        <f>D55-D49-D52</f>
        <v>-1</v>
      </c>
      <c r="E54" s="40">
        <f>E55-E49-E52</f>
        <v>0</v>
      </c>
      <c r="F54" s="40">
        <f>SUM(B54:E54)</f>
        <v>-1</v>
      </c>
      <c r="G54" s="40">
        <f>G55-G49-G52</f>
        <v>0</v>
      </c>
      <c r="H54" s="40">
        <f>H55-H49-H52</f>
        <v>-1</v>
      </c>
      <c r="I54" s="73">
        <v>0</v>
      </c>
      <c r="J54" s="20"/>
    </row>
    <row r="55">
      <c r="A55" s="35" t="s">
        <v>123</v>
      </c>
      <c r="B55" s="44">
        <v>29190</v>
      </c>
      <c r="C55" s="44">
        <v>28989</v>
      </c>
      <c r="D55" s="44">
        <v>28897</v>
      </c>
      <c r="E55" s="44">
        <v>28719</v>
      </c>
      <c r="F55" s="45">
        <f>E55</f>
        <v>28719</v>
      </c>
      <c r="G55" s="44">
        <v>28654</v>
      </c>
      <c r="H55" s="44">
        <v>28486</v>
      </c>
      <c r="I55" s="52">
        <f>I49+I52+I54</f>
        <v>28351</v>
      </c>
      <c r="J55" s="20" t="s">
        <v>118</v>
      </c>
    </row>
    <row r="56">
      <c r="A56" s="9" t="s">
        <v>124</v>
      </c>
      <c r="B56" s="40">
        <f>AVERAGE(B49,B55)</f>
        <v>29281.5</v>
      </c>
      <c r="C56" s="40">
        <f>AVERAGE(C49,C55)</f>
        <v>29089.5</v>
      </c>
      <c r="D56" s="40">
        <f>AVERAGE(D49,D55)</f>
        <v>28943</v>
      </c>
      <c r="E56" s="40">
        <f>AVERAGE(E49,E55)</f>
        <v>28808</v>
      </c>
      <c r="F56" s="40">
        <f>AVERAGE(B56:E56)</f>
        <v>29030.5</v>
      </c>
      <c r="G56" s="40">
        <f>AVERAGE(G49,G55)</f>
        <v>28686.5</v>
      </c>
      <c r="H56" s="40">
        <f>AVERAGE(H49,H55)</f>
        <v>28570</v>
      </c>
      <c r="I56" s="41">
        <f>AVERAGE(I49,I55)</f>
        <v>28418.5</v>
      </c>
      <c r="J56" s="20"/>
    </row>
    <row r="57">
      <c r="A57" s="23" t="s">
        <v>125</v>
      </c>
      <c r="B57" s="29" t="s">
        <v>40</v>
      </c>
      <c r="C57" s="29" t="s">
        <v>40</v>
      </c>
      <c r="D57" s="29" t="s">
        <v>40</v>
      </c>
      <c r="E57" s="29" t="s">
        <v>40</v>
      </c>
      <c r="F57" s="29" t="s">
        <v>40</v>
      </c>
      <c r="G57" s="29">
        <f>IFERROR(G55/B55-1,"n.a.")</f>
        <v>-0.018362452894826964</v>
      </c>
      <c r="H57" s="29">
        <f>IFERROR(H55/C55-1,"n.a.")</f>
        <v>-0.01735140915519684</v>
      </c>
      <c r="I57" s="50">
        <f>IFERROR(I55/D55-1,"n.a.")</f>
        <v>-0.01889469495103302</v>
      </c>
      <c r="J57" s="20"/>
    </row>
    <row r="58">
      <c r="A58" s="9" t="s">
        <v>126</v>
      </c>
      <c r="B58" s="40" t="s">
        <v>40</v>
      </c>
      <c r="C58" s="40" t="s">
        <v>40</v>
      </c>
      <c r="D58" s="40" t="s">
        <v>40</v>
      </c>
      <c r="E58" s="40" t="s">
        <v>40</v>
      </c>
      <c r="F58" s="40" t="s">
        <v>40</v>
      </c>
      <c r="G58" s="40">
        <f>IFERROR(G55-B55,"n.a.")</f>
        <v>-536</v>
      </c>
      <c r="H58" s="40">
        <f>IFERROR(H55-C55,"n.a.")</f>
        <v>-503</v>
      </c>
      <c r="I58" s="41">
        <f>IFERROR(I55-D55,"n.a.")</f>
        <v>-546</v>
      </c>
      <c r="J58" s="20"/>
    </row>
    <row r="59">
      <c r="A59" s="9" t="s">
        <v>127</v>
      </c>
      <c r="B59" s="40" t="s">
        <v>40</v>
      </c>
      <c r="C59" s="40">
        <f>IFERROR(C55-B55,"n.a.")</f>
        <v>-201</v>
      </c>
      <c r="D59" s="40">
        <f>IFERROR(D55-C55,"n.a.")</f>
        <v>-92</v>
      </c>
      <c r="E59" s="40">
        <f>IFERROR(E55-D55,"n.a.")</f>
        <v>-178</v>
      </c>
      <c r="F59" s="40" t="s">
        <v>40</v>
      </c>
      <c r="G59" s="40">
        <f>IFERROR(G55-E55,"n.a.")</f>
        <v>-65</v>
      </c>
      <c r="H59" s="40">
        <f>IFERROR(H55-G55,"n.a.")</f>
        <v>-168</v>
      </c>
      <c r="I59" s="41">
        <f>IFERROR(I55-H55,"n.a.")</f>
        <v>-135</v>
      </c>
      <c r="J59" s="20"/>
    </row>
    <row r="60" ht="26.25">
      <c r="A60" s="116" t="s">
        <v>138</v>
      </c>
      <c r="B60" s="29">
        <f>B55/B13</f>
        <v>0.5027297935001637</v>
      </c>
      <c r="C60" s="29">
        <f>C55/C13</f>
        <v>0.49676125848241826</v>
      </c>
      <c r="D60" s="29">
        <f>D55/D13</f>
        <v>0.4927780904145564</v>
      </c>
      <c r="E60" s="29">
        <f>E55/E13</f>
        <v>0.48729956731992874</v>
      </c>
      <c r="F60" s="29">
        <f>F55/F13</f>
        <v>0.48729956731992874</v>
      </c>
      <c r="G60" s="29">
        <f>G55/G13</f>
        <v>0.4843147860185248</v>
      </c>
      <c r="H60" s="29">
        <f>H55/H13</f>
        <v>0.4792153828036943</v>
      </c>
      <c r="I60" s="50">
        <f>I55/I13</f>
        <v>0.4747082363578521</v>
      </c>
      <c r="J60" s="20"/>
    </row>
    <row r="61">
      <c r="A61" s="23" t="s">
        <v>139</v>
      </c>
      <c r="B61" s="51" t="s">
        <v>40</v>
      </c>
      <c r="C61" s="51" t="s">
        <v>40</v>
      </c>
      <c r="D61" s="51" t="s">
        <v>40</v>
      </c>
      <c r="E61" s="51" t="s">
        <v>40</v>
      </c>
      <c r="F61" s="51" t="s">
        <v>40</v>
      </c>
      <c r="G61" s="51">
        <f>IFERROR((G60-B60)*10000,"n.a.")</f>
        <v>-184.15007481638878</v>
      </c>
      <c r="H61" s="51">
        <f>IFERROR((H60-C60)*10000,"n.a.")</f>
        <v>-175.45875678723954</v>
      </c>
      <c r="I61" s="46">
        <f>IFERROR((I60-D60)*10000,"n.a.")</f>
        <v>-180.69854056704304</v>
      </c>
      <c r="J61" s="20"/>
    </row>
    <row r="62">
      <c r="A62" s="23" t="s">
        <v>140</v>
      </c>
      <c r="B62" s="51" t="s">
        <v>40</v>
      </c>
      <c r="C62" s="51">
        <f>IFERROR((C60-B60)*10000,"n.a.")</f>
        <v>-59.68535017745413</v>
      </c>
      <c r="D62" s="51">
        <f>IFERROR((D60-C60)*10000,"n.a.")</f>
        <v>-39.83168067861864</v>
      </c>
      <c r="E62" s="51">
        <f>IFERROR((E60-D60)*10000,"n.a.")</f>
        <v>-54.78523094627652</v>
      </c>
      <c r="F62" s="51" t="s">
        <v>40</v>
      </c>
      <c r="G62" s="51">
        <f>IFERROR((G60-E60)*10000,"n.a.")</f>
        <v>-29.84781301403949</v>
      </c>
      <c r="H62" s="51">
        <f>IFERROR((H60-G60)*10000,"n.a.")</f>
        <v>-50.99403214830489</v>
      </c>
      <c r="I62" s="46">
        <f>IFERROR((I60-H60)*10000,"n.a.")</f>
        <v>-45.07146445842214</v>
      </c>
      <c r="J62" s="20"/>
    </row>
    <row r="63">
      <c r="A63" s="35" t="s">
        <v>141</v>
      </c>
      <c r="B63" s="33"/>
      <c r="C63" s="33"/>
      <c r="D63" s="33"/>
      <c r="E63" s="33"/>
      <c r="F63" s="33"/>
      <c r="G63" s="33"/>
      <c r="H63" s="33"/>
      <c r="I63" s="53"/>
      <c r="J63" s="20"/>
    </row>
    <row r="64">
      <c r="A64" s="9" t="s">
        <v>117</v>
      </c>
      <c r="B64" s="39">
        <v>7826</v>
      </c>
      <c r="C64" s="40">
        <f>B70</f>
        <v>8148</v>
      </c>
      <c r="D64" s="40">
        <f>C70</f>
        <v>8527</v>
      </c>
      <c r="E64" s="40">
        <f>D70</f>
        <v>8941</v>
      </c>
      <c r="F64" s="40">
        <f>B64</f>
        <v>7826</v>
      </c>
      <c r="G64" s="40">
        <f>E70</f>
        <v>9305</v>
      </c>
      <c r="H64" s="40">
        <f>G70</f>
        <v>9739</v>
      </c>
      <c r="I64" s="41">
        <f>H70</f>
        <v>10187</v>
      </c>
      <c r="J64" s="20" t="s">
        <v>118</v>
      </c>
    </row>
    <row r="65">
      <c r="A65" s="9" t="s">
        <v>129</v>
      </c>
      <c r="B65" s="40" t="s">
        <v>40</v>
      </c>
      <c r="C65" s="40" t="s">
        <v>40</v>
      </c>
      <c r="D65" s="40" t="s">
        <v>40</v>
      </c>
      <c r="E65" s="40" t="s">
        <v>40</v>
      </c>
      <c r="F65" s="40" t="s">
        <v>40</v>
      </c>
      <c r="G65" s="40" t="s">
        <v>40</v>
      </c>
      <c r="H65" s="40" t="s">
        <v>40</v>
      </c>
      <c r="I65" s="41" t="s">
        <v>40</v>
      </c>
      <c r="J65" s="20"/>
    </row>
    <row r="66">
      <c r="A66" s="9" t="s">
        <v>130</v>
      </c>
      <c r="B66" s="40" t="s">
        <v>40</v>
      </c>
      <c r="C66" s="40" t="s">
        <v>40</v>
      </c>
      <c r="D66" s="40" t="s">
        <v>40</v>
      </c>
      <c r="E66" s="40" t="s">
        <v>40</v>
      </c>
      <c r="F66" s="40" t="s">
        <v>40</v>
      </c>
      <c r="G66" s="40" t="s">
        <v>40</v>
      </c>
      <c r="H66" s="40" t="s">
        <v>40</v>
      </c>
      <c r="I66" s="41" t="s">
        <v>40</v>
      </c>
      <c r="J66" s="20"/>
    </row>
    <row r="67">
      <c r="A67" s="9" t="s">
        <v>131</v>
      </c>
      <c r="B67" s="39">
        <v>323</v>
      </c>
      <c r="C67" s="39">
        <v>378</v>
      </c>
      <c r="D67" s="39">
        <v>414</v>
      </c>
      <c r="E67" s="39">
        <v>364</v>
      </c>
      <c r="F67" s="40">
        <f>SUM(B67:E67)</f>
        <v>1479</v>
      </c>
      <c r="G67" s="39">
        <v>435</v>
      </c>
      <c r="H67" s="39">
        <v>448</v>
      </c>
      <c r="I67" s="73">
        <v>430</v>
      </c>
      <c r="J67" s="20" t="s">
        <v>142</v>
      </c>
    </row>
    <row r="68">
      <c r="A68" s="9" t="s">
        <v>121</v>
      </c>
      <c r="B68" s="40" t="s">
        <v>40</v>
      </c>
      <c r="C68" s="40" t="s">
        <v>40</v>
      </c>
      <c r="D68" s="40" t="s">
        <v>40</v>
      </c>
      <c r="E68" s="40" t="s">
        <v>40</v>
      </c>
      <c r="F68" s="40" t="s">
        <v>40</v>
      </c>
      <c r="G68" s="40">
        <f>IFERROR(G67-B67,"n.a.")</f>
        <v>112</v>
      </c>
      <c r="H68" s="40">
        <f>IFERROR(H67-C67,"n.a.")</f>
        <v>70</v>
      </c>
      <c r="I68" s="41">
        <f>IFERROR(I67-D67,"n.a.")</f>
        <v>16</v>
      </c>
      <c r="J68" s="20"/>
    </row>
    <row r="69">
      <c r="A69" s="9" t="s">
        <v>122</v>
      </c>
      <c r="B69" s="40">
        <f>B70-B64-B67</f>
        <v>-1</v>
      </c>
      <c r="C69" s="40">
        <f>C70-C64-C67</f>
        <v>1</v>
      </c>
      <c r="D69" s="40">
        <f>D70-D64-D67</f>
        <v>0</v>
      </c>
      <c r="E69" s="40">
        <f>E70-E64-E67</f>
        <v>0</v>
      </c>
      <c r="F69" s="40">
        <f>SUM(B69:E69)</f>
        <v>0</v>
      </c>
      <c r="G69" s="40">
        <f>G70-G64-G67</f>
        <v>-1</v>
      </c>
      <c r="H69" s="40">
        <f>H70-H64-H67</f>
        <v>0</v>
      </c>
      <c r="I69" s="73">
        <v>0</v>
      </c>
      <c r="J69" s="20"/>
    </row>
    <row r="70">
      <c r="A70" s="35" t="s">
        <v>123</v>
      </c>
      <c r="B70" s="44">
        <v>8148</v>
      </c>
      <c r="C70" s="44">
        <v>8527</v>
      </c>
      <c r="D70" s="44">
        <v>8941</v>
      </c>
      <c r="E70" s="44">
        <v>9305</v>
      </c>
      <c r="F70" s="45">
        <f>E70</f>
        <v>9305</v>
      </c>
      <c r="G70" s="44">
        <v>9739</v>
      </c>
      <c r="H70" s="44">
        <v>10187</v>
      </c>
      <c r="I70" s="52">
        <f>I64+I67+I69</f>
        <v>10617</v>
      </c>
      <c r="J70" s="20" t="s">
        <v>118</v>
      </c>
    </row>
    <row r="71">
      <c r="A71" s="9" t="s">
        <v>124</v>
      </c>
      <c r="B71" s="40">
        <f>AVERAGE(B64,B70)</f>
        <v>7987</v>
      </c>
      <c r="C71" s="40">
        <f>AVERAGE(C64,C70)</f>
        <v>8337.5</v>
      </c>
      <c r="D71" s="40">
        <f>AVERAGE(D64,D70)</f>
        <v>8734</v>
      </c>
      <c r="E71" s="40">
        <f>AVERAGE(E64,E70)</f>
        <v>9123</v>
      </c>
      <c r="F71" s="40">
        <f>AVERAGE(B71:E71)</f>
        <v>8545.375</v>
      </c>
      <c r="G71" s="40">
        <f>AVERAGE(G64,G70)</f>
        <v>9522</v>
      </c>
      <c r="H71" s="40">
        <f>AVERAGE(H64,H70)</f>
        <v>9963</v>
      </c>
      <c r="I71" s="41">
        <f>AVERAGE(I64,I70)</f>
        <v>10402</v>
      </c>
      <c r="J71" s="20"/>
    </row>
    <row r="72">
      <c r="A72" s="23" t="s">
        <v>125</v>
      </c>
      <c r="B72" s="29" t="s">
        <v>40</v>
      </c>
      <c r="C72" s="29" t="s">
        <v>40</v>
      </c>
      <c r="D72" s="29" t="s">
        <v>40</v>
      </c>
      <c r="E72" s="29" t="s">
        <v>40</v>
      </c>
      <c r="F72" s="29" t="s">
        <v>40</v>
      </c>
      <c r="G72" s="29">
        <f>IFERROR(G70/B70-1,"n.a.")</f>
        <v>0.19526264113892977</v>
      </c>
      <c r="H72" s="29">
        <f>IFERROR(H70/C70-1,"n.a.")</f>
        <v>0.19467573589773668</v>
      </c>
      <c r="I72" s="50">
        <f>IFERROR(I70/D70-1,"n.a.")</f>
        <v>0.18745106811318646</v>
      </c>
      <c r="J72" s="20"/>
    </row>
    <row r="73">
      <c r="A73" s="9" t="s">
        <v>126</v>
      </c>
      <c r="B73" s="40" t="s">
        <v>40</v>
      </c>
      <c r="C73" s="40" t="s">
        <v>40</v>
      </c>
      <c r="D73" s="40" t="s">
        <v>40</v>
      </c>
      <c r="E73" s="40" t="s">
        <v>40</v>
      </c>
      <c r="F73" s="40" t="s">
        <v>40</v>
      </c>
      <c r="G73" s="40">
        <f>IFERROR(G70-B70,"n.a.")</f>
        <v>1591</v>
      </c>
      <c r="H73" s="40">
        <f>IFERROR(H70-C70,"n.a.")</f>
        <v>1660</v>
      </c>
      <c r="I73" s="41">
        <f>IFERROR(I70-D70,"n.a.")</f>
        <v>1676</v>
      </c>
      <c r="J73" s="20"/>
    </row>
    <row r="74">
      <c r="A74" s="9" t="s">
        <v>127</v>
      </c>
      <c r="B74" s="40" t="s">
        <v>40</v>
      </c>
      <c r="C74" s="40">
        <f>IFERROR(C70-B70,"n.a.")</f>
        <v>379</v>
      </c>
      <c r="D74" s="40">
        <f>IFERROR(D70-C70,"n.a.")</f>
        <v>414</v>
      </c>
      <c r="E74" s="40">
        <f>IFERROR(E70-D70,"n.a.")</f>
        <v>364</v>
      </c>
      <c r="F74" s="40" t="s">
        <v>40</v>
      </c>
      <c r="G74" s="40">
        <f>IFERROR(G70-E70,"n.a.")</f>
        <v>434</v>
      </c>
      <c r="H74" s="40">
        <f>IFERROR(H70-G70,"n.a.")</f>
        <v>448</v>
      </c>
      <c r="I74" s="41">
        <f>IFERROR(I70-H70,"n.a.")</f>
        <v>430</v>
      </c>
      <c r="J74" s="20"/>
    </row>
    <row r="75">
      <c r="A75" s="23" t="s">
        <v>143</v>
      </c>
      <c r="B75" s="29">
        <f>B70/B55</f>
        <v>0.27913669064748203</v>
      </c>
      <c r="C75" s="29">
        <f>C70/C55</f>
        <v>0.29414605540032424</v>
      </c>
      <c r="D75" s="29">
        <f>D70/D55</f>
        <v>0.3094092812402672</v>
      </c>
      <c r="E75" s="29">
        <f>E70/E55</f>
        <v>0.32400153208677185</v>
      </c>
      <c r="F75" s="29">
        <f>F70/F55</f>
        <v>0.32400153208677185</v>
      </c>
      <c r="G75" s="29">
        <f>G70/G55</f>
        <v>0.33988273888462345</v>
      </c>
      <c r="H75" s="29">
        <f>H70/H55</f>
        <v>0.35761426665730534</v>
      </c>
      <c r="I75" s="50">
        <f>I70/I55</f>
        <v>0.3744841451800642</v>
      </c>
      <c r="J75" s="20"/>
    </row>
    <row r="76">
      <c r="A76" s="23" t="s">
        <v>139</v>
      </c>
      <c r="B76" s="51" t="s">
        <v>40</v>
      </c>
      <c r="C76" s="51" t="s">
        <v>40</v>
      </c>
      <c r="D76" s="51" t="s">
        <v>40</v>
      </c>
      <c r="E76" s="51" t="s">
        <v>40</v>
      </c>
      <c r="F76" s="51" t="s">
        <v>40</v>
      </c>
      <c r="G76" s="51">
        <f>IFERROR((G75-B75)*10000,"n.a.")</f>
        <v>607.4604823714142</v>
      </c>
      <c r="H76" s="51">
        <f>IFERROR((H75-C75)*10000,"n.a.")</f>
        <v>634.682112569811</v>
      </c>
      <c r="I76" s="46">
        <f>IFERROR((I75-D75)*10000,"n.a.")</f>
        <v>650.74863939797</v>
      </c>
      <c r="J76" s="20"/>
    </row>
    <row r="77">
      <c r="A77" s="23" t="s">
        <v>140</v>
      </c>
      <c r="B77" s="51" t="s">
        <v>40</v>
      </c>
      <c r="C77" s="51">
        <f>IFERROR((C75-B75)*10000,"n.a.")</f>
        <v>150.09364752842203</v>
      </c>
      <c r="D77" s="51">
        <f>IFERROR((D75-C75)*10000,"n.a.")</f>
        <v>152.6322583994294</v>
      </c>
      <c r="E77" s="51">
        <f>IFERROR((E75-D75)*10000,"n.a.")</f>
        <v>145.92250846504672</v>
      </c>
      <c r="F77" s="51" t="s">
        <v>40</v>
      </c>
      <c r="G77" s="51">
        <f>IFERROR((G75-E75)*10000,"n.a.")</f>
        <v>158.81206797851598</v>
      </c>
      <c r="H77" s="51">
        <f>IFERROR((H75-G75)*10000,"n.a.")</f>
        <v>177.31527772681886</v>
      </c>
      <c r="I77" s="46">
        <f>IFERROR((I75-H75)*10000,"n.a.")</f>
        <v>168.69878522758842</v>
      </c>
      <c r="J77" s="20"/>
    </row>
    <row r="78">
      <c r="A78" s="35" t="s">
        <v>144</v>
      </c>
      <c r="B78" s="33"/>
      <c r="C78" s="33"/>
      <c r="D78" s="33"/>
      <c r="E78" s="33"/>
      <c r="F78" s="33"/>
      <c r="G78" s="33"/>
      <c r="H78" s="33"/>
      <c r="I78" s="53"/>
      <c r="J78" s="20"/>
    </row>
    <row r="79">
      <c r="A79" s="9" t="s">
        <v>117</v>
      </c>
      <c r="B79" s="39">
        <v>12523</v>
      </c>
      <c r="C79" s="40">
        <f>B85</f>
        <v>12096</v>
      </c>
      <c r="D79" s="40">
        <f>C85</f>
        <v>11771</v>
      </c>
      <c r="E79" s="40">
        <f>D85</f>
        <v>11515</v>
      </c>
      <c r="F79" s="40">
        <f>B79</f>
        <v>12523</v>
      </c>
      <c r="G79" s="40">
        <f>E85</f>
        <v>11270</v>
      </c>
      <c r="H79" s="40">
        <f>G85</f>
        <v>10948</v>
      </c>
      <c r="I79" s="41">
        <f>H85</f>
        <v>10668</v>
      </c>
      <c r="J79" s="20" t="s">
        <v>118</v>
      </c>
    </row>
    <row r="80">
      <c r="A80" s="9" t="s">
        <v>129</v>
      </c>
      <c r="B80" s="40" t="s">
        <v>40</v>
      </c>
      <c r="C80" s="40" t="s">
        <v>40</v>
      </c>
      <c r="D80" s="40" t="s">
        <v>40</v>
      </c>
      <c r="E80" s="40" t="s">
        <v>40</v>
      </c>
      <c r="F80" s="40" t="s">
        <v>40</v>
      </c>
      <c r="G80" s="40" t="s">
        <v>40</v>
      </c>
      <c r="H80" s="40" t="s">
        <v>40</v>
      </c>
      <c r="I80" s="41" t="s">
        <v>40</v>
      </c>
      <c r="J80" s="20"/>
    </row>
    <row r="81">
      <c r="A81" s="9" t="s">
        <v>130</v>
      </c>
      <c r="B81" s="40" t="s">
        <v>40</v>
      </c>
      <c r="C81" s="40" t="s">
        <v>40</v>
      </c>
      <c r="D81" s="40" t="s">
        <v>40</v>
      </c>
      <c r="E81" s="40" t="s">
        <v>40</v>
      </c>
      <c r="F81" s="40" t="s">
        <v>40</v>
      </c>
      <c r="G81" s="40" t="s">
        <v>40</v>
      </c>
      <c r="H81" s="40" t="s">
        <v>40</v>
      </c>
      <c r="I81" s="41" t="s">
        <v>40</v>
      </c>
      <c r="J81" s="20"/>
    </row>
    <row r="82">
      <c r="A82" s="9" t="s">
        <v>131</v>
      </c>
      <c r="B82" s="39">
        <v>-427</v>
      </c>
      <c r="C82" s="39">
        <v>-325</v>
      </c>
      <c r="D82" s="39">
        <v>-257</v>
      </c>
      <c r="E82" s="39">
        <v>-245</v>
      </c>
      <c r="F82" s="40">
        <f>SUM(B82:E82)</f>
        <v>-1254</v>
      </c>
      <c r="G82" s="39">
        <v>-322</v>
      </c>
      <c r="H82" s="39">
        <v>-280</v>
      </c>
      <c r="I82" s="73">
        <v>-250</v>
      </c>
      <c r="J82" s="20" t="s">
        <v>145</v>
      </c>
    </row>
    <row r="83">
      <c r="A83" s="9" t="s">
        <v>121</v>
      </c>
      <c r="B83" s="40" t="s">
        <v>40</v>
      </c>
      <c r="C83" s="40" t="s">
        <v>40</v>
      </c>
      <c r="D83" s="40" t="s">
        <v>40</v>
      </c>
      <c r="E83" s="40" t="s">
        <v>40</v>
      </c>
      <c r="F83" s="40" t="s">
        <v>40</v>
      </c>
      <c r="G83" s="40">
        <f>IFERROR(G82-B82,"n.a.")</f>
        <v>105</v>
      </c>
      <c r="H83" s="40">
        <f>IFERROR(H82-C82,"n.a.")</f>
        <v>45</v>
      </c>
      <c r="I83" s="41">
        <f>IFERROR(I82-D82,"n.a.")</f>
        <v>7</v>
      </c>
      <c r="J83" s="20"/>
    </row>
    <row r="84">
      <c r="A84" s="9" t="s">
        <v>122</v>
      </c>
      <c r="B84" s="40">
        <f>B85-B79-B82</f>
        <v>0</v>
      </c>
      <c r="C84" s="40">
        <f>C85-C79-C82</f>
        <v>0</v>
      </c>
      <c r="D84" s="40">
        <f>D85-D79-D82</f>
        <v>1</v>
      </c>
      <c r="E84" s="40">
        <f>E85-E79-E82</f>
        <v>0</v>
      </c>
      <c r="F84" s="40">
        <f>SUM(B84:E84)</f>
        <v>1</v>
      </c>
      <c r="G84" s="40">
        <f>G85-G79-G82</f>
        <v>0</v>
      </c>
      <c r="H84" s="40">
        <f>H85-H79-H82</f>
        <v>0</v>
      </c>
      <c r="I84" s="73">
        <v>0</v>
      </c>
      <c r="J84" s="20"/>
    </row>
    <row r="85">
      <c r="A85" s="35" t="s">
        <v>123</v>
      </c>
      <c r="B85" s="44">
        <v>12096</v>
      </c>
      <c r="C85" s="44">
        <v>11771</v>
      </c>
      <c r="D85" s="44">
        <v>11515</v>
      </c>
      <c r="E85" s="44">
        <v>11270</v>
      </c>
      <c r="F85" s="45">
        <f>E85</f>
        <v>11270</v>
      </c>
      <c r="G85" s="44">
        <v>10948</v>
      </c>
      <c r="H85" s="44">
        <v>10668</v>
      </c>
      <c r="I85" s="52">
        <f>I79+I82+I84</f>
        <v>10418</v>
      </c>
      <c r="J85" s="20" t="s">
        <v>118</v>
      </c>
    </row>
    <row r="86">
      <c r="A86" s="9" t="s">
        <v>124</v>
      </c>
      <c r="B86" s="40">
        <f>AVERAGE(B79,B85)</f>
        <v>12309.5</v>
      </c>
      <c r="C86" s="40">
        <f>AVERAGE(C79,C85)</f>
        <v>11933.5</v>
      </c>
      <c r="D86" s="40">
        <f>AVERAGE(D79,D85)</f>
        <v>11643</v>
      </c>
      <c r="E86" s="40">
        <f>AVERAGE(E79,E85)</f>
        <v>11392.5</v>
      </c>
      <c r="F86" s="40">
        <f>AVERAGE(B86:E86)</f>
        <v>11819.625</v>
      </c>
      <c r="G86" s="40">
        <f>AVERAGE(G79,G85)</f>
        <v>11109</v>
      </c>
      <c r="H86" s="40">
        <f>AVERAGE(H79,H85)</f>
        <v>10808</v>
      </c>
      <c r="I86" s="41">
        <f>AVERAGE(I79,I85)</f>
        <v>10543</v>
      </c>
      <c r="J86" s="20"/>
    </row>
    <row r="87">
      <c r="A87" s="23" t="s">
        <v>125</v>
      </c>
      <c r="B87" s="29" t="s">
        <v>40</v>
      </c>
      <c r="C87" s="29" t="s">
        <v>40</v>
      </c>
      <c r="D87" s="29" t="s">
        <v>40</v>
      </c>
      <c r="E87" s="29" t="s">
        <v>40</v>
      </c>
      <c r="F87" s="29" t="s">
        <v>40</v>
      </c>
      <c r="G87" s="29">
        <f>IFERROR(G85/B85-1,"n.a.")</f>
        <v>-0.09490740740740744</v>
      </c>
      <c r="H87" s="29">
        <f>IFERROR(H85/C85-1,"n.a.")</f>
        <v>-0.09370486789567578</v>
      </c>
      <c r="I87" s="50">
        <f>IFERROR(I85/D85-1,"n.a.")</f>
        <v>-0.09526704298740774</v>
      </c>
      <c r="J87" s="20"/>
    </row>
    <row r="88">
      <c r="A88" s="9" t="s">
        <v>126</v>
      </c>
      <c r="B88" s="40" t="s">
        <v>40</v>
      </c>
      <c r="C88" s="40" t="s">
        <v>40</v>
      </c>
      <c r="D88" s="40" t="s">
        <v>40</v>
      </c>
      <c r="E88" s="40" t="s">
        <v>40</v>
      </c>
      <c r="F88" s="40" t="s">
        <v>40</v>
      </c>
      <c r="G88" s="40">
        <f>IFERROR(G85-B85,"n.a.")</f>
        <v>-1148</v>
      </c>
      <c r="H88" s="40">
        <f>IFERROR(H85-C85,"n.a.")</f>
        <v>-1103</v>
      </c>
      <c r="I88" s="41">
        <f>IFERROR(I85-D85,"n.a.")</f>
        <v>-1097</v>
      </c>
      <c r="J88" s="20"/>
    </row>
    <row r="89">
      <c r="A89" s="9" t="s">
        <v>127</v>
      </c>
      <c r="B89" s="40" t="s">
        <v>40</v>
      </c>
      <c r="C89" s="40">
        <f>IFERROR(C85-B85,"n.a.")</f>
        <v>-325</v>
      </c>
      <c r="D89" s="40">
        <f>IFERROR(D85-C85,"n.a.")</f>
        <v>-256</v>
      </c>
      <c r="E89" s="40">
        <f>IFERROR(E85-D85,"n.a.")</f>
        <v>-245</v>
      </c>
      <c r="F89" s="40" t="s">
        <v>40</v>
      </c>
      <c r="G89" s="40">
        <f>IFERROR(G85-E85,"n.a.")</f>
        <v>-322</v>
      </c>
      <c r="H89" s="40">
        <f>IFERROR(H85-G85,"n.a.")</f>
        <v>-280</v>
      </c>
      <c r="I89" s="41">
        <f>IFERROR(I85-H85,"n.a.")</f>
        <v>-250</v>
      </c>
      <c r="J89" s="20"/>
    </row>
    <row r="90">
      <c r="A90" s="23" t="s">
        <v>146</v>
      </c>
      <c r="B90" s="29">
        <f>B85/B55</f>
        <v>0.4143884892086331</v>
      </c>
      <c r="C90" s="29">
        <f>C85/C55</f>
        <v>0.4060505709062058</v>
      </c>
      <c r="D90" s="29">
        <f>D85/D55</f>
        <v>0.3984842717237083</v>
      </c>
      <c r="E90" s="29">
        <f>E85/E55</f>
        <v>0.3924231345102545</v>
      </c>
      <c r="F90" s="29">
        <f>F85/F55</f>
        <v>0.3924231345102545</v>
      </c>
      <c r="G90" s="29">
        <f>G85/G55</f>
        <v>0.38207580093529697</v>
      </c>
      <c r="H90" s="29">
        <f>H85/H55</f>
        <v>0.3744997542652531</v>
      </c>
      <c r="I90" s="50">
        <f>I85/I55</f>
        <v>0.3674649924164932</v>
      </c>
      <c r="J90" s="20"/>
    </row>
    <row r="91">
      <c r="A91" s="23" t="s">
        <v>139</v>
      </c>
      <c r="B91" s="51" t="s">
        <v>40</v>
      </c>
      <c r="C91" s="51" t="s">
        <v>40</v>
      </c>
      <c r="D91" s="51" t="s">
        <v>40</v>
      </c>
      <c r="E91" s="51" t="s">
        <v>40</v>
      </c>
      <c r="F91" s="51" t="s">
        <v>40</v>
      </c>
      <c r="G91" s="51">
        <f>IFERROR((G90-B90)*10000,"n.a.")</f>
        <v>-323.1268827333611</v>
      </c>
      <c r="H91" s="51">
        <f>IFERROR((H90-C90)*10000,"n.a.")</f>
        <v>-315.5081664095266</v>
      </c>
      <c r="I91" s="46">
        <f>IFERROR((I90-D90)*10000,"n.a.")</f>
        <v>-310.19279307215095</v>
      </c>
      <c r="J91" s="20"/>
    </row>
    <row r="92">
      <c r="A92" s="23" t="s">
        <v>140</v>
      </c>
      <c r="B92" s="51" t="s">
        <v>40</v>
      </c>
      <c r="C92" s="51">
        <f>IFERROR((C90-B90)*10000,"n.a.")</f>
        <v>-83.37918302427305</v>
      </c>
      <c r="D92" s="51">
        <f>IFERROR((D90-C90)*10000,"n.a.")</f>
        <v>-75.6629918249746</v>
      </c>
      <c r="E92" s="51">
        <f>IFERROR((E90-D90)*10000,"n.a.")</f>
        <v>-60.611372134538044</v>
      </c>
      <c r="F92" s="51" t="s">
        <v>40</v>
      </c>
      <c r="G92" s="51">
        <f>IFERROR((G90-E90)*10000,"n.a.")</f>
        <v>-103.4733357495754</v>
      </c>
      <c r="H92" s="51">
        <f>IFERROR((H90-G90)*10000,"n.a.")</f>
        <v>-75.76046670043857</v>
      </c>
      <c r="I92" s="46">
        <f>IFERROR((I90-H90)*10000,"n.a.")</f>
        <v>-70.34761848759896</v>
      </c>
      <c r="J92" s="20"/>
    </row>
    <row r="93">
      <c r="A93" s="9"/>
      <c r="B93" s="9"/>
      <c r="C93" s="9"/>
      <c r="D93" s="9"/>
      <c r="E93" s="9"/>
      <c r="F93" s="9"/>
      <c r="G93" s="9"/>
      <c r="H93" s="9"/>
      <c r="I93" s="69"/>
      <c r="J93" s="20"/>
    </row>
    <row r="94">
      <c r="A94" s="35" t="s">
        <v>147</v>
      </c>
      <c r="B94" s="33"/>
      <c r="C94" s="33"/>
      <c r="D94" s="33"/>
      <c r="E94" s="33"/>
      <c r="F94" s="33"/>
      <c r="G94" s="33"/>
      <c r="H94" s="33"/>
      <c r="I94" s="53"/>
      <c r="J94" s="20"/>
    </row>
    <row r="95">
      <c r="A95" s="9" t="s">
        <v>148</v>
      </c>
      <c r="B95" s="43">
        <f>B106/B56*1000/3</f>
        <v>76.03207941305375</v>
      </c>
      <c r="C95" s="43">
        <f>C106/C56*1000/3</f>
        <v>76.19014879366553</v>
      </c>
      <c r="D95" s="43">
        <f>D106/D56*1000/3</f>
        <v>75.43562634603647</v>
      </c>
      <c r="E95" s="43">
        <f>E106/E56*1000/3</f>
        <v>74.16921225585486</v>
      </c>
      <c r="F95" s="43">
        <f>F106/F56*1000/12</f>
        <v>75.46086587095182</v>
      </c>
      <c r="G95" s="43">
        <f>G106/G56*1000/3</f>
        <v>73.64672116384595</v>
      </c>
      <c r="H95" s="43">
        <f>H106/H56*1000/3</f>
        <v>73.27033018317583</v>
      </c>
      <c r="I95" s="61">
        <f>D95*(1+I96)</f>
        <v>72.87081505027123</v>
      </c>
      <c r="J95" s="20" t="s">
        <v>149</v>
      </c>
    </row>
    <row r="96">
      <c r="A96" s="23" t="s">
        <v>150</v>
      </c>
      <c r="B96" s="29" t="s">
        <v>40</v>
      </c>
      <c r="C96" s="29" t="s">
        <v>40</v>
      </c>
      <c r="D96" s="29" t="s">
        <v>40</v>
      </c>
      <c r="E96" s="29" t="s">
        <v>40</v>
      </c>
      <c r="F96" s="29" t="s">
        <v>40</v>
      </c>
      <c r="G96" s="29">
        <f>IFERROR(G95/B95-1,"n.a.")</f>
        <v>-0.03137305026538917</v>
      </c>
      <c r="H96" s="29">
        <f>IFERROR(H95/C95-1,"n.a.")</f>
        <v>-0.03832278393886601</v>
      </c>
      <c r="I96" s="48">
        <v>-0.034</v>
      </c>
      <c r="J96" s="20" t="s">
        <v>151</v>
      </c>
    </row>
    <row r="97">
      <c r="A97" s="9" t="s">
        <v>152</v>
      </c>
      <c r="B97" s="43" t="s">
        <v>40</v>
      </c>
      <c r="C97" s="43">
        <f>IFERROR(C95-B95,"n.a.")</f>
        <v>0.1580693806117779</v>
      </c>
      <c r="D97" s="43">
        <f>IFERROR(D95-C95,"n.a.")</f>
        <v>-0.7545224476290571</v>
      </c>
      <c r="E97" s="43">
        <f>IFERROR(E95-D95,"n.a.")</f>
        <v>-1.2664140901816126</v>
      </c>
      <c r="F97" s="43" t="s">
        <v>40</v>
      </c>
      <c r="G97" s="43">
        <f>IFERROR(G95-E95,"n.a.")</f>
        <v>-0.5224910920089059</v>
      </c>
      <c r="H97" s="43">
        <f>IFERROR(H95-G95,"n.a.")</f>
        <v>-0.37639098067012355</v>
      </c>
      <c r="I97" s="61">
        <f>IFERROR(I95-H95,"n.a.")</f>
        <v>-0.3995151329045967</v>
      </c>
      <c r="J97" s="20"/>
    </row>
    <row r="98">
      <c r="A98" s="9" t="s">
        <v>153</v>
      </c>
      <c r="B98" s="43">
        <f>B107/B71*1000/3</f>
        <v>35.47431242435625</v>
      </c>
      <c r="C98" s="43">
        <f>C107/C71*1000/3</f>
        <v>35.262368815592204</v>
      </c>
      <c r="D98" s="43">
        <f>D107/D71*1000/3</f>
        <v>34.92099839706893</v>
      </c>
      <c r="E98" s="43">
        <f>E107/E71*1000/3</f>
        <v>35.258869523913916</v>
      </c>
      <c r="F98" s="43">
        <f>F107/F71*1000/12</f>
        <v>35.223732135804454</v>
      </c>
      <c r="G98" s="43">
        <f>G107/G71*1000/3</f>
        <v>34.20149828467409</v>
      </c>
      <c r="H98" s="43">
        <f>H107/H71*1000/3</f>
        <v>33.69132456756666</v>
      </c>
      <c r="I98" s="61">
        <f>D98*(1+I99)</f>
        <v>33.873368445156856</v>
      </c>
      <c r="J98" s="20" t="s">
        <v>154</v>
      </c>
    </row>
    <row r="99">
      <c r="A99" s="23" t="s">
        <v>150</v>
      </c>
      <c r="B99" s="29" t="s">
        <v>40</v>
      </c>
      <c r="C99" s="29" t="s">
        <v>40</v>
      </c>
      <c r="D99" s="29" t="s">
        <v>40</v>
      </c>
      <c r="E99" s="29" t="s">
        <v>40</v>
      </c>
      <c r="F99" s="29" t="s">
        <v>40</v>
      </c>
      <c r="G99" s="29">
        <f>IFERROR(G98/B98-1,"n.a.")</f>
        <v>-0.03587988188344027</v>
      </c>
      <c r="H99" s="29">
        <f>IFERROR(H98/C98-1,"n.a.")</f>
        <v>-0.044552998020112144</v>
      </c>
      <c r="I99" s="48">
        <v>-0.03</v>
      </c>
      <c r="J99" s="20" t="s">
        <v>155</v>
      </c>
    </row>
    <row r="100">
      <c r="A100" s="9" t="s">
        <v>152</v>
      </c>
      <c r="B100" s="43" t="s">
        <v>40</v>
      </c>
      <c r="C100" s="43">
        <f>IFERROR(C98-B98,"n.a.")</f>
        <v>-0.21194360876404517</v>
      </c>
      <c r="D100" s="43">
        <f>IFERROR(D98-C98,"n.a.")</f>
        <v>-0.341370418523276</v>
      </c>
      <c r="E100" s="43">
        <f>IFERROR(E98-D98,"n.a.")</f>
        <v>0.33787112684498766</v>
      </c>
      <c r="F100" s="43" t="s">
        <v>40</v>
      </c>
      <c r="G100" s="43">
        <f>IFERROR(G98-E98,"n.a.")</f>
        <v>-1.0573712392398278</v>
      </c>
      <c r="H100" s="43">
        <f>IFERROR(H98-G98,"n.a.")</f>
        <v>-0.5101737171074276</v>
      </c>
      <c r="I100" s="61">
        <f>IFERROR(I98-H98,"n.a.")</f>
        <v>0.18204387759019625</v>
      </c>
      <c r="J100" s="20"/>
    </row>
    <row r="101">
      <c r="A101" s="9" t="s">
        <v>156</v>
      </c>
      <c r="B101" s="43">
        <f>B115/B86*1000/3</f>
        <v>178.7237499492262</v>
      </c>
      <c r="C101" s="43">
        <f>C115/C86*1000/3</f>
        <v>184.4946299632687</v>
      </c>
      <c r="D101" s="43">
        <f>D115/D86*1000/3</f>
        <v>185.37604855564146</v>
      </c>
      <c r="E101" s="43">
        <f>E115/E86*1000/3</f>
        <v>183.3369907102626</v>
      </c>
      <c r="F101" s="43">
        <f>F115/F86*1000/12</f>
        <v>182.93022550771846</v>
      </c>
      <c r="G101" s="43">
        <f>G115/G86*1000/3</f>
        <v>187.71566597653555</v>
      </c>
      <c r="H101" s="43">
        <f>H115/H86*1000/3</f>
        <v>187.88551690106098</v>
      </c>
      <c r="I101" s="61">
        <f>D101*(1+I102)</f>
        <v>188.15668928397608</v>
      </c>
      <c r="J101" s="20"/>
    </row>
    <row r="102">
      <c r="A102" s="23" t="s">
        <v>150</v>
      </c>
      <c r="B102" s="29" t="s">
        <v>40</v>
      </c>
      <c r="C102" s="29" t="s">
        <v>40</v>
      </c>
      <c r="D102" s="29" t="s">
        <v>40</v>
      </c>
      <c r="E102" s="29" t="s">
        <v>40</v>
      </c>
      <c r="F102" s="29" t="s">
        <v>40</v>
      </c>
      <c r="G102" s="29">
        <f>IFERROR(G101/B101-1,"n.a.")</f>
        <v>0.050311813790074655</v>
      </c>
      <c r="H102" s="29">
        <f>IFERROR(H101/C101-1,"n.a.")</f>
        <v>0.01837932593738567</v>
      </c>
      <c r="I102" s="48">
        <v>0.015</v>
      </c>
      <c r="J102" s="20" t="s">
        <v>157</v>
      </c>
    </row>
    <row r="103">
      <c r="A103" s="9" t="s">
        <v>152</v>
      </c>
      <c r="B103" s="43" t="s">
        <v>40</v>
      </c>
      <c r="C103" s="43">
        <f>IFERROR(C101-B101,"n.a.")</f>
        <v>5.77088001404249</v>
      </c>
      <c r="D103" s="43">
        <f>IFERROR(D101-C101,"n.a.")</f>
        <v>0.8814185923727678</v>
      </c>
      <c r="E103" s="43">
        <f>IFERROR(E101-D101,"n.a.")</f>
        <v>-2.0390578453788635</v>
      </c>
      <c r="F103" s="43" t="s">
        <v>40</v>
      </c>
      <c r="G103" s="43">
        <f>IFERROR(G101-E101,"n.a.")</f>
        <v>4.37867526627295</v>
      </c>
      <c r="H103" s="43">
        <f>IFERROR(H101-G101,"n.a.")</f>
        <v>0.16985092452543427</v>
      </c>
      <c r="I103" s="61">
        <f>IFERROR(I101-H101,"n.a.")</f>
        <v>0.27117238291509693</v>
      </c>
      <c r="J103" s="20"/>
    </row>
    <row r="104">
      <c r="A104" s="9"/>
      <c r="B104" s="9"/>
      <c r="C104" s="9"/>
      <c r="D104" s="9"/>
      <c r="E104" s="9"/>
      <c r="F104" s="9"/>
      <c r="G104" s="9"/>
      <c r="H104" s="9"/>
      <c r="I104" s="69"/>
      <c r="J104" s="20"/>
    </row>
    <row r="105">
      <c r="A105" s="35" t="s">
        <v>158</v>
      </c>
      <c r="B105" s="33"/>
      <c r="C105" s="33"/>
      <c r="D105" s="33"/>
      <c r="E105" s="33"/>
      <c r="F105" s="33"/>
      <c r="G105" s="33"/>
      <c r="H105" s="33"/>
      <c r="I105" s="53"/>
      <c r="J105" s="20"/>
    </row>
    <row r="106">
      <c r="A106" s="9" t="s">
        <v>159</v>
      </c>
      <c r="B106" s="39">
        <v>6679</v>
      </c>
      <c r="C106" s="39">
        <v>6649</v>
      </c>
      <c r="D106" s="39">
        <v>6550</v>
      </c>
      <c r="E106" s="39">
        <v>6410</v>
      </c>
      <c r="F106" s="40">
        <f>SUM(B106:E106)</f>
        <v>26288</v>
      </c>
      <c r="G106" s="39">
        <v>6338</v>
      </c>
      <c r="H106" s="39">
        <v>6280</v>
      </c>
      <c r="I106" s="41">
        <f>I95*I56*3/1000</f>
        <v>6212.637772518399</v>
      </c>
      <c r="J106" s="20" t="s">
        <v>118</v>
      </c>
    </row>
    <row r="107">
      <c r="A107" s="9" t="s">
        <v>160</v>
      </c>
      <c r="B107" s="39">
        <v>850</v>
      </c>
      <c r="C107" s="39">
        <v>882</v>
      </c>
      <c r="D107" s="39">
        <v>915</v>
      </c>
      <c r="E107" s="39">
        <v>965</v>
      </c>
      <c r="F107" s="40">
        <f>SUM(B107:E107)</f>
        <v>3612</v>
      </c>
      <c r="G107" s="39">
        <v>977</v>
      </c>
      <c r="H107" s="39">
        <v>1007</v>
      </c>
      <c r="I107" s="41">
        <f>I98*I71*3/1000</f>
        <v>1057.0523356995648</v>
      </c>
      <c r="J107" s="20" t="s">
        <v>118</v>
      </c>
    </row>
    <row r="108" ht="26.25">
      <c r="A108" s="113" t="s">
        <v>161</v>
      </c>
      <c r="B108" s="45">
        <f>B106+B107</f>
        <v>7529</v>
      </c>
      <c r="C108" s="45">
        <f>C106+C107</f>
        <v>7531</v>
      </c>
      <c r="D108" s="45">
        <f>D106+D107</f>
        <v>7465</v>
      </c>
      <c r="E108" s="45">
        <f>E106+E107</f>
        <v>7375</v>
      </c>
      <c r="F108" s="45">
        <f>SUM(B108:E108)</f>
        <v>29900</v>
      </c>
      <c r="G108" s="45">
        <f>G106+G107</f>
        <v>7315</v>
      </c>
      <c r="H108" s="45">
        <f>H106+H107</f>
        <v>7287</v>
      </c>
      <c r="I108" s="52">
        <f>I106+I107</f>
        <v>7269.690108217964</v>
      </c>
      <c r="J108" s="20"/>
    </row>
    <row r="109">
      <c r="A109" s="9" t="s">
        <v>162</v>
      </c>
      <c r="B109" s="39">
        <v>273</v>
      </c>
      <c r="C109" s="39">
        <v>313</v>
      </c>
      <c r="D109" s="39">
        <v>331</v>
      </c>
      <c r="E109" s="39">
        <v>438</v>
      </c>
      <c r="F109" s="40">
        <f>SUM(B109:E109)</f>
        <v>1355</v>
      </c>
      <c r="G109" s="39">
        <v>418</v>
      </c>
      <c r="H109" s="39">
        <v>404</v>
      </c>
      <c r="I109" s="41">
        <f>D109*(1+I110)</f>
        <v>397.2</v>
      </c>
      <c r="J109" s="20" t="s">
        <v>118</v>
      </c>
    </row>
    <row r="110">
      <c r="A110" s="23" t="s">
        <v>163</v>
      </c>
      <c r="B110" s="29" t="s">
        <v>40</v>
      </c>
      <c r="C110" s="29" t="s">
        <v>40</v>
      </c>
      <c r="D110" s="29" t="s">
        <v>40</v>
      </c>
      <c r="E110" s="29" t="s">
        <v>40</v>
      </c>
      <c r="F110" s="29" t="s">
        <v>40</v>
      </c>
      <c r="G110" s="29">
        <f>IFERROR(G109/B109-1,"n.a.")</f>
        <v>0.531135531135531</v>
      </c>
      <c r="H110" s="29">
        <f>IFERROR(H109/C109-1,"n.a.")</f>
        <v>0.29073482428115005</v>
      </c>
      <c r="I110" s="48">
        <v>0.2</v>
      </c>
      <c r="J110" s="20" t="s">
        <v>164</v>
      </c>
    </row>
    <row r="111" ht="26.25">
      <c r="A111" s="106" t="s">
        <v>165</v>
      </c>
      <c r="B111" s="39">
        <v>1132</v>
      </c>
      <c r="C111" s="39">
        <v>1219</v>
      </c>
      <c r="D111" s="39">
        <v>1275</v>
      </c>
      <c r="E111" s="39">
        <v>1337</v>
      </c>
      <c r="F111" s="40">
        <f>SUM(B111:E111)</f>
        <v>4963</v>
      </c>
      <c r="G111" s="39">
        <v>1240</v>
      </c>
      <c r="H111" s="39">
        <v>1246</v>
      </c>
      <c r="I111" s="41">
        <f>D111*(1+I112)*(1+I113)</f>
        <v>1287.6543749999998</v>
      </c>
      <c r="J111" s="20" t="s">
        <v>118</v>
      </c>
    </row>
    <row r="112">
      <c r="A112" s="23" t="s">
        <v>166</v>
      </c>
      <c r="B112" s="29" t="s">
        <v>40</v>
      </c>
      <c r="C112" s="29" t="s">
        <v>40</v>
      </c>
      <c r="D112" s="29" t="s">
        <v>40</v>
      </c>
      <c r="E112" s="29" t="s">
        <v>40</v>
      </c>
      <c r="F112" s="29" t="s">
        <v>40</v>
      </c>
      <c r="G112" s="29" t="s">
        <v>40</v>
      </c>
      <c r="H112" s="29" t="s">
        <v>40</v>
      </c>
      <c r="I112" s="48">
        <v>0.015</v>
      </c>
      <c r="J112" s="20" t="s">
        <v>167</v>
      </c>
    </row>
    <row r="113" ht="26.25">
      <c r="A113" s="116" t="s">
        <v>168</v>
      </c>
      <c r="B113" s="29" t="s">
        <v>40</v>
      </c>
      <c r="C113" s="29" t="s">
        <v>40</v>
      </c>
      <c r="D113" s="29" t="s">
        <v>40</v>
      </c>
      <c r="E113" s="29" t="s">
        <v>40</v>
      </c>
      <c r="F113" s="29" t="s">
        <v>40</v>
      </c>
      <c r="G113" s="29" t="s">
        <v>40</v>
      </c>
      <c r="H113" s="29" t="s">
        <v>40</v>
      </c>
      <c r="I113" s="48">
        <v>-0.005</v>
      </c>
      <c r="J113" s="20" t="s">
        <v>169</v>
      </c>
    </row>
    <row r="114">
      <c r="A114" s="35" t="s">
        <v>170</v>
      </c>
      <c r="B114" s="45">
        <f>B108+B109+B111</f>
        <v>8934</v>
      </c>
      <c r="C114" s="45">
        <f>C108+C109+C111</f>
        <v>9063</v>
      </c>
      <c r="D114" s="45">
        <f>D108+D109+D111</f>
        <v>9071</v>
      </c>
      <c r="E114" s="45">
        <f>E108+E109+E111</f>
        <v>9150</v>
      </c>
      <c r="F114" s="45">
        <f>SUM(B114:E114)</f>
        <v>36218</v>
      </c>
      <c r="G114" s="45">
        <f>G108+G109+G111</f>
        <v>8973</v>
      </c>
      <c r="H114" s="45">
        <f>H108+H109+H111</f>
        <v>8937</v>
      </c>
      <c r="I114" s="52">
        <f>I108+I109+I111</f>
        <v>8954.544483217964</v>
      </c>
      <c r="J114" s="20" t="s">
        <v>171</v>
      </c>
    </row>
    <row r="115">
      <c r="A115" s="9" t="s">
        <v>172</v>
      </c>
      <c r="B115" s="39">
        <v>6600</v>
      </c>
      <c r="C115" s="39">
        <v>6605</v>
      </c>
      <c r="D115" s="39">
        <v>6475</v>
      </c>
      <c r="E115" s="39">
        <v>6266</v>
      </c>
      <c r="F115" s="40">
        <f>SUM(B115:E115)</f>
        <v>25946</v>
      </c>
      <c r="G115" s="39">
        <v>6256</v>
      </c>
      <c r="H115" s="39">
        <v>6092</v>
      </c>
      <c r="I115" s="41">
        <f>I101*I86*3/1000</f>
        <v>5951.207925362879</v>
      </c>
      <c r="J115" s="20" t="s">
        <v>118</v>
      </c>
    </row>
    <row r="116">
      <c r="A116" s="9" t="s">
        <v>173</v>
      </c>
      <c r="B116" s="39">
        <v>899</v>
      </c>
      <c r="C116" s="39">
        <v>951</v>
      </c>
      <c r="D116" s="39">
        <v>893</v>
      </c>
      <c r="E116" s="39">
        <v>1067</v>
      </c>
      <c r="F116" s="40">
        <f>SUM(B116:E116)</f>
        <v>3810</v>
      </c>
      <c r="G116" s="39">
        <v>951</v>
      </c>
      <c r="H116" s="39">
        <v>962</v>
      </c>
      <c r="I116" s="41">
        <f>D116*(1+I117)</f>
        <v>937.6500000000001</v>
      </c>
      <c r="J116" s="20" t="s">
        <v>118</v>
      </c>
    </row>
    <row r="117">
      <c r="A117" s="23" t="s">
        <v>174</v>
      </c>
      <c r="B117" s="29" t="s">
        <v>40</v>
      </c>
      <c r="C117" s="29" t="s">
        <v>40</v>
      </c>
      <c r="D117" s="29" t="s">
        <v>40</v>
      </c>
      <c r="E117" s="29" t="s">
        <v>40</v>
      </c>
      <c r="F117" s="29" t="s">
        <v>40</v>
      </c>
      <c r="G117" s="29">
        <f>IFERROR(G116/B116-1,"n.a.")</f>
        <v>0.05784204671857629</v>
      </c>
      <c r="H117" s="29">
        <f>IFERROR(H116/C116-1,"n.a.")</f>
        <v>0.011566771819137678</v>
      </c>
      <c r="I117" s="48">
        <v>0.05</v>
      </c>
      <c r="J117" s="20" t="s">
        <v>175</v>
      </c>
    </row>
    <row r="118">
      <c r="A118" s="9" t="s">
        <v>176</v>
      </c>
      <c r="B118" s="39">
        <v>1233</v>
      </c>
      <c r="C118" s="39">
        <v>1219</v>
      </c>
      <c r="D118" s="39">
        <v>1197</v>
      </c>
      <c r="E118" s="39">
        <v>1209</v>
      </c>
      <c r="F118" s="40">
        <f>SUM(B118:E118)</f>
        <v>4858</v>
      </c>
      <c r="G118" s="39">
        <v>1143</v>
      </c>
      <c r="H118" s="39">
        <v>1133</v>
      </c>
      <c r="I118" s="41">
        <f>D118*(1+I119)</f>
        <v>1113.21</v>
      </c>
      <c r="J118" s="20" t="s">
        <v>177</v>
      </c>
    </row>
    <row r="119">
      <c r="A119" s="23" t="s">
        <v>178</v>
      </c>
      <c r="B119" s="29" t="s">
        <v>40</v>
      </c>
      <c r="C119" s="29" t="s">
        <v>40</v>
      </c>
      <c r="D119" s="29" t="s">
        <v>40</v>
      </c>
      <c r="E119" s="29" t="s">
        <v>40</v>
      </c>
      <c r="F119" s="29" t="s">
        <v>40</v>
      </c>
      <c r="G119" s="29">
        <f>IFERROR(G118/B118-1,"n.a.")</f>
        <v>-0.07299270072992703</v>
      </c>
      <c r="H119" s="29">
        <f>IFERROR(H118/C118-1,"n.a.")</f>
        <v>-0.07054963084495491</v>
      </c>
      <c r="I119" s="48">
        <v>-0.07</v>
      </c>
      <c r="J119" s="20" t="s">
        <v>179</v>
      </c>
    </row>
    <row r="120">
      <c r="A120" s="35" t="s">
        <v>180</v>
      </c>
      <c r="B120" s="45">
        <f>B114+B115+B116+B118</f>
        <v>17666</v>
      </c>
      <c r="C120" s="45">
        <f>C114+C115+C116+C118</f>
        <v>17838</v>
      </c>
      <c r="D120" s="45">
        <f>D114+D115+D116+D118</f>
        <v>17636</v>
      </c>
      <c r="E120" s="45">
        <f>E114+E115+E116+E118</f>
        <v>17692</v>
      </c>
      <c r="F120" s="45">
        <f>SUM(B120:E120)</f>
        <v>70832</v>
      </c>
      <c r="G120" s="45">
        <f>G114+G115+G116+G118</f>
        <v>17323</v>
      </c>
      <c r="H120" s="45">
        <f>H114+H115+H116+H118</f>
        <v>17124</v>
      </c>
      <c r="I120" s="52">
        <f>I114+I115+I116+I118</f>
        <v>16956.612408580844</v>
      </c>
      <c r="J120" s="20"/>
    </row>
    <row r="121">
      <c r="A121" s="9" t="s">
        <v>181</v>
      </c>
      <c r="B121" s="39">
        <v>17665</v>
      </c>
      <c r="C121" s="39">
        <v>17839</v>
      </c>
      <c r="D121" s="39">
        <v>17636</v>
      </c>
      <c r="E121" s="39">
        <v>17692</v>
      </c>
      <c r="F121" s="40">
        <f>SUM(B121:E121)</f>
        <v>70832</v>
      </c>
      <c r="G121" s="39">
        <v>17323</v>
      </c>
      <c r="H121" s="39">
        <v>17124</v>
      </c>
      <c r="I121" s="41" t="s">
        <v>40</v>
      </c>
      <c r="J121" s="20" t="s">
        <v>182</v>
      </c>
    </row>
    <row r="122">
      <c r="A122" s="9" t="s">
        <v>183</v>
      </c>
      <c r="B122" s="33" t="b">
        <f>ABS(B120-B121)&lt;=3</f>
        <v>1</v>
      </c>
      <c r="C122" s="33" t="b">
        <f>ABS(C120-C121)&lt;=3</f>
        <v>1</v>
      </c>
      <c r="D122" s="33" t="b">
        <f>ABS(D120-D121)&lt;=3</f>
        <v>1</v>
      </c>
      <c r="E122" s="33" t="b">
        <f>ABS(E120-E121)&lt;=3</f>
        <v>1</v>
      </c>
      <c r="F122" s="33" t="b">
        <f>ABS(F120-F121)&lt;=3</f>
        <v>1</v>
      </c>
      <c r="G122" s="33" t="b">
        <f>ABS(G120-G121)&lt;=3</f>
        <v>1</v>
      </c>
      <c r="H122" s="33" t="b">
        <f>ABS(H120-H121)&lt;=3</f>
        <v>1</v>
      </c>
      <c r="I122" s="53" t="s">
        <v>40</v>
      </c>
      <c r="J122" s="20" t="s">
        <v>184</v>
      </c>
    </row>
    <row r="123">
      <c r="A123" s="9"/>
      <c r="B123" s="9"/>
      <c r="C123" s="9"/>
      <c r="D123" s="9"/>
      <c r="E123" s="9"/>
      <c r="F123" s="9"/>
      <c r="G123" s="9"/>
      <c r="H123" s="9"/>
      <c r="I123" s="69"/>
      <c r="J123" s="20"/>
    </row>
    <row r="124">
      <c r="A124" s="35" t="s">
        <v>185</v>
      </c>
      <c r="B124" s="33"/>
      <c r="C124" s="33"/>
      <c r="D124" s="33"/>
      <c r="E124" s="33"/>
      <c r="F124" s="33"/>
      <c r="G124" s="33"/>
      <c r="H124" s="33"/>
      <c r="I124" s="53"/>
      <c r="J124" s="20"/>
    </row>
    <row r="125">
      <c r="A125" s="9" t="s">
        <v>159</v>
      </c>
      <c r="B125" s="40">
        <f>B106</f>
        <v>6679</v>
      </c>
      <c r="C125" s="40">
        <f>C106</f>
        <v>6649</v>
      </c>
      <c r="D125" s="40">
        <f>D106</f>
        <v>6550</v>
      </c>
      <c r="E125" s="40">
        <f>E106</f>
        <v>6410</v>
      </c>
      <c r="F125" s="40">
        <f>SUM(B125:E125)</f>
        <v>26288</v>
      </c>
      <c r="G125" s="40">
        <f>G106</f>
        <v>6338</v>
      </c>
      <c r="H125" s="40">
        <f>H106</f>
        <v>6280</v>
      </c>
      <c r="I125" s="41">
        <f>I106</f>
        <v>6212.637772518399</v>
      </c>
      <c r="J125" s="20"/>
    </row>
    <row r="126">
      <c r="A126" s="23" t="s">
        <v>186</v>
      </c>
      <c r="B126" s="29" t="s">
        <v>40</v>
      </c>
      <c r="C126" s="29" t="s">
        <v>40</v>
      </c>
      <c r="D126" s="29" t="s">
        <v>40</v>
      </c>
      <c r="E126" s="29" t="s">
        <v>40</v>
      </c>
      <c r="F126" s="29" t="s">
        <v>40</v>
      </c>
      <c r="G126" s="65">
        <v>-0.051</v>
      </c>
      <c r="H126" s="65">
        <v>-0.055</v>
      </c>
      <c r="I126" s="50" t="s">
        <v>40</v>
      </c>
      <c r="J126" s="20" t="s">
        <v>118</v>
      </c>
    </row>
    <row r="127">
      <c r="A127" s="23" t="s">
        <v>98</v>
      </c>
      <c r="B127" s="29" t="s">
        <v>40</v>
      </c>
      <c r="C127" s="29" t="s">
        <v>40</v>
      </c>
      <c r="D127" s="29" t="s">
        <v>40</v>
      </c>
      <c r="E127" s="29" t="s">
        <v>40</v>
      </c>
      <c r="F127" s="29" t="s">
        <v>40</v>
      </c>
      <c r="G127" s="29">
        <f>IFERROR(G125/B125-1,"n.a.")</f>
        <v>-0.05105554723761041</v>
      </c>
      <c r="H127" s="29">
        <f>IFERROR(H125/C125-1,"n.a.")</f>
        <v>-0.05549706722815462</v>
      </c>
      <c r="I127" s="50">
        <f>IFERROR(I125/D125-1,"n.a.")</f>
        <v>-0.0515056835849772</v>
      </c>
      <c r="J127" s="20"/>
    </row>
    <row r="128">
      <c r="A128" s="23" t="s">
        <v>99</v>
      </c>
      <c r="B128" s="29" t="s">
        <v>40</v>
      </c>
      <c r="C128" s="29" t="s">
        <v>40</v>
      </c>
      <c r="D128" s="29" t="s">
        <v>40</v>
      </c>
      <c r="E128" s="29" t="s">
        <v>40</v>
      </c>
      <c r="F128" s="29" t="s">
        <v>40</v>
      </c>
      <c r="G128" s="65">
        <v>0</v>
      </c>
      <c r="H128" s="65">
        <v>0</v>
      </c>
      <c r="I128" s="48">
        <v>0</v>
      </c>
      <c r="J128" s="20" t="s">
        <v>118</v>
      </c>
    </row>
    <row r="129">
      <c r="A129" s="23" t="s">
        <v>187</v>
      </c>
      <c r="B129" s="29" t="s">
        <v>40</v>
      </c>
      <c r="C129" s="29" t="s">
        <v>40</v>
      </c>
      <c r="D129" s="29" t="s">
        <v>40</v>
      </c>
      <c r="E129" s="29" t="s">
        <v>40</v>
      </c>
      <c r="F129" s="29" t="s">
        <v>40</v>
      </c>
      <c r="G129" s="29">
        <f>IFERROR((G125/B125)/(1+G126)-1,"n.a.")</f>
        <v>-0.00005853238947350903</v>
      </c>
      <c r="H129" s="29">
        <f>IFERROR((H125/C125)/(1+H126)-1,"n.a.")</f>
        <v>-0.0005259970668302083</v>
      </c>
      <c r="I129" s="48">
        <v>0</v>
      </c>
      <c r="J129" s="20" t="s">
        <v>188</v>
      </c>
    </row>
    <row r="130">
      <c r="A130" s="23" t="s">
        <v>103</v>
      </c>
      <c r="B130" s="29" t="s">
        <v>40</v>
      </c>
      <c r="C130" s="29" t="s">
        <v>40</v>
      </c>
      <c r="D130" s="29" t="s">
        <v>40</v>
      </c>
      <c r="E130" s="29" t="s">
        <v>40</v>
      </c>
      <c r="F130" s="29" t="s">
        <v>40</v>
      </c>
      <c r="G130" s="29">
        <f>IFERROR(IF(OR(ISTEXT(G127),ISTEXT(G128),ISTEXT(G129)),"n.a.",(1+G127)/((1+G128)*(1+G129))-1),"n.a.")</f>
        <v>-0.051000000000000045</v>
      </c>
      <c r="H130" s="29">
        <f>IFERROR(IF(OR(ISTEXT(H127),ISTEXT(H128),ISTEXT(H129)),"n.a.",(1+H127)/((1+H128)*(1+H129))-1),"n.a.")</f>
        <v>-0.05500000000000005</v>
      </c>
      <c r="I130" s="50">
        <f>IFERROR(IF(OR(ISTEXT(I127),ISTEXT(I128),ISTEXT(I129)),"n.a.",(1+I127)/((1+I128)*(1+I129))-1),"n.a.")</f>
        <v>-0.0515056835849772</v>
      </c>
      <c r="J130" s="20"/>
    </row>
    <row r="131">
      <c r="A131" s="9" t="s">
        <v>189</v>
      </c>
      <c r="B131" s="40" t="s">
        <v>40</v>
      </c>
      <c r="C131" s="40">
        <f>IFERROR(C125-B125,"n.a.")</f>
        <v>-30</v>
      </c>
      <c r="D131" s="40">
        <f>IFERROR(D125-C125,"n.a.")</f>
        <v>-99</v>
      </c>
      <c r="E131" s="40">
        <f>IFERROR(E125-D125,"n.a.")</f>
        <v>-140</v>
      </c>
      <c r="F131" s="40" t="s">
        <v>40</v>
      </c>
      <c r="G131" s="40">
        <f>IFERROR(G125-E125,"n.a.")</f>
        <v>-72</v>
      </c>
      <c r="H131" s="40">
        <f>IFERROR(H125-G125,"n.a.")</f>
        <v>-58</v>
      </c>
      <c r="I131" s="41">
        <f>IFERROR(I125-H125,"n.a.")</f>
        <v>-67.36222748160071</v>
      </c>
      <c r="J131" s="20"/>
    </row>
    <row r="132">
      <c r="A132" s="9" t="s">
        <v>160</v>
      </c>
      <c r="B132" s="40">
        <f>B107</f>
        <v>850</v>
      </c>
      <c r="C132" s="40">
        <f>C107</f>
        <v>882</v>
      </c>
      <c r="D132" s="40">
        <f>D107</f>
        <v>915</v>
      </c>
      <c r="E132" s="40">
        <f>E107</f>
        <v>965</v>
      </c>
      <c r="F132" s="40">
        <f>SUM(B132:E132)</f>
        <v>3612</v>
      </c>
      <c r="G132" s="40">
        <f>G107</f>
        <v>977</v>
      </c>
      <c r="H132" s="40">
        <f>H107</f>
        <v>1007</v>
      </c>
      <c r="I132" s="41">
        <f>I107</f>
        <v>1057.0523356995648</v>
      </c>
      <c r="J132" s="20"/>
    </row>
    <row r="133">
      <c r="A133" s="23" t="s">
        <v>186</v>
      </c>
      <c r="B133" s="29" t="s">
        <v>40</v>
      </c>
      <c r="C133" s="29" t="s">
        <v>40</v>
      </c>
      <c r="D133" s="29" t="s">
        <v>40</v>
      </c>
      <c r="E133" s="29" t="s">
        <v>40</v>
      </c>
      <c r="F133" s="29" t="s">
        <v>40</v>
      </c>
      <c r="G133" s="65">
        <v>0.15</v>
      </c>
      <c r="H133" s="65">
        <v>0.142</v>
      </c>
      <c r="I133" s="50" t="s">
        <v>40</v>
      </c>
      <c r="J133" s="20" t="s">
        <v>118</v>
      </c>
    </row>
    <row r="134">
      <c r="A134" s="23" t="s">
        <v>98</v>
      </c>
      <c r="B134" s="29" t="s">
        <v>40</v>
      </c>
      <c r="C134" s="29" t="s">
        <v>40</v>
      </c>
      <c r="D134" s="29" t="s">
        <v>40</v>
      </c>
      <c r="E134" s="29" t="s">
        <v>40</v>
      </c>
      <c r="F134" s="29" t="s">
        <v>40</v>
      </c>
      <c r="G134" s="29">
        <f>IFERROR(G132/B132-1,"n.a.")</f>
        <v>0.14941176470588236</v>
      </c>
      <c r="H134" s="29">
        <f>IFERROR(H132/C132-1,"n.a.")</f>
        <v>0.14172335600907027</v>
      </c>
      <c r="I134" s="50">
        <f>IFERROR(I132/D132-1,"n.a.")</f>
        <v>0.15524845431646428</v>
      </c>
      <c r="J134" s="20"/>
    </row>
    <row r="135">
      <c r="A135" s="23" t="s">
        <v>99</v>
      </c>
      <c r="B135" s="29" t="s">
        <v>40</v>
      </c>
      <c r="C135" s="29" t="s">
        <v>40</v>
      </c>
      <c r="D135" s="29" t="s">
        <v>40</v>
      </c>
      <c r="E135" s="29" t="s">
        <v>40</v>
      </c>
      <c r="F135" s="29" t="s">
        <v>40</v>
      </c>
      <c r="G135" s="65">
        <v>0</v>
      </c>
      <c r="H135" s="65">
        <v>0</v>
      </c>
      <c r="I135" s="48">
        <v>0</v>
      </c>
      <c r="J135" s="20" t="s">
        <v>118</v>
      </c>
    </row>
    <row r="136">
      <c r="A136" s="23" t="s">
        <v>187</v>
      </c>
      <c r="B136" s="29" t="s">
        <v>40</v>
      </c>
      <c r="C136" s="29" t="s">
        <v>40</v>
      </c>
      <c r="D136" s="29" t="s">
        <v>40</v>
      </c>
      <c r="E136" s="29" t="s">
        <v>40</v>
      </c>
      <c r="F136" s="29" t="s">
        <v>40</v>
      </c>
      <c r="G136" s="29">
        <f>IFERROR((G132/B132)/(1+G133)-1,"n.a.")</f>
        <v>-0.000511508951406614</v>
      </c>
      <c r="H136" s="29">
        <f>IFERROR((H132/C132)/(1+H133)-1,"n.a.")</f>
        <v>-0.00024224517594539918</v>
      </c>
      <c r="I136" s="48">
        <v>0</v>
      </c>
      <c r="J136" s="20" t="s">
        <v>188</v>
      </c>
    </row>
    <row r="137">
      <c r="A137" s="23" t="s">
        <v>103</v>
      </c>
      <c r="B137" s="29" t="s">
        <v>40</v>
      </c>
      <c r="C137" s="29" t="s">
        <v>40</v>
      </c>
      <c r="D137" s="29" t="s">
        <v>40</v>
      </c>
      <c r="E137" s="29" t="s">
        <v>40</v>
      </c>
      <c r="F137" s="29" t="s">
        <v>40</v>
      </c>
      <c r="G137" s="29">
        <f>IFERROR(IF(OR(ISTEXT(G134),ISTEXT(G135),ISTEXT(G136)),"n.a.",(1+G134)/((1+G135)*(1+G136))-1),"n.a.")</f>
        <v>0.1499999999999999</v>
      </c>
      <c r="H137" s="29">
        <f>IFERROR(IF(OR(ISTEXT(H134),ISTEXT(H135),ISTEXT(H136)),"n.a.",(1+H134)/((1+H135)*(1+H136))-1),"n.a.")</f>
        <v>0.1419999999999999</v>
      </c>
      <c r="I137" s="50">
        <f>IFERROR(IF(OR(ISTEXT(I134),ISTEXT(I135),ISTEXT(I136)),"n.a.",(1+I134)/((1+I135)*(1+I136))-1),"n.a.")</f>
        <v>0.15524845431646428</v>
      </c>
      <c r="J137" s="20"/>
    </row>
    <row r="138">
      <c r="A138" s="9" t="s">
        <v>189</v>
      </c>
      <c r="B138" s="40" t="s">
        <v>40</v>
      </c>
      <c r="C138" s="40">
        <f>IFERROR(C132-B132,"n.a.")</f>
        <v>32</v>
      </c>
      <c r="D138" s="40">
        <f>IFERROR(D132-C132,"n.a.")</f>
        <v>33</v>
      </c>
      <c r="E138" s="40">
        <f>IFERROR(E132-D132,"n.a.")</f>
        <v>50</v>
      </c>
      <c r="F138" s="40" t="s">
        <v>40</v>
      </c>
      <c r="G138" s="40">
        <f>IFERROR(G132-E132,"n.a.")</f>
        <v>12</v>
      </c>
      <c r="H138" s="40">
        <f>IFERROR(H132-G132,"n.a.")</f>
        <v>30</v>
      </c>
      <c r="I138" s="41">
        <f>IFERROR(I132-H132,"n.a.")</f>
        <v>50.052335699564765</v>
      </c>
      <c r="J138" s="20"/>
    </row>
    <row r="139">
      <c r="A139" s="9" t="s">
        <v>190</v>
      </c>
      <c r="B139" s="40">
        <f>B108</f>
        <v>7529</v>
      </c>
      <c r="C139" s="40">
        <f>C108</f>
        <v>7531</v>
      </c>
      <c r="D139" s="40">
        <f>D108</f>
        <v>7465</v>
      </c>
      <c r="E139" s="40">
        <f>E108</f>
        <v>7375</v>
      </c>
      <c r="F139" s="40">
        <f>SUM(B139:E139)</f>
        <v>29900</v>
      </c>
      <c r="G139" s="40">
        <f>G108</f>
        <v>7315</v>
      </c>
      <c r="H139" s="40">
        <f>H108</f>
        <v>7287</v>
      </c>
      <c r="I139" s="41">
        <f>I108</f>
        <v>7269.690108217964</v>
      </c>
      <c r="J139" s="20"/>
    </row>
    <row r="140">
      <c r="A140" s="23" t="s">
        <v>186</v>
      </c>
      <c r="B140" s="29" t="s">
        <v>40</v>
      </c>
      <c r="C140" s="29" t="s">
        <v>40</v>
      </c>
      <c r="D140" s="29" t="s">
        <v>40</v>
      </c>
      <c r="E140" s="29" t="s">
        <v>40</v>
      </c>
      <c r="F140" s="29" t="s">
        <v>40</v>
      </c>
      <c r="G140" s="65">
        <v>-0.028</v>
      </c>
      <c r="H140" s="65">
        <v>-0.032</v>
      </c>
      <c r="I140" s="50" t="s">
        <v>40</v>
      </c>
      <c r="J140" s="20" t="s">
        <v>118</v>
      </c>
    </row>
    <row r="141">
      <c r="A141" s="23" t="s">
        <v>98</v>
      </c>
      <c r="B141" s="29" t="s">
        <v>40</v>
      </c>
      <c r="C141" s="29" t="s">
        <v>40</v>
      </c>
      <c r="D141" s="29" t="s">
        <v>40</v>
      </c>
      <c r="E141" s="29" t="s">
        <v>40</v>
      </c>
      <c r="F141" s="29" t="s">
        <v>40</v>
      </c>
      <c r="G141" s="29">
        <f>IFERROR(G139/B139-1,"n.a.")</f>
        <v>-0.02842342940629561</v>
      </c>
      <c r="H141" s="29">
        <f>IFERROR(H139/C139-1,"n.a.")</f>
        <v>-0.03239941574824057</v>
      </c>
      <c r="I141" s="50">
        <f>IFERROR(I139/D139-1,"n.a.")</f>
        <v>-0.026163414840192356</v>
      </c>
      <c r="J141" s="20"/>
    </row>
    <row r="142">
      <c r="A142" s="23" t="s">
        <v>99</v>
      </c>
      <c r="B142" s="29" t="s">
        <v>40</v>
      </c>
      <c r="C142" s="29" t="s">
        <v>40</v>
      </c>
      <c r="D142" s="29" t="s">
        <v>40</v>
      </c>
      <c r="E142" s="29" t="s">
        <v>40</v>
      </c>
      <c r="F142" s="29" t="s">
        <v>40</v>
      </c>
      <c r="G142" s="65">
        <v>0</v>
      </c>
      <c r="H142" s="65">
        <v>0</v>
      </c>
      <c r="I142" s="48">
        <v>0</v>
      </c>
      <c r="J142" s="20" t="s">
        <v>118</v>
      </c>
    </row>
    <row r="143">
      <c r="A143" s="23" t="s">
        <v>187</v>
      </c>
      <c r="B143" s="29" t="s">
        <v>40</v>
      </c>
      <c r="C143" s="29" t="s">
        <v>40</v>
      </c>
      <c r="D143" s="29" t="s">
        <v>40</v>
      </c>
      <c r="E143" s="29" t="s">
        <v>40</v>
      </c>
      <c r="F143" s="29" t="s">
        <v>40</v>
      </c>
      <c r="G143" s="29">
        <f>IFERROR((G139/B139)/(1+G140)-1,"n.a.")</f>
        <v>-0.00043562696120946764</v>
      </c>
      <c r="H143" s="29">
        <f>IFERROR((H139/C139)/(1+H140)-1,"n.a.")</f>
        <v>-0.00041261957462868093</v>
      </c>
      <c r="I143" s="48">
        <v>0</v>
      </c>
      <c r="J143" s="20" t="s">
        <v>188</v>
      </c>
    </row>
    <row r="144">
      <c r="A144" s="23" t="s">
        <v>103</v>
      </c>
      <c r="B144" s="29" t="s">
        <v>40</v>
      </c>
      <c r="C144" s="29" t="s">
        <v>40</v>
      </c>
      <c r="D144" s="29" t="s">
        <v>40</v>
      </c>
      <c r="E144" s="29" t="s">
        <v>40</v>
      </c>
      <c r="F144" s="29" t="s">
        <v>40</v>
      </c>
      <c r="G144" s="29">
        <f>IFERROR(IF(OR(ISTEXT(G141),ISTEXT(G142),ISTEXT(G143)),"n.a.",(1+G141)/((1+G142)*(1+G143))-1),"n.a.")</f>
        <v>-0.028000000000000025</v>
      </c>
      <c r="H144" s="29">
        <f>IFERROR(IF(OR(ISTEXT(H141),ISTEXT(H142),ISTEXT(H143)),"n.a.",(1+H141)/((1+H142)*(1+H143))-1),"n.a.")</f>
        <v>-0.03200000000000003</v>
      </c>
      <c r="I144" s="50">
        <f>IFERROR(IF(OR(ISTEXT(I141),ISTEXT(I142),ISTEXT(I143)),"n.a.",(1+I141)/((1+I142)*(1+I143))-1),"n.a.")</f>
        <v>-0.026163414840192356</v>
      </c>
      <c r="J144" s="20"/>
    </row>
    <row r="145">
      <c r="A145" s="9" t="s">
        <v>189</v>
      </c>
      <c r="B145" s="40" t="s">
        <v>40</v>
      </c>
      <c r="C145" s="40">
        <f>IFERROR(C139-B139,"n.a.")</f>
        <v>2</v>
      </c>
      <c r="D145" s="40">
        <f>IFERROR(D139-C139,"n.a.")</f>
        <v>-66</v>
      </c>
      <c r="E145" s="40">
        <f>IFERROR(E139-D139,"n.a.")</f>
        <v>-90</v>
      </c>
      <c r="F145" s="40" t="s">
        <v>40</v>
      </c>
      <c r="G145" s="40">
        <f>IFERROR(G139-E139,"n.a.")</f>
        <v>-60</v>
      </c>
      <c r="H145" s="40">
        <f>IFERROR(H139-G139,"n.a.")</f>
        <v>-28</v>
      </c>
      <c r="I145" s="41">
        <f>IFERROR(I139-H139,"n.a.")</f>
        <v>-17.309891782036175</v>
      </c>
      <c r="J145" s="20"/>
    </row>
    <row r="146">
      <c r="A146" s="9" t="s">
        <v>162</v>
      </c>
      <c r="B146" s="40">
        <f>B109</f>
        <v>273</v>
      </c>
      <c r="C146" s="40">
        <f>C109</f>
        <v>313</v>
      </c>
      <c r="D146" s="40">
        <f>D109</f>
        <v>331</v>
      </c>
      <c r="E146" s="40">
        <f>E109</f>
        <v>438</v>
      </c>
      <c r="F146" s="40">
        <f>SUM(B146:E146)</f>
        <v>1355</v>
      </c>
      <c r="G146" s="40">
        <f>G109</f>
        <v>418</v>
      </c>
      <c r="H146" s="40">
        <f>H109</f>
        <v>404</v>
      </c>
      <c r="I146" s="41">
        <f>I109</f>
        <v>397.2</v>
      </c>
      <c r="J146" s="20"/>
    </row>
    <row r="147">
      <c r="A147" s="23" t="s">
        <v>186</v>
      </c>
      <c r="B147" s="29" t="s">
        <v>40</v>
      </c>
      <c r="C147" s="29" t="s">
        <v>40</v>
      </c>
      <c r="D147" s="29" t="s">
        <v>40</v>
      </c>
      <c r="E147" s="29" t="s">
        <v>40</v>
      </c>
      <c r="F147" s="29" t="s">
        <v>40</v>
      </c>
      <c r="G147" s="65">
        <v>0.529</v>
      </c>
      <c r="H147" s="65">
        <v>0.288</v>
      </c>
      <c r="I147" s="50" t="s">
        <v>40</v>
      </c>
      <c r="J147" s="20" t="s">
        <v>118</v>
      </c>
    </row>
    <row r="148">
      <c r="A148" s="23" t="s">
        <v>98</v>
      </c>
      <c r="B148" s="29" t="s">
        <v>40</v>
      </c>
      <c r="C148" s="29" t="s">
        <v>40</v>
      </c>
      <c r="D148" s="29" t="s">
        <v>40</v>
      </c>
      <c r="E148" s="29" t="s">
        <v>40</v>
      </c>
      <c r="F148" s="29" t="s">
        <v>40</v>
      </c>
      <c r="G148" s="29">
        <f>IFERROR(G146/B146-1,"n.a.")</f>
        <v>0.531135531135531</v>
      </c>
      <c r="H148" s="29">
        <f>IFERROR(H146/C146-1,"n.a.")</f>
        <v>0.29073482428115005</v>
      </c>
      <c r="I148" s="50">
        <f>IFERROR(I146/D146-1,"n.a.")</f>
        <v>0.19999999999999996</v>
      </c>
      <c r="J148" s="20"/>
    </row>
    <row r="149">
      <c r="A149" s="23" t="s">
        <v>99</v>
      </c>
      <c r="B149" s="29" t="s">
        <v>40</v>
      </c>
      <c r="C149" s="29" t="s">
        <v>40</v>
      </c>
      <c r="D149" s="29" t="s">
        <v>40</v>
      </c>
      <c r="E149" s="29" t="s">
        <v>40</v>
      </c>
      <c r="F149" s="29" t="s">
        <v>40</v>
      </c>
      <c r="G149" s="65">
        <v>0</v>
      </c>
      <c r="H149" s="65">
        <v>0</v>
      </c>
      <c r="I149" s="48">
        <v>0</v>
      </c>
      <c r="J149" s="20" t="s">
        <v>118</v>
      </c>
    </row>
    <row r="150">
      <c r="A150" s="23" t="s">
        <v>187</v>
      </c>
      <c r="B150" s="29" t="s">
        <v>40</v>
      </c>
      <c r="C150" s="29" t="s">
        <v>40</v>
      </c>
      <c r="D150" s="29" t="s">
        <v>40</v>
      </c>
      <c r="E150" s="29" t="s">
        <v>40</v>
      </c>
      <c r="F150" s="29" t="s">
        <v>40</v>
      </c>
      <c r="G150" s="29">
        <f>IFERROR((G146/B146)/(1+G147)-1,"n.a.")</f>
        <v>0.0013966848499222806</v>
      </c>
      <c r="H150" s="29">
        <f>IFERROR((H146/C146)/(1+H147)-1,"n.a.")</f>
        <v>0.0021233107772904436</v>
      </c>
      <c r="I150" s="48">
        <v>0</v>
      </c>
      <c r="J150" s="20" t="s">
        <v>188</v>
      </c>
    </row>
    <row r="151">
      <c r="A151" s="23" t="s">
        <v>103</v>
      </c>
      <c r="B151" s="29" t="s">
        <v>40</v>
      </c>
      <c r="C151" s="29" t="s">
        <v>40</v>
      </c>
      <c r="D151" s="29" t="s">
        <v>40</v>
      </c>
      <c r="E151" s="29" t="s">
        <v>40</v>
      </c>
      <c r="F151" s="29" t="s">
        <v>40</v>
      </c>
      <c r="G151" s="29">
        <f>IFERROR(IF(OR(ISTEXT(G148),ISTEXT(G149),ISTEXT(G150)),"n.a.",(1+G148)/((1+G149)*(1+G150))-1),"n.a.")</f>
        <v>0.5289999999999999</v>
      </c>
      <c r="H151" s="29">
        <f>IFERROR(IF(OR(ISTEXT(H148),ISTEXT(H149),ISTEXT(H150)),"n.a.",(1+H148)/((1+H149)*(1+H150))-1),"n.a.")</f>
        <v>0.28800000000000003</v>
      </c>
      <c r="I151" s="50">
        <f>IFERROR(IF(OR(ISTEXT(I148),ISTEXT(I149),ISTEXT(I150)),"n.a.",(1+I148)/((1+I149)*(1+I150))-1),"n.a.")</f>
        <v>0.19999999999999996</v>
      </c>
      <c r="J151" s="20"/>
    </row>
    <row r="152">
      <c r="A152" s="9" t="s">
        <v>189</v>
      </c>
      <c r="B152" s="40" t="s">
        <v>40</v>
      </c>
      <c r="C152" s="40">
        <f>IFERROR(C146-B146,"n.a.")</f>
        <v>40</v>
      </c>
      <c r="D152" s="40">
        <f>IFERROR(D146-C146,"n.a.")</f>
        <v>18</v>
      </c>
      <c r="E152" s="40">
        <f>IFERROR(E146-D146,"n.a.")</f>
        <v>107</v>
      </c>
      <c r="F152" s="40" t="s">
        <v>40</v>
      </c>
      <c r="G152" s="40">
        <f>IFERROR(G146-E146,"n.a.")</f>
        <v>-20</v>
      </c>
      <c r="H152" s="40">
        <f>IFERROR(H146-G146,"n.a.")</f>
        <v>-14</v>
      </c>
      <c r="I152" s="41">
        <f>IFERROR(I146-H146,"n.a.")</f>
        <v>-6.800000000000011</v>
      </c>
      <c r="J152" s="20"/>
    </row>
    <row r="153">
      <c r="A153" s="9" t="s">
        <v>191</v>
      </c>
      <c r="B153" s="40">
        <f>B111</f>
        <v>1132</v>
      </c>
      <c r="C153" s="40">
        <f>C111</f>
        <v>1219</v>
      </c>
      <c r="D153" s="40">
        <f>D111</f>
        <v>1275</v>
      </c>
      <c r="E153" s="40">
        <f>E111</f>
        <v>1337</v>
      </c>
      <c r="F153" s="40">
        <f>SUM(B153:E153)</f>
        <v>4963</v>
      </c>
      <c r="G153" s="40">
        <f>G111</f>
        <v>1240</v>
      </c>
      <c r="H153" s="40">
        <f>H111</f>
        <v>1246</v>
      </c>
      <c r="I153" s="41">
        <f>I111</f>
        <v>1287.6543749999998</v>
      </c>
      <c r="J153" s="20"/>
    </row>
    <row r="154">
      <c r="A154" s="23" t="s">
        <v>186</v>
      </c>
      <c r="B154" s="29" t="s">
        <v>40</v>
      </c>
      <c r="C154" s="29" t="s">
        <v>40</v>
      </c>
      <c r="D154" s="29" t="s">
        <v>40</v>
      </c>
      <c r="E154" s="29" t="s">
        <v>40</v>
      </c>
      <c r="F154" s="29" t="s">
        <v>40</v>
      </c>
      <c r="G154" s="65">
        <v>0.02</v>
      </c>
      <c r="H154" s="65">
        <v>0.013</v>
      </c>
      <c r="I154" s="50" t="s">
        <v>40</v>
      </c>
      <c r="J154" s="20" t="s">
        <v>118</v>
      </c>
    </row>
    <row r="155">
      <c r="A155" s="23" t="s">
        <v>98</v>
      </c>
      <c r="B155" s="29" t="s">
        <v>40</v>
      </c>
      <c r="C155" s="29" t="s">
        <v>40</v>
      </c>
      <c r="D155" s="29" t="s">
        <v>40</v>
      </c>
      <c r="E155" s="29" t="s">
        <v>40</v>
      </c>
      <c r="F155" s="29" t="s">
        <v>40</v>
      </c>
      <c r="G155" s="29">
        <f>IFERROR(G153/B153-1,"n.a.")</f>
        <v>0.09540636042402828</v>
      </c>
      <c r="H155" s="29">
        <f>IFERROR(H153/C153-1,"n.a.")</f>
        <v>0.02214930270713711</v>
      </c>
      <c r="I155" s="50">
        <f>IFERROR(I153/D153-1,"n.a.")</f>
        <v>0.009924999999999962</v>
      </c>
      <c r="J155" s="20"/>
    </row>
    <row r="156">
      <c r="A156" s="23" t="s">
        <v>99</v>
      </c>
      <c r="B156" s="29" t="s">
        <v>40</v>
      </c>
      <c r="C156" s="29" t="s">
        <v>40</v>
      </c>
      <c r="D156" s="29" t="s">
        <v>40</v>
      </c>
      <c r="E156" s="29" t="s">
        <v>40</v>
      </c>
      <c r="F156" s="29" t="s">
        <v>40</v>
      </c>
      <c r="G156" s="65">
        <v>0</v>
      </c>
      <c r="H156" s="65">
        <v>0</v>
      </c>
      <c r="I156" s="48">
        <v>0</v>
      </c>
      <c r="J156" s="20" t="s">
        <v>118</v>
      </c>
    </row>
    <row r="157">
      <c r="A157" s="23" t="s">
        <v>106</v>
      </c>
      <c r="B157" s="29" t="s">
        <v>40</v>
      </c>
      <c r="C157" s="29" t="s">
        <v>40</v>
      </c>
      <c r="D157" s="29" t="s">
        <v>40</v>
      </c>
      <c r="E157" s="29" t="s">
        <v>40</v>
      </c>
      <c r="F157" s="29" t="s">
        <v>40</v>
      </c>
      <c r="G157" s="29">
        <f>IFERROR((G153/B153)/(1+G154)-1,"n.a.")</f>
        <v>0.07392780433728263</v>
      </c>
      <c r="H157" s="29">
        <f>IFERROR((H153/C153)/(1+H154)-1,"n.a.")</f>
        <v>0.00903188816104361</v>
      </c>
      <c r="I157" s="50">
        <f>I113</f>
        <v>-0.005</v>
      </c>
      <c r="J157" s="20"/>
    </row>
    <row r="158">
      <c r="A158" s="23" t="s">
        <v>103</v>
      </c>
      <c r="B158" s="29" t="s">
        <v>40</v>
      </c>
      <c r="C158" s="29" t="s">
        <v>40</v>
      </c>
      <c r="D158" s="29" t="s">
        <v>40</v>
      </c>
      <c r="E158" s="29" t="s">
        <v>40</v>
      </c>
      <c r="F158" s="29" t="s">
        <v>40</v>
      </c>
      <c r="G158" s="29">
        <f>IFERROR(IF(OR(ISTEXT(G155),ISTEXT(G156),ISTEXT(G157)),"n.a.",(1+G155)/((1+G156)*(1+G157))-1),"n.a.")</f>
        <v>0.020000000000000018</v>
      </c>
      <c r="H158" s="29">
        <f>IFERROR(IF(OR(ISTEXT(H155),ISTEXT(H156),ISTEXT(H157)),"n.a.",(1+H155)/((1+H156)*(1+H157))-1),"n.a.")</f>
        <v>0.0129999999999999</v>
      </c>
      <c r="I158" s="50">
        <f>IFERROR(IF(OR(ISTEXT(I155),ISTEXT(I156),ISTEXT(I157)),"n.a.",(1+I155)/((1+I156)*(1+I157))-1),"n.a.")</f>
        <v>0.014999999999999902</v>
      </c>
      <c r="J158" s="20"/>
    </row>
    <row r="159">
      <c r="A159" s="9" t="s">
        <v>189</v>
      </c>
      <c r="B159" s="40" t="s">
        <v>40</v>
      </c>
      <c r="C159" s="40">
        <f>IFERROR(C153-B153,"n.a.")</f>
        <v>87</v>
      </c>
      <c r="D159" s="40">
        <f>IFERROR(D153-C153,"n.a.")</f>
        <v>56</v>
      </c>
      <c r="E159" s="40">
        <f>IFERROR(E153-D153,"n.a.")</f>
        <v>62</v>
      </c>
      <c r="F159" s="40" t="s">
        <v>40</v>
      </c>
      <c r="G159" s="40">
        <f>IFERROR(G153-E153,"n.a.")</f>
        <v>-97</v>
      </c>
      <c r="H159" s="40">
        <f>IFERROR(H153-G153,"n.a.")</f>
        <v>6</v>
      </c>
      <c r="I159" s="41">
        <f>IFERROR(I153-H153,"n.a.")</f>
        <v>41.654374999999845</v>
      </c>
      <c r="J159" s="20"/>
    </row>
    <row r="160">
      <c r="A160" s="35" t="s">
        <v>170</v>
      </c>
      <c r="B160" s="45">
        <f>B114</f>
        <v>8934</v>
      </c>
      <c r="C160" s="45">
        <f>C114</f>
        <v>9063</v>
      </c>
      <c r="D160" s="45">
        <f>D114</f>
        <v>9071</v>
      </c>
      <c r="E160" s="45">
        <f>E114</f>
        <v>9150</v>
      </c>
      <c r="F160" s="45">
        <f>SUM(B160:E160)</f>
        <v>36218</v>
      </c>
      <c r="G160" s="45">
        <f>G114</f>
        <v>8973</v>
      </c>
      <c r="H160" s="45">
        <f>H114</f>
        <v>8937</v>
      </c>
      <c r="I160" s="52">
        <f>I114</f>
        <v>8954.544483217964</v>
      </c>
      <c r="J160" s="20"/>
    </row>
    <row r="161">
      <c r="A161" s="23" t="s">
        <v>186</v>
      </c>
      <c r="B161" s="29" t="s">
        <v>40</v>
      </c>
      <c r="C161" s="29" t="s">
        <v>40</v>
      </c>
      <c r="D161" s="29" t="s">
        <v>40</v>
      </c>
      <c r="E161" s="29" t="s">
        <v>40</v>
      </c>
      <c r="F161" s="29" t="s">
        <v>40</v>
      </c>
      <c r="G161" s="65">
        <v>-0.005</v>
      </c>
      <c r="H161" s="65">
        <v>-0.015</v>
      </c>
      <c r="I161" s="50" t="s">
        <v>40</v>
      </c>
      <c r="J161" s="20" t="s">
        <v>118</v>
      </c>
    </row>
    <row r="162">
      <c r="A162" s="23" t="s">
        <v>98</v>
      </c>
      <c r="B162" s="29" t="s">
        <v>40</v>
      </c>
      <c r="C162" s="29" t="s">
        <v>40</v>
      </c>
      <c r="D162" s="29" t="s">
        <v>40</v>
      </c>
      <c r="E162" s="29" t="s">
        <v>40</v>
      </c>
      <c r="F162" s="29" t="s">
        <v>40</v>
      </c>
      <c r="G162" s="29">
        <f>IFERROR(G160/B160-1,"n.a.")</f>
        <v>0.004365345869711268</v>
      </c>
      <c r="H162" s="29">
        <f>IFERROR(H160/C160-1,"n.a.")</f>
        <v>-0.013902681231380387</v>
      </c>
      <c r="I162" s="50">
        <f>IFERROR(I160/D160-1,"n.a.")</f>
        <v>-0.012838222553415934</v>
      </c>
      <c r="J162" s="20"/>
    </row>
    <row r="163">
      <c r="A163" s="23" t="s">
        <v>99</v>
      </c>
      <c r="B163" s="29" t="s">
        <v>40</v>
      </c>
      <c r="C163" s="29" t="s">
        <v>40</v>
      </c>
      <c r="D163" s="29" t="s">
        <v>40</v>
      </c>
      <c r="E163" s="29" t="s">
        <v>40</v>
      </c>
      <c r="F163" s="29" t="s">
        <v>40</v>
      </c>
      <c r="G163" s="65">
        <v>0</v>
      </c>
      <c r="H163" s="65">
        <v>0</v>
      </c>
      <c r="I163" s="48">
        <v>0</v>
      </c>
      <c r="J163" s="20" t="s">
        <v>118</v>
      </c>
    </row>
    <row r="164">
      <c r="A164" s="23" t="s">
        <v>106</v>
      </c>
      <c r="B164" s="29" t="s">
        <v>40</v>
      </c>
      <c r="C164" s="29" t="s">
        <v>40</v>
      </c>
      <c r="D164" s="29" t="s">
        <v>40</v>
      </c>
      <c r="E164" s="29" t="s">
        <v>40</v>
      </c>
      <c r="F164" s="29" t="s">
        <v>40</v>
      </c>
      <c r="G164" s="29">
        <f>IFERROR((G160/B160)/(1+G161)-1,"n.a.")</f>
        <v>0.009412407909257459</v>
      </c>
      <c r="H164" s="29">
        <f>IFERROR((H160/C160)/(1+H161)-1,"n.a.")</f>
        <v>0.001114029206720435</v>
      </c>
      <c r="I164" s="50">
        <f>I113*D111/D114</f>
        <v>-0.0007027891081468416</v>
      </c>
      <c r="J164" s="20"/>
    </row>
    <row r="165">
      <c r="A165" s="23" t="s">
        <v>103</v>
      </c>
      <c r="B165" s="29" t="s">
        <v>40</v>
      </c>
      <c r="C165" s="29" t="s">
        <v>40</v>
      </c>
      <c r="D165" s="29" t="s">
        <v>40</v>
      </c>
      <c r="E165" s="29" t="s">
        <v>40</v>
      </c>
      <c r="F165" s="29" t="s">
        <v>40</v>
      </c>
      <c r="G165" s="29">
        <f>IFERROR(IF(OR(ISTEXT(G162),ISTEXT(G163),ISTEXT(G164)),"n.a.",(1+G162)/((1+G163)*(1+G164))-1),"n.a.")</f>
        <v>-0.004999999999999893</v>
      </c>
      <c r="H165" s="29">
        <f>IFERROR(IF(OR(ISTEXT(H162),ISTEXT(H163),ISTEXT(H164)),"n.a.",(1+H162)/((1+H163)*(1+H164))-1),"n.a.")</f>
        <v>-0.015000000000000013</v>
      </c>
      <c r="I165" s="50">
        <f>IFERROR(IF(OR(ISTEXT(I162),ISTEXT(I163),ISTEXT(I164)),"n.a.",(1+I162)/((1+I163)*(1+I164))-1),"n.a.")</f>
        <v>-0.01214396809377516</v>
      </c>
      <c r="J165" s="20"/>
    </row>
    <row r="166">
      <c r="A166" s="9" t="s">
        <v>189</v>
      </c>
      <c r="B166" s="40" t="s">
        <v>40</v>
      </c>
      <c r="C166" s="40">
        <f>IFERROR(C160-B160,"n.a.")</f>
        <v>129</v>
      </c>
      <c r="D166" s="40">
        <f>IFERROR(D160-C160,"n.a.")</f>
        <v>8</v>
      </c>
      <c r="E166" s="40">
        <f>IFERROR(E160-D160,"n.a.")</f>
        <v>79</v>
      </c>
      <c r="F166" s="40" t="s">
        <v>40</v>
      </c>
      <c r="G166" s="40">
        <f>IFERROR(G160-E160,"n.a.")</f>
        <v>-177</v>
      </c>
      <c r="H166" s="40">
        <f>IFERROR(H160-G160,"n.a.")</f>
        <v>-36</v>
      </c>
      <c r="I166" s="41">
        <f>IFERROR(I160-H160,"n.a.")</f>
        <v>17.544483217963716</v>
      </c>
      <c r="J166" s="20"/>
    </row>
    <row r="167">
      <c r="A167" s="9" t="s">
        <v>172</v>
      </c>
      <c r="B167" s="40">
        <f>B115</f>
        <v>6600</v>
      </c>
      <c r="C167" s="40">
        <f>C115</f>
        <v>6605</v>
      </c>
      <c r="D167" s="40">
        <f>D115</f>
        <v>6475</v>
      </c>
      <c r="E167" s="40">
        <f>E115</f>
        <v>6266</v>
      </c>
      <c r="F167" s="40">
        <f>SUM(B167:E167)</f>
        <v>25946</v>
      </c>
      <c r="G167" s="40">
        <f>G115</f>
        <v>6256</v>
      </c>
      <c r="H167" s="40">
        <f>H115</f>
        <v>6092</v>
      </c>
      <c r="I167" s="41">
        <f>I115</f>
        <v>5951.207925362879</v>
      </c>
      <c r="J167" s="20"/>
    </row>
    <row r="168">
      <c r="A168" s="23" t="s">
        <v>186</v>
      </c>
      <c r="B168" s="29" t="s">
        <v>40</v>
      </c>
      <c r="C168" s="29" t="s">
        <v>40</v>
      </c>
      <c r="D168" s="29" t="s">
        <v>40</v>
      </c>
      <c r="E168" s="29" t="s">
        <v>40</v>
      </c>
      <c r="F168" s="29" t="s">
        <v>40</v>
      </c>
      <c r="G168" s="65">
        <v>-0.076</v>
      </c>
      <c r="H168" s="65">
        <v>-0.082</v>
      </c>
      <c r="I168" s="50" t="s">
        <v>40</v>
      </c>
      <c r="J168" s="20" t="s">
        <v>118</v>
      </c>
    </row>
    <row r="169">
      <c r="A169" s="23" t="s">
        <v>98</v>
      </c>
      <c r="B169" s="29" t="s">
        <v>40</v>
      </c>
      <c r="C169" s="29" t="s">
        <v>40</v>
      </c>
      <c r="D169" s="29" t="s">
        <v>40</v>
      </c>
      <c r="E169" s="29" t="s">
        <v>40</v>
      </c>
      <c r="F169" s="29" t="s">
        <v>40</v>
      </c>
      <c r="G169" s="29">
        <f>IFERROR(G167/B167-1,"n.a.")</f>
        <v>-0.052121212121212124</v>
      </c>
      <c r="H169" s="29">
        <f>IFERROR(H167/C167-1,"n.a.")</f>
        <v>-0.07766843300529902</v>
      </c>
      <c r="I169" s="50">
        <f>IFERROR(I167/D167-1,"n.a.")</f>
        <v>-0.08089452890148585</v>
      </c>
      <c r="J169" s="20"/>
    </row>
    <row r="170">
      <c r="A170" s="23" t="s">
        <v>99</v>
      </c>
      <c r="B170" s="29" t="s">
        <v>40</v>
      </c>
      <c r="C170" s="29" t="s">
        <v>40</v>
      </c>
      <c r="D170" s="29" t="s">
        <v>40</v>
      </c>
      <c r="E170" s="29" t="s">
        <v>40</v>
      </c>
      <c r="F170" s="29" t="s">
        <v>40</v>
      </c>
      <c r="G170" s="65">
        <v>0</v>
      </c>
      <c r="H170" s="65">
        <v>0</v>
      </c>
      <c r="I170" s="48">
        <v>0</v>
      </c>
      <c r="J170" s="20" t="s">
        <v>118</v>
      </c>
    </row>
    <row r="171">
      <c r="A171" s="23" t="s">
        <v>106</v>
      </c>
      <c r="B171" s="29" t="s">
        <v>40</v>
      </c>
      <c r="C171" s="29" t="s">
        <v>40</v>
      </c>
      <c r="D171" s="29" t="s">
        <v>40</v>
      </c>
      <c r="E171" s="29" t="s">
        <v>40</v>
      </c>
      <c r="F171" s="29" t="s">
        <v>40</v>
      </c>
      <c r="G171" s="29">
        <f>IFERROR((G167/B167)/(1+G168)-1,"n.a.")</f>
        <v>0.02584284402466208</v>
      </c>
      <c r="H171" s="29">
        <f>IFERROR((H167/C167)/(1+H168)-1,"n.a.")</f>
        <v>0.00471848256503371</v>
      </c>
      <c r="I171" s="50" t="s">
        <v>40</v>
      </c>
      <c r="J171" s="20"/>
    </row>
    <row r="172">
      <c r="A172" s="23" t="s">
        <v>103</v>
      </c>
      <c r="B172" s="29" t="s">
        <v>40</v>
      </c>
      <c r="C172" s="29" t="s">
        <v>40</v>
      </c>
      <c r="D172" s="29" t="s">
        <v>40</v>
      </c>
      <c r="E172" s="29" t="s">
        <v>40</v>
      </c>
      <c r="F172" s="29" t="s">
        <v>40</v>
      </c>
      <c r="G172" s="29">
        <f>IFERROR(IF(OR(ISTEXT(G169),ISTEXT(G170),ISTEXT(G171)),"n.a.",(1+G169)/((1+G170)*(1+G171))-1),"n.a.")</f>
        <v>-0.07599999999999985</v>
      </c>
      <c r="H172" s="29">
        <f>IFERROR(IF(OR(ISTEXT(H169),ISTEXT(H170),ISTEXT(H171)),"n.a.",(1+H169)/((1+H170)*(1+H171))-1),"n.a.")</f>
        <v>-0.08199999999999996</v>
      </c>
      <c r="I172" s="50" t="str">
        <f>IFERROR(IF(OR(ISTEXT(I169),ISTEXT(I170),ISTEXT(I171)),"n.a.",(1+I169)/((1+I170)*(1+I171))-1),"n.a.")</f>
        <v>n.a.</v>
      </c>
      <c r="J172" s="20"/>
    </row>
    <row r="173">
      <c r="A173" s="9" t="s">
        <v>189</v>
      </c>
      <c r="B173" s="40" t="s">
        <v>40</v>
      </c>
      <c r="C173" s="40">
        <f>IFERROR(C167-B167,"n.a.")</f>
        <v>5</v>
      </c>
      <c r="D173" s="40">
        <f>IFERROR(D167-C167,"n.a.")</f>
        <v>-130</v>
      </c>
      <c r="E173" s="40">
        <f>IFERROR(E167-D167,"n.a.")</f>
        <v>-209</v>
      </c>
      <c r="F173" s="40" t="s">
        <v>40</v>
      </c>
      <c r="G173" s="40">
        <f>IFERROR(G167-E167,"n.a.")</f>
        <v>-10</v>
      </c>
      <c r="H173" s="40">
        <f>IFERROR(H167-G167,"n.a.")</f>
        <v>-164</v>
      </c>
      <c r="I173" s="41">
        <f>IFERROR(I167-H167,"n.a.")</f>
        <v>-140.792074637121</v>
      </c>
      <c r="J173" s="20"/>
    </row>
    <row r="174">
      <c r="A174" s="9" t="s">
        <v>173</v>
      </c>
      <c r="B174" s="40">
        <f>B116</f>
        <v>899</v>
      </c>
      <c r="C174" s="40">
        <f>C116</f>
        <v>951</v>
      </c>
      <c r="D174" s="40">
        <f>D116</f>
        <v>893</v>
      </c>
      <c r="E174" s="40">
        <f>E116</f>
        <v>1067</v>
      </c>
      <c r="F174" s="40">
        <f>SUM(B174:E174)</f>
        <v>3810</v>
      </c>
      <c r="G174" s="40">
        <f>G116</f>
        <v>951</v>
      </c>
      <c r="H174" s="40">
        <f>H116</f>
        <v>962</v>
      </c>
      <c r="I174" s="41">
        <f>I116</f>
        <v>937.6500000000001</v>
      </c>
      <c r="J174" s="20"/>
    </row>
    <row r="175">
      <c r="A175" s="23" t="s">
        <v>186</v>
      </c>
      <c r="B175" s="29" t="s">
        <v>40</v>
      </c>
      <c r="C175" s="29" t="s">
        <v>40</v>
      </c>
      <c r="D175" s="29" t="s">
        <v>40</v>
      </c>
      <c r="E175" s="29" t="s">
        <v>40</v>
      </c>
      <c r="F175" s="29" t="s">
        <v>40</v>
      </c>
      <c r="G175" s="65">
        <v>0.029</v>
      </c>
      <c r="H175" s="65">
        <v>0.007</v>
      </c>
      <c r="I175" s="50" t="s">
        <v>40</v>
      </c>
      <c r="J175" s="20" t="s">
        <v>118</v>
      </c>
    </row>
    <row r="176">
      <c r="A176" s="23" t="s">
        <v>98</v>
      </c>
      <c r="B176" s="29" t="s">
        <v>40</v>
      </c>
      <c r="C176" s="29" t="s">
        <v>40</v>
      </c>
      <c r="D176" s="29" t="s">
        <v>40</v>
      </c>
      <c r="E176" s="29" t="s">
        <v>40</v>
      </c>
      <c r="F176" s="29" t="s">
        <v>40</v>
      </c>
      <c r="G176" s="29">
        <f>IFERROR(G174/B174-1,"n.a.")</f>
        <v>0.05784204671857629</v>
      </c>
      <c r="H176" s="29">
        <f>IFERROR(H174/C174-1,"n.a.")</f>
        <v>0.011566771819137678</v>
      </c>
      <c r="I176" s="50">
        <f>IFERROR(I174/D174-1,"n.a.")</f>
        <v>0.050000000000000044</v>
      </c>
      <c r="J176" s="20"/>
    </row>
    <row r="177">
      <c r="A177" s="23" t="s">
        <v>99</v>
      </c>
      <c r="B177" s="29" t="s">
        <v>40</v>
      </c>
      <c r="C177" s="29" t="s">
        <v>40</v>
      </c>
      <c r="D177" s="29" t="s">
        <v>40</v>
      </c>
      <c r="E177" s="29" t="s">
        <v>40</v>
      </c>
      <c r="F177" s="29" t="s">
        <v>40</v>
      </c>
      <c r="G177" s="65">
        <v>0</v>
      </c>
      <c r="H177" s="65">
        <v>0</v>
      </c>
      <c r="I177" s="48">
        <v>0</v>
      </c>
      <c r="J177" s="20" t="s">
        <v>118</v>
      </c>
    </row>
    <row r="178">
      <c r="A178" s="23" t="s">
        <v>106</v>
      </c>
      <c r="B178" s="29" t="s">
        <v>40</v>
      </c>
      <c r="C178" s="29" t="s">
        <v>40</v>
      </c>
      <c r="D178" s="29" t="s">
        <v>40</v>
      </c>
      <c r="E178" s="29" t="s">
        <v>40</v>
      </c>
      <c r="F178" s="29" t="s">
        <v>40</v>
      </c>
      <c r="G178" s="29">
        <f>IFERROR((G174/B174)/(1+G175)-1,"n.a.")</f>
        <v>0.02802919992087105</v>
      </c>
      <c r="H178" s="29">
        <f>IFERROR((H174/C174)/(1+H175)-1,"n.a.")</f>
        <v>0.004535026632708883</v>
      </c>
      <c r="I178" s="50" t="s">
        <v>40</v>
      </c>
      <c r="J178" s="20"/>
    </row>
    <row r="179">
      <c r="A179" s="23" t="s">
        <v>103</v>
      </c>
      <c r="B179" s="29" t="s">
        <v>40</v>
      </c>
      <c r="C179" s="29" t="s">
        <v>40</v>
      </c>
      <c r="D179" s="29" t="s">
        <v>40</v>
      </c>
      <c r="E179" s="29" t="s">
        <v>40</v>
      </c>
      <c r="F179" s="29" t="s">
        <v>40</v>
      </c>
      <c r="G179" s="29">
        <f>IFERROR(IF(OR(ISTEXT(G176),ISTEXT(G177),ISTEXT(G178)),"n.a.",(1+G176)/((1+G177)*(1+G178))-1),"n.a.")</f>
        <v>0.028999999999999915</v>
      </c>
      <c r="H179" s="29">
        <f>IFERROR(IF(OR(ISTEXT(H176),ISTEXT(H177),ISTEXT(H178)),"n.a.",(1+H176)/((1+H177)*(1+H178))-1),"n.a.")</f>
        <v>0.006999999999999895</v>
      </c>
      <c r="I179" s="50" t="str">
        <f>IFERROR(IF(OR(ISTEXT(I176),ISTEXT(I177),ISTEXT(I178)),"n.a.",(1+I176)/((1+I177)*(1+I178))-1),"n.a.")</f>
        <v>n.a.</v>
      </c>
      <c r="J179" s="20"/>
    </row>
    <row r="180">
      <c r="A180" s="9" t="s">
        <v>189</v>
      </c>
      <c r="B180" s="40" t="s">
        <v>40</v>
      </c>
      <c r="C180" s="40">
        <f>IFERROR(C174-B174,"n.a.")</f>
        <v>52</v>
      </c>
      <c r="D180" s="40">
        <f>IFERROR(D174-C174,"n.a.")</f>
        <v>-58</v>
      </c>
      <c r="E180" s="40">
        <f>IFERROR(E174-D174,"n.a.")</f>
        <v>174</v>
      </c>
      <c r="F180" s="40" t="s">
        <v>40</v>
      </c>
      <c r="G180" s="40">
        <f>IFERROR(G174-E174,"n.a.")</f>
        <v>-116</v>
      </c>
      <c r="H180" s="40">
        <f>IFERROR(H174-G174,"n.a.")</f>
        <v>11</v>
      </c>
      <c r="I180" s="41">
        <f>IFERROR(I174-H174,"n.a.")</f>
        <v>-24.34999999999991</v>
      </c>
      <c r="J180" s="20"/>
    </row>
    <row r="181">
      <c r="A181" s="9" t="s">
        <v>176</v>
      </c>
      <c r="B181" s="40">
        <f>B118</f>
        <v>1233</v>
      </c>
      <c r="C181" s="40">
        <f>C118</f>
        <v>1219</v>
      </c>
      <c r="D181" s="40">
        <f>D118</f>
        <v>1197</v>
      </c>
      <c r="E181" s="40">
        <f>E118</f>
        <v>1209</v>
      </c>
      <c r="F181" s="40">
        <f>SUM(B181:E181)</f>
        <v>4858</v>
      </c>
      <c r="G181" s="40">
        <f>G118</f>
        <v>1143</v>
      </c>
      <c r="H181" s="40">
        <f>H118</f>
        <v>1133</v>
      </c>
      <c r="I181" s="41">
        <f>I118</f>
        <v>1113.21</v>
      </c>
      <c r="J181" s="20"/>
    </row>
    <row r="182">
      <c r="A182" s="23" t="s">
        <v>186</v>
      </c>
      <c r="B182" s="29" t="s">
        <v>40</v>
      </c>
      <c r="C182" s="29" t="s">
        <v>40</v>
      </c>
      <c r="D182" s="29" t="s">
        <v>40</v>
      </c>
      <c r="E182" s="29" t="s">
        <v>40</v>
      </c>
      <c r="F182" s="29" t="s">
        <v>40</v>
      </c>
      <c r="G182" s="65">
        <v>-0.089</v>
      </c>
      <c r="H182" s="65">
        <v>-0.072</v>
      </c>
      <c r="I182" s="50" t="s">
        <v>40</v>
      </c>
      <c r="J182" s="20" t="s">
        <v>118</v>
      </c>
    </row>
    <row r="183">
      <c r="A183" s="23" t="s">
        <v>98</v>
      </c>
      <c r="B183" s="29" t="s">
        <v>40</v>
      </c>
      <c r="C183" s="29" t="s">
        <v>40</v>
      </c>
      <c r="D183" s="29" t="s">
        <v>40</v>
      </c>
      <c r="E183" s="29" t="s">
        <v>40</v>
      </c>
      <c r="F183" s="29" t="s">
        <v>40</v>
      </c>
      <c r="G183" s="29">
        <f>IFERROR(G181/B181-1,"n.a.")</f>
        <v>-0.07299270072992703</v>
      </c>
      <c r="H183" s="29">
        <f>IFERROR(H181/C181-1,"n.a.")</f>
        <v>-0.07054963084495491</v>
      </c>
      <c r="I183" s="50">
        <f>IFERROR(I181/D181-1,"n.a.")</f>
        <v>-0.06999999999999995</v>
      </c>
      <c r="J183" s="20"/>
    </row>
    <row r="184">
      <c r="A184" s="23" t="s">
        <v>99</v>
      </c>
      <c r="B184" s="29" t="s">
        <v>40</v>
      </c>
      <c r="C184" s="29" t="s">
        <v>40</v>
      </c>
      <c r="D184" s="29" t="s">
        <v>40</v>
      </c>
      <c r="E184" s="29" t="s">
        <v>40</v>
      </c>
      <c r="F184" s="29" t="s">
        <v>40</v>
      </c>
      <c r="G184" s="65">
        <v>0</v>
      </c>
      <c r="H184" s="65">
        <v>0</v>
      </c>
      <c r="I184" s="48">
        <v>0</v>
      </c>
      <c r="J184" s="20" t="s">
        <v>118</v>
      </c>
    </row>
    <row r="185">
      <c r="A185" s="23" t="s">
        <v>106</v>
      </c>
      <c r="B185" s="29" t="s">
        <v>40</v>
      </c>
      <c r="C185" s="29" t="s">
        <v>40</v>
      </c>
      <c r="D185" s="29" t="s">
        <v>40</v>
      </c>
      <c r="E185" s="29" t="s">
        <v>40</v>
      </c>
      <c r="F185" s="29" t="s">
        <v>40</v>
      </c>
      <c r="G185" s="29">
        <f>IFERROR((G181/B181)/(1+G182)-1,"n.a.")</f>
        <v>0.017571129824448972</v>
      </c>
      <c r="H185" s="29">
        <f>IFERROR((H181/C181)/(1+H182)-1,"n.a.")</f>
        <v>0.0015628977963846324</v>
      </c>
      <c r="I185" s="50" t="s">
        <v>40</v>
      </c>
      <c r="J185" s="20"/>
    </row>
    <row r="186">
      <c r="A186" s="23" t="s">
        <v>103</v>
      </c>
      <c r="B186" s="29" t="s">
        <v>40</v>
      </c>
      <c r="C186" s="29" t="s">
        <v>40</v>
      </c>
      <c r="D186" s="29" t="s">
        <v>40</v>
      </c>
      <c r="E186" s="29" t="s">
        <v>40</v>
      </c>
      <c r="F186" s="29" t="s">
        <v>40</v>
      </c>
      <c r="G186" s="29">
        <f>IFERROR(IF(OR(ISTEXT(G183),ISTEXT(G184),ISTEXT(G185)),"n.a.",(1+G183)/((1+G184)*(1+G185))-1),"n.a.")</f>
        <v>-0.08900000000000008</v>
      </c>
      <c r="H186" s="29">
        <f>IFERROR(IF(OR(ISTEXT(H183),ISTEXT(H184),ISTEXT(H185)),"n.a.",(1+H183)/((1+H184)*(1+H185))-1),"n.a.")</f>
        <v>-0.07199999999999984</v>
      </c>
      <c r="I186" s="50" t="str">
        <f>IFERROR(IF(OR(ISTEXT(I183),ISTEXT(I184),ISTEXT(I185)),"n.a.",(1+I183)/((1+I184)*(1+I185))-1),"n.a.")</f>
        <v>n.a.</v>
      </c>
      <c r="J186" s="20"/>
    </row>
    <row r="187">
      <c r="A187" s="9" t="s">
        <v>189</v>
      </c>
      <c r="B187" s="40" t="s">
        <v>40</v>
      </c>
      <c r="C187" s="40">
        <f>IFERROR(C181-B181,"n.a.")</f>
        <v>-14</v>
      </c>
      <c r="D187" s="40">
        <f>IFERROR(D181-C181,"n.a.")</f>
        <v>-22</v>
      </c>
      <c r="E187" s="40">
        <f>IFERROR(E181-D181,"n.a.")</f>
        <v>12</v>
      </c>
      <c r="F187" s="40" t="s">
        <v>40</v>
      </c>
      <c r="G187" s="40">
        <f>IFERROR(G181-E181,"n.a.")</f>
        <v>-66</v>
      </c>
      <c r="H187" s="40">
        <f>IFERROR(H181-G181,"n.a.")</f>
        <v>-10</v>
      </c>
      <c r="I187" s="41">
        <f>IFERROR(I181-H181,"n.a.")</f>
        <v>-19.789999999999964</v>
      </c>
      <c r="J187" s="20"/>
    </row>
    <row r="188">
      <c r="A188" s="35" t="s">
        <v>180</v>
      </c>
      <c r="B188" s="45">
        <f>B120</f>
        <v>17666</v>
      </c>
      <c r="C188" s="45">
        <f>C120</f>
        <v>17838</v>
      </c>
      <c r="D188" s="45">
        <f>D120</f>
        <v>17636</v>
      </c>
      <c r="E188" s="45">
        <f>E120</f>
        <v>17692</v>
      </c>
      <c r="F188" s="45">
        <f>SUM(B188:E188)</f>
        <v>70832</v>
      </c>
      <c r="G188" s="45">
        <f>G120</f>
        <v>17323</v>
      </c>
      <c r="H188" s="45">
        <f>H120</f>
        <v>17124</v>
      </c>
      <c r="I188" s="52">
        <f>I120</f>
        <v>16956.612408580844</v>
      </c>
      <c r="J188" s="20"/>
    </row>
    <row r="189">
      <c r="A189" s="23" t="s">
        <v>186</v>
      </c>
      <c r="B189" s="29" t="s">
        <v>40</v>
      </c>
      <c r="C189" s="29" t="s">
        <v>40</v>
      </c>
      <c r="D189" s="29" t="s">
        <v>40</v>
      </c>
      <c r="E189" s="29" t="s">
        <v>40</v>
      </c>
      <c r="F189" s="29" t="s">
        <v>40</v>
      </c>
      <c r="G189" s="65">
        <v>-0.036</v>
      </c>
      <c r="H189" s="65">
        <v>-0.043</v>
      </c>
      <c r="I189" s="50" t="s">
        <v>40</v>
      </c>
      <c r="J189" s="20" t="s">
        <v>118</v>
      </c>
    </row>
    <row r="190">
      <c r="A190" s="23" t="s">
        <v>98</v>
      </c>
      <c r="B190" s="29" t="s">
        <v>40</v>
      </c>
      <c r="C190" s="29" t="s">
        <v>40</v>
      </c>
      <c r="D190" s="29" t="s">
        <v>40</v>
      </c>
      <c r="E190" s="29" t="s">
        <v>40</v>
      </c>
      <c r="F190" s="29" t="s">
        <v>40</v>
      </c>
      <c r="G190" s="29">
        <f>IFERROR(G188/B188-1,"n.a.")</f>
        <v>-0.019415827012340126</v>
      </c>
      <c r="H190" s="29">
        <f>IFERROR(H188/C188-1,"n.a.")</f>
        <v>-0.04002690884628324</v>
      </c>
      <c r="I190" s="50">
        <f>IFERROR(I188/D188-1,"n.a.")</f>
        <v>-0.03852277111698543</v>
      </c>
      <c r="J190" s="20"/>
    </row>
    <row r="191">
      <c r="A191" s="23" t="s">
        <v>99</v>
      </c>
      <c r="B191" s="29" t="s">
        <v>40</v>
      </c>
      <c r="C191" s="29" t="s">
        <v>40</v>
      </c>
      <c r="D191" s="29" t="s">
        <v>40</v>
      </c>
      <c r="E191" s="29" t="s">
        <v>40</v>
      </c>
      <c r="F191" s="29" t="s">
        <v>40</v>
      </c>
      <c r="G191" s="65">
        <v>0</v>
      </c>
      <c r="H191" s="65">
        <v>0</v>
      </c>
      <c r="I191" s="48">
        <v>0</v>
      </c>
      <c r="J191" s="20" t="s">
        <v>118</v>
      </c>
    </row>
    <row r="192">
      <c r="A192" s="23" t="s">
        <v>101</v>
      </c>
      <c r="B192" s="29" t="s">
        <v>40</v>
      </c>
      <c r="C192" s="29" t="s">
        <v>40</v>
      </c>
      <c r="D192" s="29" t="s">
        <v>40</v>
      </c>
      <c r="E192" s="29" t="s">
        <v>40</v>
      </c>
      <c r="F192" s="29" t="s">
        <v>40</v>
      </c>
      <c r="G192" s="29">
        <f>IFERROR((G188/B188)/(1+G189)-1,"n.a.")</f>
        <v>0.017203498949854623</v>
      </c>
      <c r="H192" s="29">
        <f>IFERROR((H188/C188)/(1+H189)-1,"n.a.")</f>
        <v>0.0031066783215432103</v>
      </c>
      <c r="I192" s="50">
        <f>I113*D111/D120</f>
        <v>-0.00036147652528918125</v>
      </c>
      <c r="J192" s="20" t="s">
        <v>192</v>
      </c>
    </row>
    <row r="193">
      <c r="A193" s="23" t="s">
        <v>103</v>
      </c>
      <c r="B193" s="29" t="s">
        <v>40</v>
      </c>
      <c r="C193" s="29" t="s">
        <v>40</v>
      </c>
      <c r="D193" s="29" t="s">
        <v>40</v>
      </c>
      <c r="E193" s="29" t="s">
        <v>40</v>
      </c>
      <c r="F193" s="29" t="s">
        <v>40</v>
      </c>
      <c r="G193" s="29">
        <f>IFERROR(IF(OR(ISTEXT(G190),ISTEXT(G191),ISTEXT(G192)),"n.a.",(1+G190)/((1+G191)*(1+G192))-1),"n.a.")</f>
        <v>-0.03600000000000003</v>
      </c>
      <c r="H193" s="29">
        <f>IFERROR(IF(OR(ISTEXT(H190),ISTEXT(H191),ISTEXT(H192)),"n.a.",(1+H190)/((1+H191)*(1+H192))-1),"n.a.")</f>
        <v>-0.04300000000000004</v>
      </c>
      <c r="I193" s="50">
        <f>IFERROR(IF(OR(ISTEXT(I190),ISTEXT(I191),ISTEXT(I192)),"n.a.",(1+I190)/((1+I191)*(1+I192))-1),"n.a.")</f>
        <v>-0.03817509399202512</v>
      </c>
      <c r="J193" s="20"/>
    </row>
    <row r="194">
      <c r="A194" s="9" t="s">
        <v>189</v>
      </c>
      <c r="B194" s="40" t="s">
        <v>40</v>
      </c>
      <c r="C194" s="40">
        <f>IFERROR(C188-B188,"n.a.")</f>
        <v>172</v>
      </c>
      <c r="D194" s="40">
        <f>IFERROR(D188-C188,"n.a.")</f>
        <v>-202</v>
      </c>
      <c r="E194" s="40">
        <f>IFERROR(E188-D188,"n.a.")</f>
        <v>56</v>
      </c>
      <c r="F194" s="40" t="s">
        <v>40</v>
      </c>
      <c r="G194" s="40">
        <f>IFERROR(G188-E188,"n.a.")</f>
        <v>-369</v>
      </c>
      <c r="H194" s="40">
        <f>IFERROR(H188-G188,"n.a.")</f>
        <v>-199</v>
      </c>
      <c r="I194" s="41">
        <f>IFERROR(I188-H188,"n.a.")</f>
        <v>-167.3875914191558</v>
      </c>
      <c r="J194" s="20"/>
    </row>
    <row r="195">
      <c r="A195" s="9"/>
      <c r="B195" s="9"/>
      <c r="C195" s="9"/>
      <c r="D195" s="9"/>
      <c r="E195" s="9"/>
      <c r="F195" s="9"/>
      <c r="G195" s="9"/>
      <c r="H195" s="9"/>
      <c r="I195" s="69"/>
      <c r="J195" s="20"/>
    </row>
    <row r="196">
      <c r="A196" s="35" t="s">
        <v>193</v>
      </c>
      <c r="B196" s="33"/>
      <c r="C196" s="33"/>
      <c r="D196" s="33"/>
      <c r="E196" s="33"/>
      <c r="F196" s="33"/>
      <c r="G196" s="33"/>
      <c r="H196" s="33"/>
      <c r="I196" s="53"/>
      <c r="J196" s="20"/>
    </row>
    <row r="197">
      <c r="A197" s="9" t="s">
        <v>194</v>
      </c>
      <c r="B197" s="39">
        <v>4107</v>
      </c>
      <c r="C197" s="39">
        <v>3998</v>
      </c>
      <c r="D197" s="39">
        <v>3952</v>
      </c>
      <c r="E197" s="39">
        <v>3950</v>
      </c>
      <c r="F197" s="40">
        <f>SUM(B197:E197)</f>
        <v>16007</v>
      </c>
      <c r="G197" s="39">
        <v>3787</v>
      </c>
      <c r="H197" s="39">
        <v>3698</v>
      </c>
      <c r="I197" s="41">
        <f>D197*(1+I198)</f>
        <v>3655.6000000000004</v>
      </c>
      <c r="J197" s="20" t="s">
        <v>118</v>
      </c>
    </row>
    <row r="198">
      <c r="A198" s="23" t="s">
        <v>150</v>
      </c>
      <c r="B198" s="29" t="s">
        <v>40</v>
      </c>
      <c r="C198" s="29" t="s">
        <v>40</v>
      </c>
      <c r="D198" s="29" t="s">
        <v>40</v>
      </c>
      <c r="E198" s="29" t="s">
        <v>40</v>
      </c>
      <c r="F198" s="29" t="s">
        <v>40</v>
      </c>
      <c r="G198" s="29">
        <f>IFERROR(G197/B197-1,"n.a.")</f>
        <v>-0.07791575359142922</v>
      </c>
      <c r="H198" s="29">
        <f>IFERROR(H197/C197-1,"n.a.")</f>
        <v>-0.0750375187593797</v>
      </c>
      <c r="I198" s="48">
        <v>-0.075</v>
      </c>
      <c r="J198" s="20" t="s">
        <v>195</v>
      </c>
    </row>
    <row r="199">
      <c r="A199" s="9" t="s">
        <v>189</v>
      </c>
      <c r="B199" s="40" t="s">
        <v>40</v>
      </c>
      <c r="C199" s="40">
        <f>IFERROR(C197-B197,"n.a.")</f>
        <v>-109</v>
      </c>
      <c r="D199" s="40">
        <f>IFERROR(D197-C197,"n.a.")</f>
        <v>-46</v>
      </c>
      <c r="E199" s="40">
        <f>IFERROR(E197-D197,"n.a.")</f>
        <v>-2</v>
      </c>
      <c r="F199" s="40" t="s">
        <v>40</v>
      </c>
      <c r="G199" s="40">
        <f>IFERROR(G197-E197,"n.a.")</f>
        <v>-163</v>
      </c>
      <c r="H199" s="40">
        <f>IFERROR(H197-G197,"n.a.")</f>
        <v>-89</v>
      </c>
      <c r="I199" s="41">
        <f>IFERROR(I197-H197,"n.a.")</f>
        <v>-42.399999999999636</v>
      </c>
      <c r="J199" s="20"/>
    </row>
    <row r="200">
      <c r="A200" s="9" t="s">
        <v>196</v>
      </c>
      <c r="B200" s="39">
        <v>1242</v>
      </c>
      <c r="C200" s="39">
        <v>1249</v>
      </c>
      <c r="D200" s="39">
        <v>1332</v>
      </c>
      <c r="E200" s="39">
        <v>1323</v>
      </c>
      <c r="F200" s="40">
        <f>SUM(B200:E200)</f>
        <v>5146</v>
      </c>
      <c r="G200" s="39">
        <v>1337</v>
      </c>
      <c r="H200" s="39">
        <v>1311</v>
      </c>
      <c r="I200" s="41">
        <f>D200*(1+I201)</f>
        <v>1345.32</v>
      </c>
      <c r="J200" s="20" t="s">
        <v>118</v>
      </c>
    </row>
    <row r="201">
      <c r="A201" s="23" t="s">
        <v>150</v>
      </c>
      <c r="B201" s="29" t="s">
        <v>40</v>
      </c>
      <c r="C201" s="29" t="s">
        <v>40</v>
      </c>
      <c r="D201" s="29" t="s">
        <v>40</v>
      </c>
      <c r="E201" s="29" t="s">
        <v>40</v>
      </c>
      <c r="F201" s="29" t="s">
        <v>40</v>
      </c>
      <c r="G201" s="29">
        <f>IFERROR(G200/B200-1,"n.a.")</f>
        <v>0.07648953301127204</v>
      </c>
      <c r="H201" s="29">
        <f>IFERROR(H200/C200-1,"n.a.")</f>
        <v>0.04963971176941562</v>
      </c>
      <c r="I201" s="48">
        <v>0.01</v>
      </c>
      <c r="J201" s="20" t="s">
        <v>197</v>
      </c>
    </row>
    <row r="202">
      <c r="A202" s="9" t="s">
        <v>189</v>
      </c>
      <c r="B202" s="40" t="s">
        <v>40</v>
      </c>
      <c r="C202" s="40">
        <f>IFERROR(C200-B200,"n.a.")</f>
        <v>7</v>
      </c>
      <c r="D202" s="40">
        <f>IFERROR(D200-C200,"n.a.")</f>
        <v>83</v>
      </c>
      <c r="E202" s="40">
        <f>IFERROR(E200-D200,"n.a.")</f>
        <v>-9</v>
      </c>
      <c r="F202" s="40" t="s">
        <v>40</v>
      </c>
      <c r="G202" s="40">
        <f>IFERROR(G200-E200,"n.a.")</f>
        <v>14</v>
      </c>
      <c r="H202" s="40">
        <f>IFERROR(H200-G200,"n.a.")</f>
        <v>-26</v>
      </c>
      <c r="I202" s="41">
        <f>IFERROR(I200-H200,"n.a.")</f>
        <v>34.319999999999936</v>
      </c>
      <c r="J202" s="20"/>
    </row>
    <row r="203">
      <c r="A203" s="9" t="s">
        <v>198</v>
      </c>
      <c r="B203" s="39">
        <v>1625</v>
      </c>
      <c r="C203" s="39">
        <v>1829</v>
      </c>
      <c r="D203" s="39">
        <v>1911</v>
      </c>
      <c r="E203" s="39">
        <v>2210</v>
      </c>
      <c r="F203" s="40">
        <f>SUM(B203:E203)</f>
        <v>7575</v>
      </c>
      <c r="G203" s="39">
        <v>1962</v>
      </c>
      <c r="H203" s="39">
        <v>1992</v>
      </c>
      <c r="I203" s="41">
        <f>D203*(1+I204)</f>
        <v>2025.66</v>
      </c>
      <c r="J203" s="20" t="s">
        <v>118</v>
      </c>
    </row>
    <row r="204">
      <c r="A204" s="23" t="s">
        <v>150</v>
      </c>
      <c r="B204" s="29" t="s">
        <v>40</v>
      </c>
      <c r="C204" s="29" t="s">
        <v>40</v>
      </c>
      <c r="D204" s="29" t="s">
        <v>40</v>
      </c>
      <c r="E204" s="29" t="s">
        <v>40</v>
      </c>
      <c r="F204" s="29" t="s">
        <v>40</v>
      </c>
      <c r="G204" s="29">
        <f>IFERROR(G203/B203-1,"n.a.")</f>
        <v>0.20738461538461528</v>
      </c>
      <c r="H204" s="29">
        <f>IFERROR(H203/C203-1,"n.a.")</f>
        <v>0.08911973756150893</v>
      </c>
      <c r="I204" s="48">
        <v>0.06</v>
      </c>
      <c r="J204" s="20" t="s">
        <v>199</v>
      </c>
    </row>
    <row r="205">
      <c r="A205" s="9" t="s">
        <v>189</v>
      </c>
      <c r="B205" s="40" t="s">
        <v>40</v>
      </c>
      <c r="C205" s="40">
        <f>IFERROR(C203-B203,"n.a.")</f>
        <v>204</v>
      </c>
      <c r="D205" s="40">
        <f>IFERROR(D203-C203,"n.a.")</f>
        <v>82</v>
      </c>
      <c r="E205" s="40">
        <f>IFERROR(E203-D203,"n.a.")</f>
        <v>299</v>
      </c>
      <c r="F205" s="40" t="s">
        <v>40</v>
      </c>
      <c r="G205" s="40">
        <f>IFERROR(G203-E203,"n.a.")</f>
        <v>-248</v>
      </c>
      <c r="H205" s="40">
        <f>IFERROR(H203-G203,"n.a.")</f>
        <v>30</v>
      </c>
      <c r="I205" s="41">
        <f>IFERROR(I203-H203,"n.a.")</f>
        <v>33.66000000000008</v>
      </c>
      <c r="J205" s="20"/>
    </row>
    <row r="206">
      <c r="A206" s="9" t="s">
        <v>200</v>
      </c>
      <c r="B206" s="39">
        <v>1935</v>
      </c>
      <c r="C206" s="39">
        <v>1918</v>
      </c>
      <c r="D206" s="39">
        <v>2019</v>
      </c>
      <c r="E206" s="39">
        <v>1981</v>
      </c>
      <c r="F206" s="40">
        <f>SUM(B206:E206)</f>
        <v>7853</v>
      </c>
      <c r="G206" s="39">
        <v>1968</v>
      </c>
      <c r="H206" s="39">
        <v>1913</v>
      </c>
      <c r="I206" s="41">
        <f>D206*(1+I207)</f>
        <v>2019</v>
      </c>
      <c r="J206" s="20" t="s">
        <v>118</v>
      </c>
    </row>
    <row r="207">
      <c r="A207" s="23" t="s">
        <v>150</v>
      </c>
      <c r="B207" s="29" t="s">
        <v>40</v>
      </c>
      <c r="C207" s="29" t="s">
        <v>40</v>
      </c>
      <c r="D207" s="29" t="s">
        <v>40</v>
      </c>
      <c r="E207" s="29" t="s">
        <v>40</v>
      </c>
      <c r="F207" s="29" t="s">
        <v>40</v>
      </c>
      <c r="G207" s="29">
        <f>IFERROR(G206/B206-1,"n.a.")</f>
        <v>0.01705426356589146</v>
      </c>
      <c r="H207" s="29">
        <f>IFERROR(H206/C206-1,"n.a.")</f>
        <v>-0.002606882168926017</v>
      </c>
      <c r="I207" s="48">
        <v>0</v>
      </c>
      <c r="J207" s="20" t="s">
        <v>201</v>
      </c>
    </row>
    <row r="208">
      <c r="A208" s="9" t="s">
        <v>189</v>
      </c>
      <c r="B208" s="40" t="s">
        <v>40</v>
      </c>
      <c r="C208" s="40">
        <f>IFERROR(C206-B206,"n.a.")</f>
        <v>-17</v>
      </c>
      <c r="D208" s="40">
        <f>IFERROR(D206-C206,"n.a.")</f>
        <v>101</v>
      </c>
      <c r="E208" s="40">
        <f>IFERROR(E206-D206,"n.a.")</f>
        <v>-38</v>
      </c>
      <c r="F208" s="40" t="s">
        <v>40</v>
      </c>
      <c r="G208" s="40">
        <f>IFERROR(G206-E206,"n.a.")</f>
        <v>-13</v>
      </c>
      <c r="H208" s="40">
        <f>IFERROR(H206-G206,"n.a.")</f>
        <v>-55</v>
      </c>
      <c r="I208" s="41">
        <f>IFERROR(I206-H206,"n.a.")</f>
        <v>106</v>
      </c>
      <c r="J208" s="20"/>
    </row>
    <row r="209">
      <c r="A209" s="9" t="s">
        <v>202</v>
      </c>
      <c r="B209" s="39">
        <v>682</v>
      </c>
      <c r="C209" s="39">
        <v>677</v>
      </c>
      <c r="D209" s="39">
        <v>707</v>
      </c>
      <c r="E209" s="39">
        <v>699</v>
      </c>
      <c r="F209" s="40">
        <f>SUM(B209:E209)</f>
        <v>2765</v>
      </c>
      <c r="G209" s="39">
        <v>676</v>
      </c>
      <c r="H209" s="39">
        <v>671</v>
      </c>
      <c r="I209" s="41">
        <f>D209*(1+I210)</f>
        <v>699.93</v>
      </c>
      <c r="J209" s="20" t="s">
        <v>118</v>
      </c>
    </row>
    <row r="210">
      <c r="A210" s="23" t="s">
        <v>150</v>
      </c>
      <c r="B210" s="29" t="s">
        <v>40</v>
      </c>
      <c r="C210" s="29" t="s">
        <v>40</v>
      </c>
      <c r="D210" s="29" t="s">
        <v>40</v>
      </c>
      <c r="E210" s="29" t="s">
        <v>40</v>
      </c>
      <c r="F210" s="29" t="s">
        <v>40</v>
      </c>
      <c r="G210" s="29">
        <f>IFERROR(G209/B209-1,"n.a.")</f>
        <v>-0.008797653958944274</v>
      </c>
      <c r="H210" s="29">
        <f>IFERROR(H209/C209-1,"n.a.")</f>
        <v>-0.008862629246676468</v>
      </c>
      <c r="I210" s="48">
        <v>-0.01</v>
      </c>
      <c r="J210" s="20" t="s">
        <v>203</v>
      </c>
    </row>
    <row r="211">
      <c r="A211" s="9" t="s">
        <v>189</v>
      </c>
      <c r="B211" s="40" t="s">
        <v>40</v>
      </c>
      <c r="C211" s="40">
        <f>IFERROR(C209-B209,"n.a.")</f>
        <v>-5</v>
      </c>
      <c r="D211" s="40">
        <f>IFERROR(D209-C209,"n.a.")</f>
        <v>30</v>
      </c>
      <c r="E211" s="40">
        <f>IFERROR(E209-D209,"n.a.")</f>
        <v>-8</v>
      </c>
      <c r="F211" s="40" t="s">
        <v>40</v>
      </c>
      <c r="G211" s="40">
        <f>IFERROR(G209-E209,"n.a.")</f>
        <v>-23</v>
      </c>
      <c r="H211" s="40">
        <f>IFERROR(H209-G209,"n.a.")</f>
        <v>-5</v>
      </c>
      <c r="I211" s="41">
        <f>IFERROR(I209-H209,"n.a.")</f>
        <v>28.92999999999995</v>
      </c>
      <c r="J211" s="20"/>
    </row>
    <row r="212">
      <c r="A212" s="9" t="s">
        <v>176</v>
      </c>
      <c r="B212" s="39">
        <v>2305</v>
      </c>
      <c r="C212" s="39">
        <v>2293</v>
      </c>
      <c r="D212" s="39">
        <v>2353</v>
      </c>
      <c r="E212" s="39">
        <v>2683</v>
      </c>
      <c r="F212" s="40">
        <f>SUM(B212:E212)</f>
        <v>9634</v>
      </c>
      <c r="G212" s="39">
        <v>2323</v>
      </c>
      <c r="H212" s="39">
        <v>2245</v>
      </c>
      <c r="I212" s="41">
        <f>D212*(1+I213)</f>
        <v>2329.47</v>
      </c>
      <c r="J212" s="20" t="s">
        <v>118</v>
      </c>
    </row>
    <row r="213">
      <c r="A213" s="23" t="s">
        <v>150</v>
      </c>
      <c r="B213" s="29" t="s">
        <v>40</v>
      </c>
      <c r="C213" s="29" t="s">
        <v>40</v>
      </c>
      <c r="D213" s="29" t="s">
        <v>40</v>
      </c>
      <c r="E213" s="29" t="s">
        <v>40</v>
      </c>
      <c r="F213" s="29" t="s">
        <v>40</v>
      </c>
      <c r="G213" s="29">
        <f>IFERROR(G212/B212-1,"n.a.")</f>
        <v>0.007809110629067195</v>
      </c>
      <c r="H213" s="29">
        <f>IFERROR(H212/C212-1,"n.a.")</f>
        <v>-0.02093327518534671</v>
      </c>
      <c r="I213" s="48">
        <v>-0.01</v>
      </c>
      <c r="J213" s="20" t="s">
        <v>204</v>
      </c>
    </row>
    <row r="214">
      <c r="A214" s="9" t="s">
        <v>189</v>
      </c>
      <c r="B214" s="40" t="s">
        <v>40</v>
      </c>
      <c r="C214" s="40">
        <f>IFERROR(C212-B212,"n.a.")</f>
        <v>-12</v>
      </c>
      <c r="D214" s="40">
        <f>IFERROR(D212-C212,"n.a.")</f>
        <v>60</v>
      </c>
      <c r="E214" s="40">
        <f>IFERROR(E212-D212,"n.a.")</f>
        <v>330</v>
      </c>
      <c r="F214" s="40" t="s">
        <v>40</v>
      </c>
      <c r="G214" s="40">
        <f>IFERROR(G212-E212,"n.a.")</f>
        <v>-360</v>
      </c>
      <c r="H214" s="40">
        <f>IFERROR(H212-G212,"n.a.")</f>
        <v>-78</v>
      </c>
      <c r="I214" s="41">
        <f>IFERROR(I212-H212,"n.a.")</f>
        <v>84.4699999999998</v>
      </c>
      <c r="J214" s="20"/>
    </row>
    <row r="215">
      <c r="A215" s="9" t="s">
        <v>205</v>
      </c>
      <c r="B215" s="40" t="s">
        <v>40</v>
      </c>
      <c r="C215" s="40" t="s">
        <v>40</v>
      </c>
      <c r="D215" s="40" t="s">
        <v>40</v>
      </c>
      <c r="E215" s="40" t="s">
        <v>40</v>
      </c>
      <c r="F215" s="40" t="s">
        <v>40</v>
      </c>
      <c r="G215" s="40" t="s">
        <v>40</v>
      </c>
      <c r="H215" s="40" t="s">
        <v>40</v>
      </c>
      <c r="I215" s="73">
        <v>0</v>
      </c>
      <c r="J215" s="20" t="s">
        <v>206</v>
      </c>
    </row>
    <row r="216">
      <c r="A216" s="35" t="s">
        <v>207</v>
      </c>
      <c r="B216" s="45">
        <f>SUM(B197,B200,B203,B206,B209,B212,B215)</f>
        <v>11896</v>
      </c>
      <c r="C216" s="45">
        <f>SUM(C197,C200,C203,C206,C209,C212,C215)</f>
        <v>11964</v>
      </c>
      <c r="D216" s="45">
        <f>SUM(D197,D200,D203,D206,D209,D212,D215)</f>
        <v>12274</v>
      </c>
      <c r="E216" s="45">
        <f>SUM(E197,E200,E203,E206,E209,E212,E215)</f>
        <v>12846</v>
      </c>
      <c r="F216" s="45">
        <f>SUM(B216:E216)</f>
        <v>48980</v>
      </c>
      <c r="G216" s="45">
        <f>SUM(G197,G200,G203,G206,G209,G212,G215)</f>
        <v>12053</v>
      </c>
      <c r="H216" s="45">
        <f>SUM(H197,H200,H203,H206,H209,H212,H215)</f>
        <v>11830</v>
      </c>
      <c r="I216" s="52">
        <f>SUM(I197,I200,I203,I206,I209,I212,I215)</f>
        <v>12074.98</v>
      </c>
      <c r="J216" s="20"/>
    </row>
    <row r="217">
      <c r="A217" s="9" t="s">
        <v>208</v>
      </c>
      <c r="B217" s="39">
        <v>11897</v>
      </c>
      <c r="C217" s="39">
        <v>11965</v>
      </c>
      <c r="D217" s="39">
        <v>12274</v>
      </c>
      <c r="E217" s="39">
        <v>12845</v>
      </c>
      <c r="F217" s="40">
        <f>SUM(B217:E217)</f>
        <v>48981</v>
      </c>
      <c r="G217" s="39">
        <v>12052</v>
      </c>
      <c r="H217" s="39">
        <v>11831</v>
      </c>
      <c r="I217" s="41" t="s">
        <v>40</v>
      </c>
      <c r="J217" s="20" t="s">
        <v>118</v>
      </c>
    </row>
    <row r="218" ht="26.25">
      <c r="A218" s="106" t="s">
        <v>209</v>
      </c>
      <c r="B218" s="33" t="b">
        <f>ABS(B216-B217)&lt;=3</f>
        <v>1</v>
      </c>
      <c r="C218" s="33" t="b">
        <f>ABS(C216-C217)&lt;=3</f>
        <v>1</v>
      </c>
      <c r="D218" s="33" t="b">
        <f>ABS(D216-D217)&lt;=3</f>
        <v>1</v>
      </c>
      <c r="E218" s="33" t="b">
        <f>ABS(E216-E217)&lt;=3</f>
        <v>1</v>
      </c>
      <c r="F218" s="33" t="b">
        <f>ABS(F216-F217)&lt;=3</f>
        <v>1</v>
      </c>
      <c r="G218" s="33" t="b">
        <f>ABS(G216-G217)&lt;=3</f>
        <v>1</v>
      </c>
      <c r="H218" s="33" t="b">
        <f>ABS(H216-H217)&lt;=3</f>
        <v>1</v>
      </c>
      <c r="I218" s="53" t="s">
        <v>40</v>
      </c>
      <c r="J218" s="20"/>
    </row>
    <row r="219">
      <c r="A219" s="23" t="s">
        <v>210</v>
      </c>
      <c r="B219" s="29" t="s">
        <v>40</v>
      </c>
      <c r="C219" s="29" t="s">
        <v>40</v>
      </c>
      <c r="D219" s="29" t="s">
        <v>40</v>
      </c>
      <c r="E219" s="29" t="s">
        <v>40</v>
      </c>
      <c r="F219" s="29" t="s">
        <v>40</v>
      </c>
      <c r="G219" s="29">
        <f>IFERROR(G216/B216-1,"n.a.")</f>
        <v>0.013197713517148602</v>
      </c>
      <c r="H219" s="29">
        <f>IFERROR(H216/C216-1,"n.a.")</f>
        <v>-0.011200267469073877</v>
      </c>
      <c r="I219" s="50">
        <f>IFERROR(I216/D216-1,"n.a.")</f>
        <v>-0.016214762913475678</v>
      </c>
      <c r="J219" s="20"/>
    </row>
    <row r="220">
      <c r="A220" s="9" t="s">
        <v>211</v>
      </c>
      <c r="B220" s="40" t="s">
        <v>40</v>
      </c>
      <c r="C220" s="40">
        <f>IFERROR(C216-B216,"n.a.")</f>
        <v>68</v>
      </c>
      <c r="D220" s="40">
        <f>IFERROR(D216-C216,"n.a.")</f>
        <v>310</v>
      </c>
      <c r="E220" s="40">
        <f>IFERROR(E216-D216,"n.a.")</f>
        <v>572</v>
      </c>
      <c r="F220" s="40" t="s">
        <v>40</v>
      </c>
      <c r="G220" s="40">
        <f>IFERROR(G216-E216,"n.a.")</f>
        <v>-793</v>
      </c>
      <c r="H220" s="40">
        <f>IFERROR(H216-G216,"n.a.")</f>
        <v>-223</v>
      </c>
      <c r="I220" s="41">
        <f>IFERROR(I216-H216,"n.a.")</f>
        <v>244.97999999999956</v>
      </c>
      <c r="J220" s="20"/>
    </row>
    <row r="221">
      <c r="A221" s="9" t="s">
        <v>212</v>
      </c>
      <c r="B221" s="27">
        <f>'Segment - Business Services'!B33</f>
        <v>1074</v>
      </c>
      <c r="C221" s="27">
        <f>'Segment - Business Services'!C33</f>
        <v>1131</v>
      </c>
      <c r="D221" s="27">
        <f>'Segment - Business Services'!D33</f>
        <v>1122</v>
      </c>
      <c r="E221" s="27">
        <f>'Segment - Business Services'!E33</f>
        <v>1186</v>
      </c>
      <c r="F221" s="40">
        <f>SUM(B221:E221)</f>
        <v>4513</v>
      </c>
      <c r="G221" s="27">
        <f>'Segment - Business Services'!G33</f>
        <v>1163</v>
      </c>
      <c r="H221" s="27">
        <f>'Segment - Business Services'!H33</f>
        <v>1155</v>
      </c>
      <c r="I221" s="31">
        <f>'Segment - Business Services'!I33</f>
        <v>1160.053820352</v>
      </c>
      <c r="J221" s="94" t="s">
        <v>213</v>
      </c>
    </row>
    <row r="222">
      <c r="A222" s="35" t="s">
        <v>214</v>
      </c>
      <c r="B222" s="45">
        <f>B216-B221</f>
        <v>10822</v>
      </c>
      <c r="C222" s="45">
        <f>C216-C221</f>
        <v>10833</v>
      </c>
      <c r="D222" s="45">
        <f>D216-D221</f>
        <v>11152</v>
      </c>
      <c r="E222" s="45">
        <f>E216-E221</f>
        <v>11660</v>
      </c>
      <c r="F222" s="45">
        <f>SUM(B222:E222)</f>
        <v>44467</v>
      </c>
      <c r="G222" s="45">
        <f>G216-G221</f>
        <v>10890</v>
      </c>
      <c r="H222" s="45">
        <f>H216-H221</f>
        <v>10675</v>
      </c>
      <c r="I222" s="52">
        <f>I216-I221</f>
        <v>10914.926179647999</v>
      </c>
      <c r="J222" s="20"/>
    </row>
    <row r="223">
      <c r="A223" s="9" t="s">
        <v>215</v>
      </c>
      <c r="B223" s="40">
        <f>B197</f>
        <v>4107</v>
      </c>
      <c r="C223" s="40">
        <f>C197</f>
        <v>3998</v>
      </c>
      <c r="D223" s="40">
        <f>D197</f>
        <v>3952</v>
      </c>
      <c r="E223" s="40">
        <f>E197</f>
        <v>3950</v>
      </c>
      <c r="F223" s="40">
        <f>SUM(B223:E223)</f>
        <v>16007</v>
      </c>
      <c r="G223" s="40">
        <f>G197</f>
        <v>3787</v>
      </c>
      <c r="H223" s="40">
        <f>H197</f>
        <v>3698</v>
      </c>
      <c r="I223" s="41">
        <f>I197</f>
        <v>3655.6000000000004</v>
      </c>
      <c r="J223" s="20"/>
    </row>
    <row r="224">
      <c r="A224" s="9" t="s">
        <v>216</v>
      </c>
      <c r="B224" s="40">
        <f>B222-B223</f>
        <v>6715</v>
      </c>
      <c r="C224" s="40">
        <f>C222-C223</f>
        <v>6835</v>
      </c>
      <c r="D224" s="40">
        <f>D222-D223</f>
        <v>7200</v>
      </c>
      <c r="E224" s="40">
        <f>E222-E223</f>
        <v>7710</v>
      </c>
      <c r="F224" s="40">
        <f>SUM(B224:E224)</f>
        <v>28460</v>
      </c>
      <c r="G224" s="40">
        <f>G222-G223</f>
        <v>7103</v>
      </c>
      <c r="H224" s="40">
        <f>H222-H223</f>
        <v>6977</v>
      </c>
      <c r="I224" s="41">
        <f>I222-I223</f>
        <v>7259.326179647998</v>
      </c>
      <c r="J224" s="20"/>
    </row>
    <row r="225">
      <c r="A225" s="23" t="s">
        <v>217</v>
      </c>
      <c r="B225" s="29" t="s">
        <v>40</v>
      </c>
      <c r="C225" s="29" t="s">
        <v>40</v>
      </c>
      <c r="D225" s="29" t="s">
        <v>40</v>
      </c>
      <c r="E225" s="29" t="s">
        <v>40</v>
      </c>
      <c r="F225" s="29" t="s">
        <v>40</v>
      </c>
      <c r="G225" s="29">
        <f>IFERROR(G222/B222-1,"n.a.")</f>
        <v>0.00628349658103855</v>
      </c>
      <c r="H225" s="29">
        <f>IFERROR(H222/C222-1,"n.a.")</f>
        <v>-0.014585064155820171</v>
      </c>
      <c r="I225" s="50">
        <f>IFERROR(I222/D222-1,"n.a.")</f>
        <v>-0.021258412872310006</v>
      </c>
      <c r="J225" s="20"/>
    </row>
    <row r="226">
      <c r="A226" s="9" t="s">
        <v>189</v>
      </c>
      <c r="B226" s="40" t="s">
        <v>40</v>
      </c>
      <c r="C226" s="40">
        <f>IFERROR(C222-B222,"n.a.")</f>
        <v>11</v>
      </c>
      <c r="D226" s="40">
        <f>IFERROR(D222-C222,"n.a.")</f>
        <v>319</v>
      </c>
      <c r="E226" s="40">
        <f>IFERROR(E222-D222,"n.a.")</f>
        <v>508</v>
      </c>
      <c r="F226" s="40" t="s">
        <v>40</v>
      </c>
      <c r="G226" s="40">
        <f>IFERROR(G222-E222,"n.a.")</f>
        <v>-770</v>
      </c>
      <c r="H226" s="40">
        <f>IFERROR(H222-G222,"n.a.")</f>
        <v>-215</v>
      </c>
      <c r="I226" s="41">
        <f>IFERROR(I222-H222,"n.a.")</f>
        <v>239.92617964799865</v>
      </c>
      <c r="J226" s="20"/>
    </row>
    <row r="227">
      <c r="A227" s="35" t="s">
        <v>218</v>
      </c>
      <c r="B227" s="45">
        <f>B120-B222</f>
        <v>6844</v>
      </c>
      <c r="C227" s="45">
        <f>C120-C222</f>
        <v>7005</v>
      </c>
      <c r="D227" s="45">
        <f>D120-D222</f>
        <v>6484</v>
      </c>
      <c r="E227" s="45">
        <f>E120-E222</f>
        <v>6032</v>
      </c>
      <c r="F227" s="45">
        <f>SUM(B227:E227)</f>
        <v>26365</v>
      </c>
      <c r="G227" s="45">
        <f>G120-G222</f>
        <v>6433</v>
      </c>
      <c r="H227" s="45">
        <f>H120-H222</f>
        <v>6449</v>
      </c>
      <c r="I227" s="52">
        <f>I120-I222</f>
        <v>6041.686228932846</v>
      </c>
      <c r="J227" s="20"/>
    </row>
    <row r="228">
      <c r="A228" s="23" t="s">
        <v>217</v>
      </c>
      <c r="B228" s="29" t="s">
        <v>40</v>
      </c>
      <c r="C228" s="29" t="s">
        <v>40</v>
      </c>
      <c r="D228" s="29" t="s">
        <v>40</v>
      </c>
      <c r="E228" s="29" t="s">
        <v>40</v>
      </c>
      <c r="F228" s="29" t="s">
        <v>40</v>
      </c>
      <c r="G228" s="29">
        <f>IFERROR(G227/B227-1,"n.a.")</f>
        <v>-0.060052600818234936</v>
      </c>
      <c r="H228" s="29">
        <f>IFERROR(H227/C227-1,"n.a.")</f>
        <v>-0.07937187723054961</v>
      </c>
      <c r="I228" s="50">
        <f>IFERROR(I227/D227-1,"n.a.")</f>
        <v>-0.06821618924539707</v>
      </c>
      <c r="J228" s="20"/>
    </row>
    <row r="229">
      <c r="A229" s="9" t="s">
        <v>189</v>
      </c>
      <c r="B229" s="40" t="s">
        <v>40</v>
      </c>
      <c r="C229" s="40">
        <f>IFERROR(C227-B227,"n.a.")</f>
        <v>161</v>
      </c>
      <c r="D229" s="40">
        <f>IFERROR(D227-C227,"n.a.")</f>
        <v>-521</v>
      </c>
      <c r="E229" s="40">
        <f>IFERROR(E227-D227,"n.a.")</f>
        <v>-452</v>
      </c>
      <c r="F229" s="40" t="s">
        <v>40</v>
      </c>
      <c r="G229" s="40">
        <f>IFERROR(G227-E227,"n.a.")</f>
        <v>401</v>
      </c>
      <c r="H229" s="40">
        <f>IFERROR(H227-G227,"n.a.")</f>
        <v>16</v>
      </c>
      <c r="I229" s="41">
        <f>IFERROR(I227-H227,"n.a.")</f>
        <v>-407.31377106715445</v>
      </c>
      <c r="J229" s="20"/>
    </row>
    <row r="230">
      <c r="A230" s="23" t="s">
        <v>219</v>
      </c>
      <c r="B230" s="29">
        <f>B227/B120</f>
        <v>0.3874108456922903</v>
      </c>
      <c r="C230" s="29">
        <f>C227/C120</f>
        <v>0.3927009754456778</v>
      </c>
      <c r="D230" s="29">
        <f>D227/D120</f>
        <v>0.36765706509412566</v>
      </c>
      <c r="E230" s="29">
        <f>E227/E120</f>
        <v>0.34094505991408547</v>
      </c>
      <c r="F230" s="29">
        <f>F227/F120</f>
        <v>0.3722187711768692</v>
      </c>
      <c r="G230" s="29">
        <f>G227/G120</f>
        <v>0.3713560006927207</v>
      </c>
      <c r="H230" s="29">
        <f>H227/H120</f>
        <v>0.37660593319317914</v>
      </c>
      <c r="I230" s="50">
        <f>I227/I120</f>
        <v>0.3563026672636256</v>
      </c>
      <c r="J230" s="20"/>
    </row>
    <row r="231">
      <c r="A231" s="23" t="s">
        <v>139</v>
      </c>
      <c r="B231" s="51" t="s">
        <v>40</v>
      </c>
      <c r="C231" s="51" t="s">
        <v>40</v>
      </c>
      <c r="D231" s="51" t="s">
        <v>40</v>
      </c>
      <c r="E231" s="51" t="s">
        <v>40</v>
      </c>
      <c r="F231" s="51" t="s">
        <v>40</v>
      </c>
      <c r="G231" s="51">
        <f>IFERROR((G230-B230)*10000,"n.a.")</f>
        <v>-160.54844999569607</v>
      </c>
      <c r="H231" s="51">
        <f>IFERROR((H230-C230)*10000,"n.a.")</f>
        <v>-160.95042252498638</v>
      </c>
      <c r="I231" s="46">
        <f>IFERROR((I230-D230)*10000,"n.a.")</f>
        <v>-113.54397830500073</v>
      </c>
      <c r="J231" s="20"/>
    </row>
    <row r="232">
      <c r="A232" s="23" t="s">
        <v>140</v>
      </c>
      <c r="B232" s="51" t="s">
        <v>40</v>
      </c>
      <c r="C232" s="51">
        <f>IFERROR((C230-B230)*10000,"n.a.")</f>
        <v>52.90129753387496</v>
      </c>
      <c r="D232" s="51">
        <f>IFERROR((D230-C230)*10000,"n.a.")</f>
        <v>-250.43910351552123</v>
      </c>
      <c r="E232" s="51">
        <f>IFERROR((E230-D230)*10000,"n.a.")</f>
        <v>-267.1200518004019</v>
      </c>
      <c r="F232" s="51" t="s">
        <v>40</v>
      </c>
      <c r="G232" s="51">
        <f>IFERROR((G230-E230)*10000,"n.a.")</f>
        <v>304.1094077863521</v>
      </c>
      <c r="H232" s="51">
        <f>IFERROR((H230-G230)*10000,"n.a.")</f>
        <v>52.49932500458465</v>
      </c>
      <c r="I232" s="46">
        <f>IFERROR((I230-H230)*10000,"n.a.")</f>
        <v>-203.0326592955356</v>
      </c>
      <c r="J232" s="20"/>
    </row>
    <row r="233">
      <c r="A233" s="9" t="s">
        <v>220</v>
      </c>
      <c r="B233" s="39">
        <v>6842</v>
      </c>
      <c r="C233" s="39">
        <v>7006</v>
      </c>
      <c r="D233" s="39">
        <v>6484</v>
      </c>
      <c r="E233" s="39">
        <v>6032</v>
      </c>
      <c r="F233" s="40">
        <f>SUM(B233:E233)</f>
        <v>26364</v>
      </c>
      <c r="G233" s="39">
        <v>6434</v>
      </c>
      <c r="H233" s="39">
        <v>6448</v>
      </c>
      <c r="I233" s="41" t="s">
        <v>40</v>
      </c>
      <c r="J233" s="20" t="s">
        <v>221</v>
      </c>
    </row>
    <row r="234">
      <c r="A234" s="9" t="s">
        <v>222</v>
      </c>
      <c r="B234" s="33" t="b">
        <f>ABS(B227-B233)&lt;=3</f>
        <v>1</v>
      </c>
      <c r="C234" s="33" t="b">
        <f>ABS(C227-C233)&lt;=3</f>
        <v>1</v>
      </c>
      <c r="D234" s="33" t="b">
        <f>ABS(D227-D233)&lt;=3</f>
        <v>1</v>
      </c>
      <c r="E234" s="33" t="b">
        <f>ABS(E227-E233)&lt;=3</f>
        <v>1</v>
      </c>
      <c r="F234" s="33" t="b">
        <f>ABS(F227-F233)&lt;=3</f>
        <v>1</v>
      </c>
      <c r="G234" s="33" t="b">
        <f>ABS(G227-G233)&lt;=3</f>
        <v>1</v>
      </c>
      <c r="H234" s="33" t="b">
        <f>ABS(H227-H233)&lt;=3</f>
        <v>1</v>
      </c>
      <c r="I234" s="53" t="s">
        <v>40</v>
      </c>
      <c r="J234" s="20"/>
    </row>
    <row r="235">
      <c r="A235" s="9"/>
      <c r="B235" s="9"/>
      <c r="C235" s="9"/>
      <c r="D235" s="9"/>
      <c r="E235" s="9"/>
      <c r="F235" s="9"/>
      <c r="G235" s="9"/>
      <c r="H235" s="9"/>
      <c r="I235" s="9"/>
      <c r="J235" s="20"/>
    </row>
    <row r="236">
      <c r="A236" s="9"/>
      <c r="B236" s="9"/>
      <c r="C236" s="9"/>
      <c r="D236" s="9"/>
      <c r="E236" s="9"/>
      <c r="F236" s="9"/>
      <c r="G236" s="9"/>
      <c r="H236" s="9"/>
      <c r="I236" s="9"/>
      <c r="J236" s="20"/>
    </row>
    <row r="237">
      <c r="A237" s="9"/>
      <c r="B237" s="9"/>
      <c r="C237" s="9"/>
      <c r="D237" s="9"/>
      <c r="E237" s="9"/>
      <c r="F237" s="9"/>
      <c r="G237" s="9"/>
      <c r="H237" s="9"/>
      <c r="I237" s="9"/>
      <c r="J237" s="20"/>
    </row>
    <row r="238">
      <c r="A238" s="9"/>
      <c r="B238" s="9"/>
      <c r="C238" s="9"/>
      <c r="D238" s="9"/>
      <c r="E238" s="9"/>
      <c r="F238" s="9"/>
      <c r="G238" s="9"/>
      <c r="H238" s="9"/>
      <c r="I238" s="9"/>
      <c r="J238" s="9"/>
    </row>
    <row r="239">
      <c r="A239" s="9"/>
      <c r="B239" s="9"/>
      <c r="C239" s="9"/>
      <c r="D239" s="9"/>
      <c r="E239" s="9"/>
      <c r="F239" s="9"/>
      <c r="G239" s="9"/>
      <c r="H239" s="9"/>
      <c r="I239" s="9"/>
      <c r="J239" s="9"/>
    </row>
    <row r="240">
      <c r="A240" s="9"/>
      <c r="B240" s="9"/>
      <c r="C240" s="9"/>
      <c r="D240" s="9"/>
      <c r="E240" s="9"/>
      <c r="F240" s="9"/>
      <c r="G240" s="9"/>
      <c r="H240" s="9"/>
      <c r="I240" s="9"/>
      <c r="J240" s="9"/>
    </row>
    <row r="241">
      <c r="A241" s="9"/>
      <c r="B241" s="9"/>
      <c r="C241" s="9"/>
      <c r="D241" s="9"/>
      <c r="E241" s="9"/>
      <c r="F241" s="9"/>
      <c r="G241" s="9"/>
      <c r="H241" s="9"/>
      <c r="I241" s="9"/>
      <c r="J241" s="9"/>
    </row>
    <row r="242">
      <c r="A242" s="9"/>
      <c r="B242" s="9"/>
      <c r="C242" s="9"/>
      <c r="D242" s="9"/>
      <c r="E242" s="9"/>
      <c r="F242" s="9"/>
      <c r="G242" s="9"/>
      <c r="H242" s="9"/>
      <c r="I242" s="9"/>
      <c r="J242" s="9"/>
    </row>
    <row r="243">
      <c r="A243" s="9"/>
      <c r="B243" s="9"/>
      <c r="C243" s="9"/>
      <c r="D243" s="9"/>
      <c r="E243" s="9"/>
      <c r="F243" s="9"/>
      <c r="G243" s="9"/>
      <c r="H243" s="9"/>
      <c r="I243" s="9"/>
      <c r="J243" s="9"/>
    </row>
    <row r="244">
      <c r="A244" s="9"/>
      <c r="B244" s="9"/>
      <c r="C244" s="9"/>
      <c r="D244" s="9"/>
      <c r="E244" s="9"/>
      <c r="F244" s="9"/>
      <c r="G244" s="9"/>
      <c r="H244" s="9"/>
      <c r="I244" s="9"/>
      <c r="J244" s="9"/>
    </row>
    <row r="245">
      <c r="A245" s="9"/>
      <c r="B245" s="9"/>
      <c r="C245" s="9"/>
      <c r="D245" s="9"/>
      <c r="E245" s="9"/>
      <c r="F245" s="9"/>
      <c r="G245" s="9"/>
      <c r="H245" s="9"/>
      <c r="I245" s="9"/>
      <c r="J245" s="9"/>
    </row>
    <row r="246">
      <c r="A246" s="9"/>
      <c r="B246" s="9"/>
      <c r="C246" s="9"/>
      <c r="D246" s="9"/>
      <c r="E246" s="9"/>
      <c r="F246" s="9"/>
      <c r="G246" s="9"/>
      <c r="H246" s="9"/>
      <c r="I246" s="9"/>
      <c r="J246" s="9"/>
    </row>
    <row r="247">
      <c r="A247" s="9"/>
      <c r="B247" s="9"/>
      <c r="C247" s="9"/>
      <c r="D247" s="9"/>
      <c r="E247" s="9"/>
      <c r="F247" s="9"/>
      <c r="G247" s="9"/>
      <c r="H247" s="9"/>
      <c r="I247" s="9"/>
      <c r="J247" s="9"/>
    </row>
  </sheetData>
</worksheet>
</file>

<file path=xl/worksheets/sheet4.xml><?xml version="1.0" encoding="utf-8"?>
<worksheet xmlns="http://schemas.openxmlformats.org/spreadsheetml/2006/main" xmlns:r="http://schemas.openxmlformats.org/officeDocument/2006/relationships">
  <dimension ref="A1:J56"/>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223</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224</v>
      </c>
      <c r="B8" s="33"/>
      <c r="C8" s="33"/>
      <c r="D8" s="33"/>
      <c r="E8" s="33"/>
      <c r="F8" s="33"/>
      <c r="G8" s="33"/>
      <c r="H8" s="33"/>
      <c r="I8" s="53"/>
      <c r="J8" s="20"/>
    </row>
    <row r="9">
      <c r="A9" s="9" t="s">
        <v>117</v>
      </c>
      <c r="B9" s="39">
        <v>2626</v>
      </c>
      <c r="C9" s="40">
        <f>B14</f>
        <v>2613</v>
      </c>
      <c r="D9" s="40">
        <f>C14</f>
        <v>2713</v>
      </c>
      <c r="E9" s="40">
        <f>D14</f>
        <v>2702</v>
      </c>
      <c r="F9" s="40">
        <f>B9</f>
        <v>2626</v>
      </c>
      <c r="G9" s="40" t="s">
        <v>40</v>
      </c>
      <c r="H9" s="40" t="s">
        <v>40</v>
      </c>
      <c r="I9" s="41" t="s">
        <v>40</v>
      </c>
      <c r="J9" s="20" t="s">
        <v>225</v>
      </c>
    </row>
    <row r="10">
      <c r="A10" s="9" t="s">
        <v>129</v>
      </c>
      <c r="B10" s="40" t="s">
        <v>40</v>
      </c>
      <c r="C10" s="40" t="s">
        <v>40</v>
      </c>
      <c r="D10" s="40" t="s">
        <v>40</v>
      </c>
      <c r="E10" s="40" t="s">
        <v>40</v>
      </c>
      <c r="F10" s="40" t="s">
        <v>40</v>
      </c>
      <c r="G10" s="40" t="s">
        <v>40</v>
      </c>
      <c r="H10" s="40" t="s">
        <v>40</v>
      </c>
      <c r="I10" s="41" t="s">
        <v>40</v>
      </c>
      <c r="J10" s="20"/>
    </row>
    <row r="11">
      <c r="A11" s="9" t="s">
        <v>130</v>
      </c>
      <c r="B11" s="40" t="s">
        <v>40</v>
      </c>
      <c r="C11" s="40" t="s">
        <v>40</v>
      </c>
      <c r="D11" s="40" t="s">
        <v>40</v>
      </c>
      <c r="E11" s="40" t="s">
        <v>40</v>
      </c>
      <c r="F11" s="40" t="s">
        <v>40</v>
      </c>
      <c r="G11" s="40" t="s">
        <v>40</v>
      </c>
      <c r="H11" s="40" t="s">
        <v>40</v>
      </c>
      <c r="I11" s="41" t="s">
        <v>40</v>
      </c>
      <c r="J11" s="20"/>
    </row>
    <row r="12">
      <c r="A12" s="9" t="s">
        <v>226</v>
      </c>
      <c r="B12" s="39">
        <v>0</v>
      </c>
      <c r="C12" s="39">
        <v>124</v>
      </c>
      <c r="D12" s="39">
        <v>0</v>
      </c>
      <c r="E12" s="39">
        <v>0</v>
      </c>
      <c r="F12" s="40">
        <f>SUM(B12:E12)</f>
        <v>124</v>
      </c>
      <c r="G12" s="40" t="s">
        <v>40</v>
      </c>
      <c r="H12" s="40" t="s">
        <v>40</v>
      </c>
      <c r="I12" s="41" t="s">
        <v>40</v>
      </c>
      <c r="J12" s="20" t="s">
        <v>227</v>
      </c>
    </row>
    <row r="13">
      <c r="A13" s="9" t="s">
        <v>131</v>
      </c>
      <c r="B13" s="39">
        <v>-13</v>
      </c>
      <c r="C13" s="39">
        <v>-24</v>
      </c>
      <c r="D13" s="39">
        <v>-11</v>
      </c>
      <c r="E13" s="39">
        <v>0</v>
      </c>
      <c r="F13" s="40">
        <f>SUM(B13:E13)</f>
        <v>-48</v>
      </c>
      <c r="G13" s="40" t="s">
        <v>40</v>
      </c>
      <c r="H13" s="40" t="s">
        <v>40</v>
      </c>
      <c r="I13" s="41" t="s">
        <v>40</v>
      </c>
      <c r="J13" s="20" t="s">
        <v>225</v>
      </c>
    </row>
    <row r="14">
      <c r="A14" s="9" t="s">
        <v>123</v>
      </c>
      <c r="B14" s="39">
        <v>2613</v>
      </c>
      <c r="C14" s="39">
        <v>2713</v>
      </c>
      <c r="D14" s="39">
        <v>2702</v>
      </c>
      <c r="E14" s="39">
        <v>2702</v>
      </c>
      <c r="F14" s="40">
        <f>E14</f>
        <v>2702</v>
      </c>
      <c r="G14" s="40" t="s">
        <v>40</v>
      </c>
      <c r="H14" s="40" t="s">
        <v>40</v>
      </c>
      <c r="I14" s="41">
        <f>D14*(1+I16)</f>
        <v>2653.364</v>
      </c>
      <c r="J14" s="20" t="s">
        <v>228</v>
      </c>
    </row>
    <row r="15">
      <c r="A15" s="9" t="s">
        <v>124</v>
      </c>
      <c r="B15" s="40">
        <f>AVERAGE(B9,B14)</f>
        <v>2619.5</v>
      </c>
      <c r="C15" s="40">
        <f>AVERAGE(C9,C14)</f>
        <v>2663</v>
      </c>
      <c r="D15" s="40">
        <f>AVERAGE(D9,D14)</f>
        <v>2707.5</v>
      </c>
      <c r="E15" s="40">
        <f>AVERAGE(E9,E14)</f>
        <v>2702</v>
      </c>
      <c r="F15" s="40">
        <f>AVERAGE(B15:E15)</f>
        <v>2673</v>
      </c>
      <c r="G15" s="40" t="s">
        <v>40</v>
      </c>
      <c r="H15" s="40" t="s">
        <v>40</v>
      </c>
      <c r="I15" s="41">
        <f>D15*(1+I16)</f>
        <v>2658.765</v>
      </c>
      <c r="J15" s="20" t="s">
        <v>229</v>
      </c>
    </row>
    <row r="16">
      <c r="A16" s="23" t="s">
        <v>230</v>
      </c>
      <c r="B16" s="29" t="s">
        <v>40</v>
      </c>
      <c r="C16" s="29" t="s">
        <v>40</v>
      </c>
      <c r="D16" s="29" t="s">
        <v>40</v>
      </c>
      <c r="E16" s="29" t="s">
        <v>40</v>
      </c>
      <c r="F16" s="29" t="s">
        <v>40</v>
      </c>
      <c r="G16" s="29" t="s">
        <v>40</v>
      </c>
      <c r="H16" s="29" t="s">
        <v>40</v>
      </c>
      <c r="I16" s="48">
        <v>-0.018</v>
      </c>
      <c r="J16" s="20" t="s">
        <v>231</v>
      </c>
    </row>
    <row r="17">
      <c r="A17" s="9" t="s">
        <v>127</v>
      </c>
      <c r="B17" s="40" t="s">
        <v>40</v>
      </c>
      <c r="C17" s="40">
        <f>IFERROR(C14-B14,"n.a.")</f>
        <v>100</v>
      </c>
      <c r="D17" s="40">
        <f>IFERROR(D14-C14,"n.a.")</f>
        <v>-11</v>
      </c>
      <c r="E17" s="40">
        <f>IFERROR(E14-D14,"n.a.")</f>
        <v>0</v>
      </c>
      <c r="F17" s="40" t="s">
        <v>40</v>
      </c>
      <c r="G17" s="40" t="str">
        <f>IFERROR(G14-E14,"n.a.")</f>
        <v>n.a.</v>
      </c>
      <c r="H17" s="40" t="str">
        <f>IFERROR(H14-G14,"n.a.")</f>
        <v>n.a.</v>
      </c>
      <c r="I17" s="41" t="str">
        <f>IFERROR(I14-H14,"n.a.")</f>
        <v>n.a.</v>
      </c>
      <c r="J17" s="20"/>
    </row>
    <row r="18">
      <c r="A18" s="9" t="s">
        <v>232</v>
      </c>
      <c r="B18" s="43">
        <f>B23/B15*1000/3</f>
        <v>317.61786600496276</v>
      </c>
      <c r="C18" s="43">
        <f>C23/C15*1000/3</f>
        <v>322.31818750782327</v>
      </c>
      <c r="D18" s="43">
        <f>D23/D15*1000/3</f>
        <v>317.1437365343183</v>
      </c>
      <c r="E18" s="43">
        <f>E23/E15*1000/3</f>
        <v>319.51640759930916</v>
      </c>
      <c r="F18" s="43">
        <f>F23/F15*1000/12</f>
        <v>319.14827285197657</v>
      </c>
      <c r="G18" s="43" t="s">
        <v>40</v>
      </c>
      <c r="H18" s="43" t="s">
        <v>40</v>
      </c>
      <c r="I18" s="61">
        <f>D18*(1+I19)</f>
        <v>332.04949215143125</v>
      </c>
      <c r="J18" s="20"/>
    </row>
    <row r="19">
      <c r="A19" s="23" t="s">
        <v>150</v>
      </c>
      <c r="B19" s="29" t="s">
        <v>40</v>
      </c>
      <c r="C19" s="29" t="s">
        <v>40</v>
      </c>
      <c r="D19" s="29" t="s">
        <v>40</v>
      </c>
      <c r="E19" s="29" t="s">
        <v>40</v>
      </c>
      <c r="F19" s="29" t="s">
        <v>40</v>
      </c>
      <c r="G19" s="29" t="s">
        <v>40</v>
      </c>
      <c r="H19" s="29" t="s">
        <v>40</v>
      </c>
      <c r="I19" s="48">
        <v>0.047</v>
      </c>
      <c r="J19" s="20" t="s">
        <v>233</v>
      </c>
    </row>
    <row r="20">
      <c r="A20" s="9" t="s">
        <v>152</v>
      </c>
      <c r="B20" s="43" t="s">
        <v>40</v>
      </c>
      <c r="C20" s="43">
        <f>IFERROR(C18-B18,"n.a.")</f>
        <v>4.700321502860504</v>
      </c>
      <c r="D20" s="43">
        <f>IFERROR(D18-C18,"n.a.")</f>
        <v>-5.174450973504975</v>
      </c>
      <c r="E20" s="43">
        <f>IFERROR(E18-D18,"n.a.")</f>
        <v>2.372671064990868</v>
      </c>
      <c r="F20" s="43" t="s">
        <v>40</v>
      </c>
      <c r="G20" s="43" t="str">
        <f>IFERROR(G18-E18,"n.a.")</f>
        <v>n.a.</v>
      </c>
      <c r="H20" s="43" t="str">
        <f>IFERROR(H18-G18,"n.a.")</f>
        <v>n.a.</v>
      </c>
      <c r="I20" s="61" t="str">
        <f>IFERROR(I18-H18,"n.a.")</f>
        <v>n.a.</v>
      </c>
      <c r="J20" s="20"/>
    </row>
    <row r="21">
      <c r="A21" s="9"/>
      <c r="B21" s="9"/>
      <c r="C21" s="9"/>
      <c r="D21" s="9"/>
      <c r="E21" s="9"/>
      <c r="F21" s="9"/>
      <c r="G21" s="9"/>
      <c r="H21" s="9"/>
      <c r="I21" s="69"/>
      <c r="J21" s="20"/>
    </row>
    <row r="22">
      <c r="A22" s="35" t="s">
        <v>234</v>
      </c>
      <c r="B22" s="33"/>
      <c r="C22" s="33"/>
      <c r="D22" s="33"/>
      <c r="E22" s="33"/>
      <c r="F22" s="33"/>
      <c r="G22" s="33"/>
      <c r="H22" s="33"/>
      <c r="I22" s="53"/>
      <c r="J22" s="20"/>
    </row>
    <row r="23" ht="26.25">
      <c r="A23" s="113" t="s">
        <v>235</v>
      </c>
      <c r="B23" s="44">
        <v>2496</v>
      </c>
      <c r="C23" s="44">
        <v>2575</v>
      </c>
      <c r="D23" s="44">
        <v>2576</v>
      </c>
      <c r="E23" s="44">
        <v>2590</v>
      </c>
      <c r="F23" s="45">
        <f>SUM(B23:E23)</f>
        <v>10237</v>
      </c>
      <c r="G23" s="44">
        <v>2640</v>
      </c>
      <c r="H23" s="44">
        <v>2671</v>
      </c>
      <c r="I23" s="52">
        <f>I15*I18*3/1000</f>
        <v>2648.5247040000004</v>
      </c>
      <c r="J23" s="20" t="s">
        <v>225</v>
      </c>
    </row>
    <row r="24">
      <c r="A24" s="23" t="s">
        <v>236</v>
      </c>
      <c r="B24" s="29" t="s">
        <v>40</v>
      </c>
      <c r="C24" s="29" t="s">
        <v>40</v>
      </c>
      <c r="D24" s="29" t="s">
        <v>40</v>
      </c>
      <c r="E24" s="29" t="s">
        <v>40</v>
      </c>
      <c r="F24" s="29" t="s">
        <v>40</v>
      </c>
      <c r="G24" s="29">
        <f>IFERROR(G23/B23-1,"n.a.")</f>
        <v>0.05769230769230771</v>
      </c>
      <c r="H24" s="29">
        <f>IFERROR(H23/C23-1,"n.a.")</f>
        <v>0.037281553398058165</v>
      </c>
      <c r="I24" s="50">
        <f>IFERROR(I23/D23-1,"n.a.")</f>
        <v>0.028154000000000234</v>
      </c>
      <c r="J24" s="20"/>
    </row>
    <row r="25">
      <c r="A25" s="9" t="s">
        <v>189</v>
      </c>
      <c r="B25" s="40" t="s">
        <v>40</v>
      </c>
      <c r="C25" s="40">
        <f>IFERROR(C23-B23,"n.a.")</f>
        <v>79</v>
      </c>
      <c r="D25" s="40">
        <f>IFERROR(D23-C23,"n.a.")</f>
        <v>1</v>
      </c>
      <c r="E25" s="40">
        <f>IFERROR(E23-D23,"n.a.")</f>
        <v>14</v>
      </c>
      <c r="F25" s="40" t="s">
        <v>40</v>
      </c>
      <c r="G25" s="40">
        <f>IFERROR(G23-E23,"n.a.")</f>
        <v>50</v>
      </c>
      <c r="H25" s="40">
        <f>IFERROR(H23-G23,"n.a.")</f>
        <v>31</v>
      </c>
      <c r="I25" s="41">
        <f>IFERROR(I23-H23,"n.a.")</f>
        <v>-22.475295999999616</v>
      </c>
      <c r="J25" s="20"/>
    </row>
    <row r="26">
      <c r="A26" s="23" t="s">
        <v>96</v>
      </c>
      <c r="B26" s="29" t="s">
        <v>40</v>
      </c>
      <c r="C26" s="29">
        <f>IFERROR(C23/B23-1,"n.a.")</f>
        <v>0.03165064102564097</v>
      </c>
      <c r="D26" s="29">
        <f>IFERROR(D23/C23-1,"n.a.")</f>
        <v>0.0003883495145631244</v>
      </c>
      <c r="E26" s="29">
        <f>IFERROR(E23/D23-1,"n.a.")</f>
        <v>0.005434782608695565</v>
      </c>
      <c r="F26" s="29" t="s">
        <v>40</v>
      </c>
      <c r="G26" s="29">
        <f>IFERROR(G23/E23-1,"n.a.")</f>
        <v>0.019305019305019266</v>
      </c>
      <c r="H26" s="29">
        <f>IFERROR(H23/G23-1,"n.a.")</f>
        <v>0.011742424242424221</v>
      </c>
      <c r="I26" s="50">
        <f>IFERROR(I23/H23-1,"n.a.")</f>
        <v>-0.008414562336203524</v>
      </c>
      <c r="J26" s="20"/>
    </row>
    <row r="27">
      <c r="A27" s="9" t="s">
        <v>185</v>
      </c>
      <c r="B27" s="40">
        <f>B23</f>
        <v>2496</v>
      </c>
      <c r="C27" s="40">
        <f>C23</f>
        <v>2575</v>
      </c>
      <c r="D27" s="40">
        <f>D23</f>
        <v>2576</v>
      </c>
      <c r="E27" s="40">
        <f>E23</f>
        <v>2590</v>
      </c>
      <c r="F27" s="40">
        <f>SUM(B27:E27)</f>
        <v>10237</v>
      </c>
      <c r="G27" s="40">
        <f>G23</f>
        <v>2640</v>
      </c>
      <c r="H27" s="40">
        <f>H23</f>
        <v>2671</v>
      </c>
      <c r="I27" s="41">
        <f>I23</f>
        <v>2648.5247040000004</v>
      </c>
      <c r="J27" s="20"/>
    </row>
    <row r="28">
      <c r="A28" s="23" t="s">
        <v>186</v>
      </c>
      <c r="B28" s="29" t="s">
        <v>40</v>
      </c>
      <c r="C28" s="29" t="s">
        <v>40</v>
      </c>
      <c r="D28" s="29" t="s">
        <v>40</v>
      </c>
      <c r="E28" s="29" t="s">
        <v>40</v>
      </c>
      <c r="F28" s="29" t="s">
        <v>40</v>
      </c>
      <c r="G28" s="65">
        <v>0.057</v>
      </c>
      <c r="H28" s="65">
        <v>0.037</v>
      </c>
      <c r="I28" s="50" t="s">
        <v>40</v>
      </c>
      <c r="J28" s="20" t="s">
        <v>225</v>
      </c>
    </row>
    <row r="29">
      <c r="A29" s="23" t="s">
        <v>98</v>
      </c>
      <c r="B29" s="29" t="s">
        <v>40</v>
      </c>
      <c r="C29" s="29" t="s">
        <v>40</v>
      </c>
      <c r="D29" s="29" t="s">
        <v>40</v>
      </c>
      <c r="E29" s="29" t="s">
        <v>40</v>
      </c>
      <c r="F29" s="29" t="s">
        <v>40</v>
      </c>
      <c r="G29" s="29">
        <f>IFERROR(G27/B27-1,"n.a.")</f>
        <v>0.05769230769230771</v>
      </c>
      <c r="H29" s="29">
        <f>IFERROR(H27/C27-1,"n.a.")</f>
        <v>0.037281553398058165</v>
      </c>
      <c r="I29" s="50">
        <f>IFERROR(I27/D27-1,"n.a.")</f>
        <v>0.028154000000000234</v>
      </c>
      <c r="J29" s="20"/>
    </row>
    <row r="30">
      <c r="A30" s="23" t="s">
        <v>99</v>
      </c>
      <c r="B30" s="29" t="s">
        <v>40</v>
      </c>
      <c r="C30" s="29" t="s">
        <v>40</v>
      </c>
      <c r="D30" s="29" t="s">
        <v>40</v>
      </c>
      <c r="E30" s="29" t="s">
        <v>40</v>
      </c>
      <c r="F30" s="29" t="s">
        <v>40</v>
      </c>
      <c r="G30" s="29" t="s">
        <v>40</v>
      </c>
      <c r="H30" s="65">
        <v>0</v>
      </c>
      <c r="I30" s="48">
        <v>0</v>
      </c>
      <c r="J30" s="20" t="s">
        <v>237</v>
      </c>
    </row>
    <row r="31">
      <c r="A31" s="23" t="s">
        <v>104</v>
      </c>
      <c r="B31" s="29" t="s">
        <v>40</v>
      </c>
      <c r="C31" s="29" t="s">
        <v>40</v>
      </c>
      <c r="D31" s="29" t="s">
        <v>40</v>
      </c>
      <c r="E31" s="29" t="s">
        <v>40</v>
      </c>
      <c r="F31" s="29" t="s">
        <v>40</v>
      </c>
      <c r="G31" s="29">
        <f>IFERROR((G27/B27)/(1+G28)-1,"n.a.")</f>
        <v>0.0006549741649080065</v>
      </c>
      <c r="H31" s="29">
        <f>IFERROR((H27/C27)/(1+H28)-1,"n.a.")</f>
        <v>0.0002715076162567165</v>
      </c>
      <c r="I31" s="48">
        <v>0</v>
      </c>
      <c r="J31" s="20" t="s">
        <v>238</v>
      </c>
    </row>
    <row r="32">
      <c r="A32" s="23" t="s">
        <v>103</v>
      </c>
      <c r="B32" s="29" t="s">
        <v>40</v>
      </c>
      <c r="C32" s="29" t="s">
        <v>40</v>
      </c>
      <c r="D32" s="29" t="s">
        <v>40</v>
      </c>
      <c r="E32" s="29" t="s">
        <v>40</v>
      </c>
      <c r="F32" s="29" t="s">
        <v>40</v>
      </c>
      <c r="G32" s="29" t="str">
        <f>IFERROR(IF(OR(ISTEXT(G29),ISTEXT(G30),ISTEXT(G31)),"n.a.",(1+G29)/((1+G30)*(1+G31))-1),"n.a.")</f>
        <v>n.a.</v>
      </c>
      <c r="H32" s="29">
        <f>IFERROR(IF(OR(ISTEXT(H29),ISTEXT(H30),ISTEXT(H31)),"n.a.",(1+H29)/((1+H30)*(1+H31))-1),"n.a.")</f>
        <v>0.03699999999999992</v>
      </c>
      <c r="I32" s="50">
        <f>IFERROR(IF(OR(ISTEXT(I29),ISTEXT(I30),ISTEXT(I31)),"n.a.",(1+I29)/((1+I30)*(1+I31))-1),"n.a.")</f>
        <v>0.028154000000000234</v>
      </c>
      <c r="J32" s="20"/>
    </row>
    <row r="33">
      <c r="A33" s="9" t="s">
        <v>239</v>
      </c>
      <c r="B33" s="39">
        <v>1074</v>
      </c>
      <c r="C33" s="39">
        <v>1131</v>
      </c>
      <c r="D33" s="39">
        <v>1122</v>
      </c>
      <c r="E33" s="39">
        <v>1186</v>
      </c>
      <c r="F33" s="40">
        <f>SUM(B33:E33)</f>
        <v>4513</v>
      </c>
      <c r="G33" s="39">
        <v>1163</v>
      </c>
      <c r="H33" s="39">
        <v>1155</v>
      </c>
      <c r="I33" s="41">
        <f>I23-I36</f>
        <v>1160.053820352</v>
      </c>
      <c r="J33" s="20" t="s">
        <v>225</v>
      </c>
    </row>
    <row r="34">
      <c r="A34" s="23" t="s">
        <v>217</v>
      </c>
      <c r="B34" s="29" t="s">
        <v>40</v>
      </c>
      <c r="C34" s="29" t="s">
        <v>40</v>
      </c>
      <c r="D34" s="29" t="s">
        <v>40</v>
      </c>
      <c r="E34" s="29" t="s">
        <v>40</v>
      </c>
      <c r="F34" s="29" t="s">
        <v>40</v>
      </c>
      <c r="G34" s="29">
        <f>IFERROR(G33/B33-1,"n.a.")</f>
        <v>0.08286778398510242</v>
      </c>
      <c r="H34" s="29">
        <f>IFERROR(H33/C33-1,"n.a.")</f>
        <v>0.021220159151193574</v>
      </c>
      <c r="I34" s="50">
        <f>IFERROR(I33/D33-1,"n.a.")</f>
        <v>0.03391606091978616</v>
      </c>
      <c r="J34" s="20"/>
    </row>
    <row r="35">
      <c r="A35" s="9" t="s">
        <v>189</v>
      </c>
      <c r="B35" s="40" t="s">
        <v>40</v>
      </c>
      <c r="C35" s="40">
        <f>IFERROR(C33-B33,"n.a.")</f>
        <v>57</v>
      </c>
      <c r="D35" s="40">
        <f>IFERROR(D33-C33,"n.a.")</f>
        <v>-9</v>
      </c>
      <c r="E35" s="40">
        <f>IFERROR(E33-D33,"n.a.")</f>
        <v>64</v>
      </c>
      <c r="F35" s="40" t="s">
        <v>40</v>
      </c>
      <c r="G35" s="40">
        <f>IFERROR(G33-E33,"n.a.")</f>
        <v>-23</v>
      </c>
      <c r="H35" s="40">
        <f>IFERROR(H33-G33,"n.a.")</f>
        <v>-8</v>
      </c>
      <c r="I35" s="41">
        <f>IFERROR(I33-H33,"n.a.")</f>
        <v>5.0538203520000025</v>
      </c>
      <c r="J35" s="20"/>
    </row>
    <row r="36">
      <c r="A36" s="35" t="s">
        <v>240</v>
      </c>
      <c r="B36" s="45">
        <f>B23-B33</f>
        <v>1422</v>
      </c>
      <c r="C36" s="45">
        <f>C23-C33</f>
        <v>1444</v>
      </c>
      <c r="D36" s="45">
        <f>D23-D33</f>
        <v>1454</v>
      </c>
      <c r="E36" s="45">
        <f>E23-E33</f>
        <v>1404</v>
      </c>
      <c r="F36" s="45">
        <f>SUM(B36:E36)</f>
        <v>5724</v>
      </c>
      <c r="G36" s="45">
        <f>G23-G33</f>
        <v>1477</v>
      </c>
      <c r="H36" s="45">
        <f>H23-H33</f>
        <v>1516</v>
      </c>
      <c r="I36" s="52">
        <f>I23*I37</f>
        <v>1488.4708836480004</v>
      </c>
      <c r="J36" s="20"/>
    </row>
    <row r="37">
      <c r="A37" s="23" t="s">
        <v>219</v>
      </c>
      <c r="B37" s="29">
        <f>B36/B23</f>
        <v>0.5697115384615384</v>
      </c>
      <c r="C37" s="29">
        <f>C36/C23</f>
        <v>0.5607766990291262</v>
      </c>
      <c r="D37" s="29">
        <f>D36/D23</f>
        <v>0.5644409937888198</v>
      </c>
      <c r="E37" s="29">
        <f>E36/E23</f>
        <v>0.5420849420849421</v>
      </c>
      <c r="F37" s="29">
        <f>F36/F23</f>
        <v>0.5591481879456872</v>
      </c>
      <c r="G37" s="29">
        <f>G36/G23</f>
        <v>0.559469696969697</v>
      </c>
      <c r="H37" s="29">
        <f>H36/H23</f>
        <v>0.5675776862598277</v>
      </c>
      <c r="I37" s="48">
        <v>0.562</v>
      </c>
      <c r="J37" s="20" t="s">
        <v>241</v>
      </c>
    </row>
    <row r="38">
      <c r="A38" s="23" t="s">
        <v>139</v>
      </c>
      <c r="B38" s="51" t="s">
        <v>40</v>
      </c>
      <c r="C38" s="51" t="s">
        <v>40</v>
      </c>
      <c r="D38" s="51" t="s">
        <v>40</v>
      </c>
      <c r="E38" s="51" t="s">
        <v>40</v>
      </c>
      <c r="F38" s="51" t="s">
        <v>40</v>
      </c>
      <c r="G38" s="51">
        <f>IFERROR((G37-B37)*10000,"n.a.")</f>
        <v>-102.41841491841485</v>
      </c>
      <c r="H38" s="51">
        <f>IFERROR((H37-C37)*10000,"n.a.")</f>
        <v>68.0098723070155</v>
      </c>
      <c r="I38" s="46">
        <f>IFERROR((I37-D37)*10000,"n.a.")</f>
        <v>-24.409937888197895</v>
      </c>
      <c r="J38" s="20"/>
    </row>
    <row r="39">
      <c r="A39" s="23" t="s">
        <v>140</v>
      </c>
      <c r="B39" s="51" t="s">
        <v>40</v>
      </c>
      <c r="C39" s="51">
        <f>IFERROR((C37-B37)*10000,"n.a.")</f>
        <v>-89.34839432412245</v>
      </c>
      <c r="D39" s="51">
        <f>IFERROR((D37-C37)*10000,"n.a.")</f>
        <v>36.64294759693654</v>
      </c>
      <c r="E39" s="51">
        <f>IFERROR((E37-D37)*10000,"n.a.")</f>
        <v>-223.56051703877776</v>
      </c>
      <c r="F39" s="51" t="s">
        <v>40</v>
      </c>
      <c r="G39" s="51">
        <f>IFERROR((G37-E37)*10000,"n.a.")</f>
        <v>173.84754884754884</v>
      </c>
      <c r="H39" s="51">
        <f>IFERROR((H37-G37)*10000,"n.a.")</f>
        <v>81.0798929013079</v>
      </c>
      <c r="I39" s="46">
        <f>IFERROR((I37-H37)*10000,"n.a.")</f>
        <v>-55.77686259827686</v>
      </c>
      <c r="J39" s="20"/>
    </row>
    <row r="40">
      <c r="A40" s="23" t="s">
        <v>242</v>
      </c>
      <c r="B40" s="29" t="s">
        <v>40</v>
      </c>
      <c r="C40" s="29" t="s">
        <v>40</v>
      </c>
      <c r="D40" s="29" t="s">
        <v>40</v>
      </c>
      <c r="E40" s="29" t="s">
        <v>40</v>
      </c>
      <c r="F40" s="29" t="s">
        <v>40</v>
      </c>
      <c r="G40" s="29">
        <f>IFERROR(G36/B36-1,"n.a.")</f>
        <v>0.03867791842475388</v>
      </c>
      <c r="H40" s="29">
        <f>IFERROR(H36/C36-1,"n.a.")</f>
        <v>0.049861495844875314</v>
      </c>
      <c r="I40" s="50">
        <f>IFERROR(I36/D36-1,"n.a.")</f>
        <v>0.02370762286657513</v>
      </c>
      <c r="J40" s="20"/>
    </row>
    <row r="41">
      <c r="A41" s="9" t="s">
        <v>243</v>
      </c>
      <c r="B41" s="40" t="s">
        <v>40</v>
      </c>
      <c r="C41" s="40">
        <f>IFERROR(C36-B36,"n.a.")</f>
        <v>22</v>
      </c>
      <c r="D41" s="40">
        <f>IFERROR(D36-C36,"n.a.")</f>
        <v>10</v>
      </c>
      <c r="E41" s="40">
        <f>IFERROR(E36-D36,"n.a.")</f>
        <v>-50</v>
      </c>
      <c r="F41" s="40" t="s">
        <v>40</v>
      </c>
      <c r="G41" s="40">
        <f>IFERROR(G36-E36,"n.a.")</f>
        <v>73</v>
      </c>
      <c r="H41" s="40">
        <f>IFERROR(H36-G36,"n.a.")</f>
        <v>39</v>
      </c>
      <c r="I41" s="41">
        <f>IFERROR(I36-H36,"n.a.")</f>
        <v>-27.52911635199962</v>
      </c>
      <c r="J41" s="20"/>
    </row>
    <row r="42">
      <c r="A42" s="9" t="s">
        <v>220</v>
      </c>
      <c r="B42" s="39">
        <v>1422</v>
      </c>
      <c r="C42" s="39">
        <v>1444</v>
      </c>
      <c r="D42" s="39">
        <v>1454</v>
      </c>
      <c r="E42" s="39">
        <v>1405</v>
      </c>
      <c r="F42" s="40">
        <f>SUM(B42:E42)</f>
        <v>5725</v>
      </c>
      <c r="G42" s="39">
        <v>1476</v>
      </c>
      <c r="H42" s="39">
        <v>1516</v>
      </c>
      <c r="I42" s="41" t="s">
        <v>40</v>
      </c>
      <c r="J42" s="20" t="s">
        <v>225</v>
      </c>
    </row>
    <row r="43">
      <c r="A43" s="9" t="s">
        <v>222</v>
      </c>
      <c r="B43" s="33" t="b">
        <f>ABS(B36-B42)&lt;=3</f>
        <v>1</v>
      </c>
      <c r="C43" s="33" t="b">
        <f>ABS(C36-C42)&lt;=3</f>
        <v>1</v>
      </c>
      <c r="D43" s="33" t="b">
        <f>ABS(D36-D42)&lt;=3</f>
        <v>1</v>
      </c>
      <c r="E43" s="33" t="b">
        <f>ABS(E36-E42)&lt;=3</f>
        <v>1</v>
      </c>
      <c r="F43" s="33" t="b">
        <f>ABS(F36-F42)&lt;=3</f>
        <v>1</v>
      </c>
      <c r="G43" s="33" t="b">
        <f>ABS(G36-G42)&lt;=3</f>
        <v>1</v>
      </c>
      <c r="H43" s="33" t="b">
        <f>ABS(H36-H42)&lt;=3</f>
        <v>1</v>
      </c>
      <c r="I43" s="53" t="s">
        <v>40</v>
      </c>
      <c r="J43" s="20"/>
    </row>
    <row r="44">
      <c r="A44" s="9"/>
      <c r="B44" s="9"/>
      <c r="C44" s="9"/>
      <c r="D44" s="9"/>
      <c r="E44" s="9"/>
      <c r="F44" s="9"/>
      <c r="G44" s="9"/>
      <c r="H44" s="9"/>
      <c r="I44" s="9"/>
      <c r="J44" s="20"/>
    </row>
    <row r="45">
      <c r="A45" s="9"/>
      <c r="B45" s="9"/>
      <c r="C45" s="9"/>
      <c r="D45" s="9"/>
      <c r="E45" s="9"/>
      <c r="F45" s="9"/>
      <c r="G45" s="9"/>
      <c r="H45" s="9"/>
      <c r="I45" s="9"/>
      <c r="J45" s="20"/>
    </row>
    <row r="46">
      <c r="A46" s="9"/>
      <c r="B46" s="9"/>
      <c r="C46" s="9"/>
      <c r="D46" s="9"/>
      <c r="E46" s="9"/>
      <c r="F46" s="9"/>
      <c r="G46" s="9"/>
      <c r="H46" s="9"/>
      <c r="I46" s="9"/>
      <c r="J46" s="20"/>
    </row>
    <row r="47">
      <c r="A47" s="9"/>
      <c r="B47" s="9"/>
      <c r="C47" s="9"/>
      <c r="D47" s="9"/>
      <c r="E47" s="9"/>
      <c r="F47" s="9"/>
      <c r="G47" s="9"/>
      <c r="H47" s="9"/>
      <c r="I47" s="9"/>
      <c r="J47" s="9"/>
    </row>
    <row r="48">
      <c r="A48" s="9"/>
      <c r="B48" s="9"/>
      <c r="C48" s="9"/>
      <c r="D48" s="9"/>
      <c r="E48" s="9"/>
      <c r="F48" s="9"/>
      <c r="G48" s="9"/>
      <c r="H48" s="9"/>
      <c r="I48" s="9"/>
      <c r="J48" s="9"/>
    </row>
    <row r="49">
      <c r="A49" s="9"/>
      <c r="B49" s="9"/>
      <c r="C49" s="9"/>
      <c r="D49" s="9"/>
      <c r="E49" s="9"/>
      <c r="F49" s="9"/>
      <c r="G49" s="9"/>
      <c r="H49" s="9"/>
      <c r="I49" s="9"/>
      <c r="J49" s="9"/>
    </row>
    <row r="50">
      <c r="A50" s="9"/>
      <c r="B50" s="9"/>
      <c r="C50" s="9"/>
      <c r="D50" s="9"/>
      <c r="E50" s="9"/>
      <c r="F50" s="9"/>
      <c r="G50" s="9"/>
      <c r="H50" s="9"/>
      <c r="I50" s="9"/>
      <c r="J50" s="9"/>
    </row>
    <row r="51">
      <c r="A51" s="9"/>
      <c r="B51" s="9"/>
      <c r="C51" s="9"/>
      <c r="D51" s="9"/>
      <c r="E51" s="9"/>
      <c r="F51" s="9"/>
      <c r="G51" s="9"/>
      <c r="H51" s="9"/>
      <c r="I51" s="9"/>
      <c r="J51" s="9"/>
    </row>
    <row r="52">
      <c r="A52" s="9"/>
      <c r="B52" s="9"/>
      <c r="C52" s="9"/>
      <c r="D52" s="9"/>
      <c r="E52" s="9"/>
      <c r="F52" s="9"/>
      <c r="G52" s="9"/>
      <c r="H52" s="9"/>
      <c r="I52" s="9"/>
      <c r="J52" s="9"/>
    </row>
    <row r="53">
      <c r="A53" s="9"/>
      <c r="B53" s="9"/>
      <c r="C53" s="9"/>
      <c r="D53" s="9"/>
      <c r="E53" s="9"/>
      <c r="F53" s="9"/>
      <c r="G53" s="9"/>
      <c r="H53" s="9"/>
      <c r="I53" s="9"/>
      <c r="J53" s="9"/>
    </row>
    <row r="54">
      <c r="A54" s="9"/>
      <c r="B54" s="9"/>
      <c r="C54" s="9"/>
      <c r="D54" s="9"/>
      <c r="E54" s="9"/>
      <c r="F54" s="9"/>
      <c r="G54" s="9"/>
      <c r="H54" s="9"/>
      <c r="I54" s="9"/>
      <c r="J54" s="9"/>
    </row>
    <row r="55">
      <c r="A55" s="9"/>
      <c r="B55" s="9"/>
      <c r="C55" s="9"/>
      <c r="D55" s="9"/>
      <c r="E55" s="9"/>
      <c r="F55" s="9"/>
      <c r="G55" s="9"/>
      <c r="H55" s="9"/>
      <c r="I55" s="9"/>
      <c r="J55" s="9"/>
    </row>
    <row r="56">
      <c r="A56" s="9"/>
      <c r="B56" s="9"/>
      <c r="C56" s="9"/>
      <c r="D56" s="9"/>
      <c r="E56" s="9"/>
      <c r="F56" s="9"/>
      <c r="G56" s="9"/>
      <c r="H56" s="9"/>
      <c r="I56" s="9"/>
      <c r="J56" s="9"/>
    </row>
  </sheetData>
</worksheet>
</file>

<file path=xl/worksheets/sheet5.xml><?xml version="1.0" encoding="utf-8"?>
<worksheet xmlns="http://schemas.openxmlformats.org/spreadsheetml/2006/main" xmlns:r="http://schemas.openxmlformats.org/officeDocument/2006/relationships">
  <dimension ref="A1:J191"/>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244</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245</v>
      </c>
      <c r="B8" s="33"/>
      <c r="C8" s="33"/>
      <c r="D8" s="33"/>
      <c r="E8" s="33"/>
      <c r="F8" s="33"/>
      <c r="G8" s="33"/>
      <c r="H8" s="33"/>
      <c r="I8" s="53"/>
      <c r="J8" s="20"/>
    </row>
    <row r="9">
      <c r="A9" s="9" t="s">
        <v>246</v>
      </c>
      <c r="B9" s="39">
        <v>36</v>
      </c>
      <c r="C9" s="40">
        <f>B14</f>
        <v>41</v>
      </c>
      <c r="D9" s="40">
        <f>C14</f>
        <v>41</v>
      </c>
      <c r="E9" s="40">
        <f>D14</f>
        <v>41</v>
      </c>
      <c r="F9" s="40">
        <f>B9</f>
        <v>36</v>
      </c>
      <c r="G9" s="40">
        <f>E14</f>
        <v>44</v>
      </c>
      <c r="H9" s="40">
        <f>G14</f>
        <v>46</v>
      </c>
      <c r="I9" s="41">
        <f>H14</f>
        <v>48</v>
      </c>
      <c r="J9" s="20" t="s">
        <v>247</v>
      </c>
    </row>
    <row r="10">
      <c r="A10" s="9" t="s">
        <v>129</v>
      </c>
      <c r="B10" s="40" t="s">
        <v>40</v>
      </c>
      <c r="C10" s="40" t="s">
        <v>40</v>
      </c>
      <c r="D10" s="40" t="s">
        <v>40</v>
      </c>
      <c r="E10" s="40" t="s">
        <v>40</v>
      </c>
      <c r="F10" s="40" t="s">
        <v>40</v>
      </c>
      <c r="G10" s="40" t="s">
        <v>40</v>
      </c>
      <c r="H10" s="40" t="s">
        <v>40</v>
      </c>
      <c r="I10" s="41" t="s">
        <v>40</v>
      </c>
      <c r="J10" s="20"/>
    </row>
    <row r="11">
      <c r="A11" s="9" t="s">
        <v>248</v>
      </c>
      <c r="B11" s="40" t="s">
        <v>40</v>
      </c>
      <c r="C11" s="40" t="s">
        <v>40</v>
      </c>
      <c r="D11" s="40" t="s">
        <v>40</v>
      </c>
      <c r="E11" s="40" t="s">
        <v>40</v>
      </c>
      <c r="F11" s="40" t="s">
        <v>40</v>
      </c>
      <c r="G11" s="40" t="s">
        <v>40</v>
      </c>
      <c r="H11" s="40" t="s">
        <v>40</v>
      </c>
      <c r="I11" s="41" t="s">
        <v>40</v>
      </c>
      <c r="J11" s="20"/>
    </row>
    <row r="12">
      <c r="A12" s="9" t="s">
        <v>249</v>
      </c>
      <c r="B12" s="40">
        <f>B14-B9</f>
        <v>5</v>
      </c>
      <c r="C12" s="40">
        <f>C14-C9</f>
        <v>0</v>
      </c>
      <c r="D12" s="40">
        <f>D14-D9</f>
        <v>0</v>
      </c>
      <c r="E12" s="40">
        <f>E14-E9</f>
        <v>3</v>
      </c>
      <c r="F12" s="40">
        <f>SUM(B12:E12)</f>
        <v>8</v>
      </c>
      <c r="G12" s="40">
        <f>G14-G9</f>
        <v>2</v>
      </c>
      <c r="H12" s="40">
        <f>H14-H9</f>
        <v>2</v>
      </c>
      <c r="I12" s="73">
        <v>1</v>
      </c>
      <c r="J12" s="20" t="s">
        <v>250</v>
      </c>
    </row>
    <row r="13">
      <c r="A13" s="9" t="s">
        <v>121</v>
      </c>
      <c r="B13" s="40" t="s">
        <v>40</v>
      </c>
      <c r="C13" s="40" t="s">
        <v>40</v>
      </c>
      <c r="D13" s="40" t="s">
        <v>40</v>
      </c>
      <c r="E13" s="40" t="s">
        <v>40</v>
      </c>
      <c r="F13" s="40" t="s">
        <v>40</v>
      </c>
      <c r="G13" s="40">
        <f>IFERROR(G12-B12,"n.a.")</f>
        <v>-3</v>
      </c>
      <c r="H13" s="40">
        <f>IFERROR(H12-C12,"n.a.")</f>
        <v>2</v>
      </c>
      <c r="I13" s="41">
        <f>IFERROR(I12-D12,"n.a.")</f>
        <v>1</v>
      </c>
      <c r="J13" s="20"/>
    </row>
    <row r="14">
      <c r="A14" s="35" t="s">
        <v>251</v>
      </c>
      <c r="B14" s="44">
        <v>41</v>
      </c>
      <c r="C14" s="44">
        <v>41</v>
      </c>
      <c r="D14" s="44">
        <v>41</v>
      </c>
      <c r="E14" s="44">
        <v>44</v>
      </c>
      <c r="F14" s="45">
        <f>E14</f>
        <v>44</v>
      </c>
      <c r="G14" s="44">
        <v>46</v>
      </c>
      <c r="H14" s="44">
        <v>48</v>
      </c>
      <c r="I14" s="52">
        <f>I9+I12</f>
        <v>49</v>
      </c>
      <c r="J14" s="20" t="s">
        <v>247</v>
      </c>
    </row>
    <row r="15">
      <c r="A15" s="9" t="s">
        <v>252</v>
      </c>
      <c r="B15" s="40">
        <f>AVERAGE(B9,B14)</f>
        <v>38.5</v>
      </c>
      <c r="C15" s="40">
        <f>AVERAGE(C9,C14)</f>
        <v>41</v>
      </c>
      <c r="D15" s="40">
        <f>AVERAGE(D9,D14)</f>
        <v>41</v>
      </c>
      <c r="E15" s="40">
        <f>AVERAGE(E9,E14)</f>
        <v>42.5</v>
      </c>
      <c r="F15" s="40">
        <f>AVERAGE(B15:E15)</f>
        <v>40.75</v>
      </c>
      <c r="G15" s="40">
        <f>AVERAGE(G9,G14)</f>
        <v>45</v>
      </c>
      <c r="H15" s="40">
        <f>AVERAGE(H9,H14)</f>
        <v>47</v>
      </c>
      <c r="I15" s="41">
        <f>AVERAGE(I9,I14)</f>
        <v>48.5</v>
      </c>
      <c r="J15" s="20"/>
    </row>
    <row r="16">
      <c r="A16" s="23" t="s">
        <v>125</v>
      </c>
      <c r="B16" s="29" t="s">
        <v>40</v>
      </c>
      <c r="C16" s="29" t="s">
        <v>40</v>
      </c>
      <c r="D16" s="29" t="s">
        <v>40</v>
      </c>
      <c r="E16" s="29" t="s">
        <v>40</v>
      </c>
      <c r="F16" s="29" t="s">
        <v>40</v>
      </c>
      <c r="G16" s="29">
        <f>IFERROR(G14/B14-1,"n.a.")</f>
        <v>0.12195121951219523</v>
      </c>
      <c r="H16" s="29">
        <f>IFERROR(H14/C14-1,"n.a.")</f>
        <v>0.1707317073170731</v>
      </c>
      <c r="I16" s="50">
        <f>IFERROR(I14/D14-1,"n.a.")</f>
        <v>0.19512195121951215</v>
      </c>
      <c r="J16" s="20"/>
    </row>
    <row r="17">
      <c r="A17" s="9" t="s">
        <v>126</v>
      </c>
      <c r="B17" s="40" t="s">
        <v>40</v>
      </c>
      <c r="C17" s="40" t="s">
        <v>40</v>
      </c>
      <c r="D17" s="40" t="s">
        <v>40</v>
      </c>
      <c r="E17" s="40" t="s">
        <v>40</v>
      </c>
      <c r="F17" s="40" t="s">
        <v>40</v>
      </c>
      <c r="G17" s="40">
        <f>IFERROR(G14-B14,"n.a.")</f>
        <v>5</v>
      </c>
      <c r="H17" s="40">
        <f>IFERROR(H14-C14,"n.a.")</f>
        <v>7</v>
      </c>
      <c r="I17" s="41">
        <f>IFERROR(I14-D14,"n.a.")</f>
        <v>8</v>
      </c>
      <c r="J17" s="20"/>
    </row>
    <row r="18">
      <c r="A18" s="9" t="s">
        <v>127</v>
      </c>
      <c r="B18" s="40" t="s">
        <v>40</v>
      </c>
      <c r="C18" s="40">
        <f>IFERROR(C14-B14,"n.a.")</f>
        <v>0</v>
      </c>
      <c r="D18" s="40">
        <f>IFERROR(D14-C14,"n.a.")</f>
        <v>0</v>
      </c>
      <c r="E18" s="40">
        <f>IFERROR(E14-D14,"n.a.")</f>
        <v>3</v>
      </c>
      <c r="F18" s="40" t="s">
        <v>40</v>
      </c>
      <c r="G18" s="40">
        <f>IFERROR(G14-E14,"n.a.")</f>
        <v>2</v>
      </c>
      <c r="H18" s="40">
        <f>IFERROR(H14-G14,"n.a.")</f>
        <v>2</v>
      </c>
      <c r="I18" s="41">
        <f>IFERROR(I14-H14,"n.a.")</f>
        <v>1</v>
      </c>
      <c r="J18" s="20"/>
    </row>
    <row r="19">
      <c r="A19" s="9"/>
      <c r="B19" s="9"/>
      <c r="C19" s="9"/>
      <c r="D19" s="9"/>
      <c r="E19" s="9"/>
      <c r="F19" s="9"/>
      <c r="G19" s="9"/>
      <c r="H19" s="9"/>
      <c r="I19" s="69"/>
      <c r="J19" s="20"/>
    </row>
    <row r="20">
      <c r="A20" s="35" t="s">
        <v>253</v>
      </c>
      <c r="B20" s="33"/>
      <c r="C20" s="33"/>
      <c r="D20" s="33"/>
      <c r="E20" s="33"/>
      <c r="F20" s="33"/>
      <c r="G20" s="33"/>
      <c r="H20" s="33"/>
      <c r="I20" s="53"/>
      <c r="J20" s="20"/>
    </row>
    <row r="21">
      <c r="A21" s="9" t="s">
        <v>254</v>
      </c>
      <c r="B21" s="39">
        <v>414</v>
      </c>
      <c r="C21" s="39">
        <v>427</v>
      </c>
      <c r="D21" s="39">
        <v>477</v>
      </c>
      <c r="E21" s="39">
        <v>564</v>
      </c>
      <c r="F21" s="40">
        <f>SUM(B21:E21)</f>
        <v>1882</v>
      </c>
      <c r="G21" s="39">
        <v>908</v>
      </c>
      <c r="H21" s="39">
        <v>717</v>
      </c>
      <c r="I21" s="41">
        <f>D21*(1+I22)+I23</f>
        <v>622.4</v>
      </c>
      <c r="J21" s="20" t="s">
        <v>247</v>
      </c>
    </row>
    <row r="22" ht="26.25">
      <c r="A22" s="116" t="s">
        <v>255</v>
      </c>
      <c r="B22" s="29" t="s">
        <v>40</v>
      </c>
      <c r="C22" s="29" t="s">
        <v>40</v>
      </c>
      <c r="D22" s="29" t="s">
        <v>40</v>
      </c>
      <c r="E22" s="29" t="s">
        <v>40</v>
      </c>
      <c r="F22" s="29" t="s">
        <v>40</v>
      </c>
      <c r="G22" s="29">
        <f>IFERROR(G21/B21-1,"n.a.")</f>
        <v>1.1932367149758454</v>
      </c>
      <c r="H22" s="29">
        <f>IFERROR(H21/C21-1,"n.a.")</f>
        <v>0.6791569086651055</v>
      </c>
      <c r="I22" s="48">
        <v>0.2</v>
      </c>
      <c r="J22" s="20" t="s">
        <v>256</v>
      </c>
    </row>
    <row r="23">
      <c r="A23" s="9" t="s">
        <v>257</v>
      </c>
      <c r="B23" s="40" t="s">
        <v>40</v>
      </c>
      <c r="C23" s="40" t="s">
        <v>40</v>
      </c>
      <c r="D23" s="40" t="s">
        <v>40</v>
      </c>
      <c r="E23" s="40" t="s">
        <v>40</v>
      </c>
      <c r="F23" s="40" t="s">
        <v>40</v>
      </c>
      <c r="G23" s="40" t="s">
        <v>40</v>
      </c>
      <c r="H23" s="40" t="s">
        <v>40</v>
      </c>
      <c r="I23" s="73">
        <v>50</v>
      </c>
      <c r="J23" s="20" t="s">
        <v>258</v>
      </c>
    </row>
    <row r="24">
      <c r="A24" s="9" t="s">
        <v>189</v>
      </c>
      <c r="B24" s="40" t="s">
        <v>40</v>
      </c>
      <c r="C24" s="40">
        <f>IFERROR(C21-B21,"n.a.")</f>
        <v>13</v>
      </c>
      <c r="D24" s="40">
        <f>IFERROR(D21-C21,"n.a.")</f>
        <v>50</v>
      </c>
      <c r="E24" s="40">
        <f>IFERROR(E21-D21,"n.a.")</f>
        <v>87</v>
      </c>
      <c r="F24" s="40" t="s">
        <v>40</v>
      </c>
      <c r="G24" s="40">
        <f>IFERROR(G21-E21,"n.a.")</f>
        <v>344</v>
      </c>
      <c r="H24" s="40">
        <f>IFERROR(H21-G21,"n.a.")</f>
        <v>-191</v>
      </c>
      <c r="I24" s="41">
        <f>IFERROR(I21-H21,"n.a.")</f>
        <v>-94.60000000000002</v>
      </c>
      <c r="J24" s="20"/>
    </row>
    <row r="25">
      <c r="A25" s="23" t="s">
        <v>217</v>
      </c>
      <c r="B25" s="29" t="s">
        <v>40</v>
      </c>
      <c r="C25" s="29" t="s">
        <v>40</v>
      </c>
      <c r="D25" s="29" t="s">
        <v>40</v>
      </c>
      <c r="E25" s="29" t="s">
        <v>40</v>
      </c>
      <c r="F25" s="29" t="s">
        <v>40</v>
      </c>
      <c r="G25" s="29">
        <f>IFERROR(G21/B21-1,"n.a.")</f>
        <v>1.1932367149758454</v>
      </c>
      <c r="H25" s="29">
        <f>IFERROR(H21/C21-1,"n.a.")</f>
        <v>0.6791569086651055</v>
      </c>
      <c r="I25" s="50">
        <f>IFERROR(I21/D21-1,"n.a.")</f>
        <v>0.3048218029350105</v>
      </c>
      <c r="J25" s="20"/>
    </row>
    <row r="26">
      <c r="A26" s="9" t="s">
        <v>259</v>
      </c>
      <c r="B26" s="43">
        <f>B21/B15/3</f>
        <v>3.5844155844155843</v>
      </c>
      <c r="C26" s="43">
        <f>C21/C15/3</f>
        <v>3.471544715447154</v>
      </c>
      <c r="D26" s="43">
        <f>D21/D15/3</f>
        <v>3.878048780487805</v>
      </c>
      <c r="E26" s="43">
        <f>E21/E15/3</f>
        <v>4.423529411764706</v>
      </c>
      <c r="F26" s="43">
        <f>F21/F15/12</f>
        <v>3.8486707566462166</v>
      </c>
      <c r="G26" s="43">
        <f>G21/G15/3</f>
        <v>6.725925925925925</v>
      </c>
      <c r="H26" s="43">
        <f>H21/H15/3</f>
        <v>5.085106382978723</v>
      </c>
      <c r="I26" s="61">
        <f>I21/I15/3</f>
        <v>4.27766323024055</v>
      </c>
      <c r="J26" s="20"/>
    </row>
    <row r="27">
      <c r="A27" s="23" t="s">
        <v>217</v>
      </c>
      <c r="B27" s="29" t="s">
        <v>40</v>
      </c>
      <c r="C27" s="29" t="s">
        <v>40</v>
      </c>
      <c r="D27" s="29" t="s">
        <v>40</v>
      </c>
      <c r="E27" s="29" t="s">
        <v>40</v>
      </c>
      <c r="F27" s="29" t="s">
        <v>40</v>
      </c>
      <c r="G27" s="29">
        <f>IFERROR(G26/B26-1,"n.a.")</f>
        <v>0.8764358561460011</v>
      </c>
      <c r="H27" s="29">
        <f>IFERROR(H26/C26-1,"n.a.")</f>
        <v>0.46479645223977273</v>
      </c>
      <c r="I27" s="50">
        <f>IFERROR(I26/D26-1,"n.a.")</f>
        <v>0.10304523547083355</v>
      </c>
      <c r="J27" s="20"/>
    </row>
    <row r="28">
      <c r="A28" s="9" t="s">
        <v>152</v>
      </c>
      <c r="B28" s="43" t="s">
        <v>40</v>
      </c>
      <c r="C28" s="43">
        <f>IFERROR(C26-B26,"n.a.")</f>
        <v>-0.11287086896843013</v>
      </c>
      <c r="D28" s="43">
        <f>IFERROR(D26-C26,"n.a.")</f>
        <v>0.40650406504065106</v>
      </c>
      <c r="E28" s="43">
        <f>IFERROR(E26-D26,"n.a.")</f>
        <v>0.5454806312769009</v>
      </c>
      <c r="F28" s="43" t="s">
        <v>40</v>
      </c>
      <c r="G28" s="43">
        <f>IFERROR(G26-E26,"n.a.")</f>
        <v>2.3023965141612193</v>
      </c>
      <c r="H28" s="43">
        <f>IFERROR(H26-G26,"n.a.")</f>
        <v>-1.6408195429472023</v>
      </c>
      <c r="I28" s="61">
        <f>IFERROR(I26-H26,"n.a.")</f>
        <v>-0.8074431527381734</v>
      </c>
      <c r="J28" s="20"/>
    </row>
    <row r="29">
      <c r="A29" s="9" t="s">
        <v>260</v>
      </c>
      <c r="B29" s="39">
        <v>763</v>
      </c>
      <c r="C29" s="39">
        <v>759</v>
      </c>
      <c r="D29" s="39">
        <v>843</v>
      </c>
      <c r="E29" s="39">
        <v>1013</v>
      </c>
      <c r="F29" s="40">
        <f>SUM(B29:E29)</f>
        <v>3378</v>
      </c>
      <c r="G29" s="39">
        <v>1151</v>
      </c>
      <c r="H29" s="39">
        <v>1155</v>
      </c>
      <c r="I29" s="41">
        <f>I30*I15*3</f>
        <v>1193.1</v>
      </c>
      <c r="J29" s="20" t="s">
        <v>247</v>
      </c>
    </row>
    <row r="30">
      <c r="A30" s="9" t="s">
        <v>261</v>
      </c>
      <c r="B30" s="43">
        <f>B29/B15/3</f>
        <v>6.6060606060606055</v>
      </c>
      <c r="C30" s="43">
        <f>C29/C15/3</f>
        <v>6.170731707317073</v>
      </c>
      <c r="D30" s="43">
        <f>D29/D15/3</f>
        <v>6.853658536585367</v>
      </c>
      <c r="E30" s="43">
        <f>E29/E15/3</f>
        <v>7.9450980392156865</v>
      </c>
      <c r="F30" s="43">
        <f>F29/F15/12</f>
        <v>6.9079754601226995</v>
      </c>
      <c r="G30" s="43">
        <f>G29/G15/3</f>
        <v>8.525925925925927</v>
      </c>
      <c r="H30" s="43">
        <f>H29/H15/3</f>
        <v>8.191489361702127</v>
      </c>
      <c r="I30" s="93">
        <v>8.2</v>
      </c>
      <c r="J30" s="20" t="s">
        <v>262</v>
      </c>
    </row>
    <row r="31">
      <c r="A31" s="23" t="s">
        <v>217</v>
      </c>
      <c r="B31" s="29" t="s">
        <v>40</v>
      </c>
      <c r="C31" s="29" t="s">
        <v>40</v>
      </c>
      <c r="D31" s="29" t="s">
        <v>40</v>
      </c>
      <c r="E31" s="29" t="s">
        <v>40</v>
      </c>
      <c r="F31" s="29" t="s">
        <v>40</v>
      </c>
      <c r="G31" s="29">
        <f>IFERROR(G30/B30-1,"n.a.")</f>
        <v>0.29062181447502566</v>
      </c>
      <c r="H31" s="29">
        <f>IFERROR(H30/C30-1,"n.a.")</f>
        <v>0.32747456059204416</v>
      </c>
      <c r="I31" s="50">
        <f>IFERROR(I30/D30-1,"n.a.")</f>
        <v>0.1964412811387899</v>
      </c>
      <c r="J31" s="20"/>
    </row>
    <row r="32">
      <c r="A32" s="9" t="s">
        <v>152</v>
      </c>
      <c r="B32" s="43" t="s">
        <v>40</v>
      </c>
      <c r="C32" s="43">
        <f>IFERROR(C30-B30,"n.a.")</f>
        <v>-0.4353288987435322</v>
      </c>
      <c r="D32" s="43">
        <f>IFERROR(D30-C30,"n.a.")</f>
        <v>0.6829268292682933</v>
      </c>
      <c r="E32" s="43">
        <f>IFERROR(E30-D30,"n.a.")</f>
        <v>1.0914395026303199</v>
      </c>
      <c r="F32" s="43" t="s">
        <v>40</v>
      </c>
      <c r="G32" s="43">
        <f>IFERROR(G30-E30,"n.a.")</f>
        <v>0.5808278867102405</v>
      </c>
      <c r="H32" s="43">
        <f>IFERROR(H30-G30,"n.a.")</f>
        <v>-0.3344365642238003</v>
      </c>
      <c r="I32" s="61">
        <f>IFERROR(I30-H30,"n.a.")</f>
        <v>0.008510638297872575</v>
      </c>
      <c r="J32" s="20"/>
    </row>
    <row r="33">
      <c r="A33" s="9" t="s">
        <v>263</v>
      </c>
      <c r="B33" s="40">
        <f>B36-B21-B29</f>
        <v>49</v>
      </c>
      <c r="C33" s="40">
        <f>C36-C21-C29</f>
        <v>46</v>
      </c>
      <c r="D33" s="40">
        <f>D36-D21-D29</f>
        <v>43</v>
      </c>
      <c r="E33" s="40">
        <f>E36-E21-E29</f>
        <v>51</v>
      </c>
      <c r="F33" s="40">
        <f>SUM(B33:E33)</f>
        <v>189</v>
      </c>
      <c r="G33" s="40">
        <f>G36-G21-G29</f>
        <v>40</v>
      </c>
      <c r="H33" s="40">
        <f>H36-H21-H29</f>
        <v>23</v>
      </c>
      <c r="I33" s="73">
        <v>30</v>
      </c>
      <c r="J33" s="20" t="s">
        <v>264</v>
      </c>
    </row>
    <row r="34">
      <c r="A34" s="23" t="s">
        <v>217</v>
      </c>
      <c r="B34" s="29" t="s">
        <v>40</v>
      </c>
      <c r="C34" s="29" t="s">
        <v>40</v>
      </c>
      <c r="D34" s="29" t="s">
        <v>40</v>
      </c>
      <c r="E34" s="29" t="s">
        <v>40</v>
      </c>
      <c r="F34" s="29" t="s">
        <v>40</v>
      </c>
      <c r="G34" s="29">
        <f>IFERROR(G33/B33-1,"n.a.")</f>
        <v>-0.18367346938775508</v>
      </c>
      <c r="H34" s="29">
        <f>IFERROR(H33/C33-1,"n.a.")</f>
        <v>-0.5</v>
      </c>
      <c r="I34" s="50">
        <f>IFERROR(I33/D33-1,"n.a.")</f>
        <v>-0.3023255813953488</v>
      </c>
      <c r="J34" s="20"/>
    </row>
    <row r="35">
      <c r="A35" s="9" t="s">
        <v>189</v>
      </c>
      <c r="B35" s="40" t="s">
        <v>40</v>
      </c>
      <c r="C35" s="40">
        <f>IFERROR(C33-B33,"n.a.")</f>
        <v>-3</v>
      </c>
      <c r="D35" s="40">
        <f>IFERROR(D33-C33,"n.a.")</f>
        <v>-3</v>
      </c>
      <c r="E35" s="40">
        <f>IFERROR(E33-D33,"n.a.")</f>
        <v>8</v>
      </c>
      <c r="F35" s="40" t="s">
        <v>40</v>
      </c>
      <c r="G35" s="40">
        <f>IFERROR(G33-E33,"n.a.")</f>
        <v>-11</v>
      </c>
      <c r="H35" s="40">
        <f>IFERROR(H33-G33,"n.a.")</f>
        <v>-17</v>
      </c>
      <c r="I35" s="41">
        <f>IFERROR(I33-H33,"n.a.")</f>
        <v>7</v>
      </c>
      <c r="J35" s="20"/>
    </row>
    <row r="36">
      <c r="A36" s="35" t="s">
        <v>265</v>
      </c>
      <c r="B36" s="44">
        <v>1226</v>
      </c>
      <c r="C36" s="44">
        <v>1232</v>
      </c>
      <c r="D36" s="44">
        <v>1363</v>
      </c>
      <c r="E36" s="44">
        <v>1628</v>
      </c>
      <c r="F36" s="45">
        <f>SUM(B36:E36)</f>
        <v>5449</v>
      </c>
      <c r="G36" s="44">
        <v>2099</v>
      </c>
      <c r="H36" s="44">
        <v>1895</v>
      </c>
      <c r="I36" s="52">
        <f>I21+I29+I33</f>
        <v>1845.5</v>
      </c>
      <c r="J36" s="20" t="s">
        <v>247</v>
      </c>
    </row>
    <row r="37">
      <c r="A37" s="23" t="s">
        <v>217</v>
      </c>
      <c r="B37" s="29" t="s">
        <v>40</v>
      </c>
      <c r="C37" s="29" t="s">
        <v>40</v>
      </c>
      <c r="D37" s="29" t="s">
        <v>40</v>
      </c>
      <c r="E37" s="29" t="s">
        <v>40</v>
      </c>
      <c r="F37" s="29" t="s">
        <v>40</v>
      </c>
      <c r="G37" s="29">
        <f>IFERROR(G36/B36-1,"n.a.")</f>
        <v>0.7120717781402937</v>
      </c>
      <c r="H37" s="29">
        <f>IFERROR(H36/C36-1,"n.a.")</f>
        <v>0.5381493506493507</v>
      </c>
      <c r="I37" s="50">
        <f>IFERROR(I36/D36-1,"n.a.")</f>
        <v>0.3539985326485693</v>
      </c>
      <c r="J37" s="20"/>
    </row>
    <row r="38">
      <c r="A38" s="9" t="s">
        <v>189</v>
      </c>
      <c r="B38" s="40" t="s">
        <v>40</v>
      </c>
      <c r="C38" s="40">
        <f>IFERROR(C36-B36,"n.a.")</f>
        <v>6</v>
      </c>
      <c r="D38" s="40">
        <f>IFERROR(D36-C36,"n.a.")</f>
        <v>131</v>
      </c>
      <c r="E38" s="40">
        <f>IFERROR(E36-D36,"n.a.")</f>
        <v>265</v>
      </c>
      <c r="F38" s="40" t="s">
        <v>40</v>
      </c>
      <c r="G38" s="40">
        <f>IFERROR(G36-E36,"n.a.")</f>
        <v>471</v>
      </c>
      <c r="H38" s="40">
        <f>IFERROR(H36-G36,"n.a.")</f>
        <v>-204</v>
      </c>
      <c r="I38" s="41">
        <f>IFERROR(I36-H36,"n.a.")</f>
        <v>-49.5</v>
      </c>
      <c r="J38" s="20"/>
    </row>
    <row r="39">
      <c r="A39" s="9" t="s">
        <v>266</v>
      </c>
      <c r="B39" s="39">
        <v>976</v>
      </c>
      <c r="C39" s="39">
        <v>883</v>
      </c>
      <c r="D39" s="39">
        <v>1115</v>
      </c>
      <c r="E39" s="39">
        <v>1552</v>
      </c>
      <c r="F39" s="40">
        <f>SUM(B39:E39)</f>
        <v>4526</v>
      </c>
      <c r="G39" s="39">
        <v>1945</v>
      </c>
      <c r="H39" s="39">
        <v>1184</v>
      </c>
      <c r="I39" s="41">
        <f>D39*(1+I40)</f>
        <v>1282.25</v>
      </c>
      <c r="J39" s="20" t="s">
        <v>247</v>
      </c>
    </row>
    <row r="40">
      <c r="A40" s="23" t="s">
        <v>150</v>
      </c>
      <c r="B40" s="29" t="s">
        <v>40</v>
      </c>
      <c r="C40" s="29" t="s">
        <v>40</v>
      </c>
      <c r="D40" s="29" t="s">
        <v>40</v>
      </c>
      <c r="E40" s="29" t="s">
        <v>40</v>
      </c>
      <c r="F40" s="29" t="s">
        <v>40</v>
      </c>
      <c r="G40" s="29">
        <f>IFERROR(G39/B39-1,"n.a.")</f>
        <v>0.992827868852459</v>
      </c>
      <c r="H40" s="29">
        <f>IFERROR(H39/C39-1,"n.a.")</f>
        <v>0.3408833522083805</v>
      </c>
      <c r="I40" s="48">
        <v>0.15</v>
      </c>
      <c r="J40" s="20" t="s">
        <v>267</v>
      </c>
    </row>
    <row r="41">
      <c r="A41" s="9" t="s">
        <v>189</v>
      </c>
      <c r="B41" s="40" t="s">
        <v>40</v>
      </c>
      <c r="C41" s="40">
        <f>IFERROR(C39-B39,"n.a.")</f>
        <v>-93</v>
      </c>
      <c r="D41" s="40">
        <f>IFERROR(D39-C39,"n.a.")</f>
        <v>232</v>
      </c>
      <c r="E41" s="40">
        <f>IFERROR(E39-D39,"n.a.")</f>
        <v>437</v>
      </c>
      <c r="F41" s="40" t="s">
        <v>40</v>
      </c>
      <c r="G41" s="40">
        <f>IFERROR(G39-E39,"n.a.")</f>
        <v>393</v>
      </c>
      <c r="H41" s="40">
        <f>IFERROR(H39-G39,"n.a.")</f>
        <v>-761</v>
      </c>
      <c r="I41" s="41">
        <f>IFERROR(I39-H39,"n.a.")</f>
        <v>98.25</v>
      </c>
      <c r="J41" s="20"/>
    </row>
    <row r="42">
      <c r="A42" s="9" t="s">
        <v>268</v>
      </c>
      <c r="B42" s="39">
        <v>464</v>
      </c>
      <c r="C42" s="39">
        <v>449</v>
      </c>
      <c r="D42" s="39">
        <v>465</v>
      </c>
      <c r="E42" s="39">
        <v>629</v>
      </c>
      <c r="F42" s="40">
        <f>SUM(B42:E42)</f>
        <v>2007</v>
      </c>
      <c r="G42" s="39">
        <v>586</v>
      </c>
      <c r="H42" s="39">
        <v>521</v>
      </c>
      <c r="I42" s="41">
        <f>D42*(1+I43)</f>
        <v>520.8000000000001</v>
      </c>
      <c r="J42" s="20" t="s">
        <v>247</v>
      </c>
    </row>
    <row r="43">
      <c r="A43" s="23" t="s">
        <v>150</v>
      </c>
      <c r="B43" s="29" t="s">
        <v>40</v>
      </c>
      <c r="C43" s="29" t="s">
        <v>40</v>
      </c>
      <c r="D43" s="29" t="s">
        <v>40</v>
      </c>
      <c r="E43" s="29" t="s">
        <v>40</v>
      </c>
      <c r="F43" s="29" t="s">
        <v>40</v>
      </c>
      <c r="G43" s="29">
        <f>IFERROR(G42/B42-1,"n.a.")</f>
        <v>0.2629310344827587</v>
      </c>
      <c r="H43" s="29">
        <f>IFERROR(H42/C42-1,"n.a.")</f>
        <v>0.16035634743875282</v>
      </c>
      <c r="I43" s="48">
        <v>0.12</v>
      </c>
      <c r="J43" s="20" t="s">
        <v>269</v>
      </c>
    </row>
    <row r="44">
      <c r="A44" s="9" t="s">
        <v>189</v>
      </c>
      <c r="B44" s="40" t="s">
        <v>40</v>
      </c>
      <c r="C44" s="40">
        <f>IFERROR(C42-B42,"n.a.")</f>
        <v>-15</v>
      </c>
      <c r="D44" s="40">
        <f>IFERROR(D42-C42,"n.a.")</f>
        <v>16</v>
      </c>
      <c r="E44" s="40">
        <f>IFERROR(E42-D42,"n.a.")</f>
        <v>164</v>
      </c>
      <c r="F44" s="40" t="s">
        <v>40</v>
      </c>
      <c r="G44" s="40">
        <f>IFERROR(G42-E42,"n.a.")</f>
        <v>-43</v>
      </c>
      <c r="H44" s="40">
        <f>IFERROR(H42-G42,"n.a.")</f>
        <v>-65</v>
      </c>
      <c r="I44" s="41">
        <f>IFERROR(I42-H42,"n.a.")</f>
        <v>-0.1999999999999318</v>
      </c>
      <c r="J44" s="20"/>
    </row>
    <row r="45">
      <c r="A45" s="35" t="s">
        <v>270</v>
      </c>
      <c r="B45" s="45">
        <f>B39+B42</f>
        <v>1440</v>
      </c>
      <c r="C45" s="45">
        <f>C39+C42</f>
        <v>1332</v>
      </c>
      <c r="D45" s="45">
        <f>D39+D42</f>
        <v>1580</v>
      </c>
      <c r="E45" s="45">
        <f>E39+E42</f>
        <v>2181</v>
      </c>
      <c r="F45" s="45">
        <f>SUM(B45:E45)</f>
        <v>6533</v>
      </c>
      <c r="G45" s="45">
        <f>G39+G42</f>
        <v>2531</v>
      </c>
      <c r="H45" s="45">
        <f>H39+H42</f>
        <v>1705</v>
      </c>
      <c r="I45" s="52">
        <f>I39+I42</f>
        <v>1803.0500000000002</v>
      </c>
      <c r="J45" s="20"/>
    </row>
    <row r="46">
      <c r="A46" s="23" t="s">
        <v>217</v>
      </c>
      <c r="B46" s="29" t="s">
        <v>40</v>
      </c>
      <c r="C46" s="29" t="s">
        <v>40</v>
      </c>
      <c r="D46" s="29" t="s">
        <v>40</v>
      </c>
      <c r="E46" s="29" t="s">
        <v>40</v>
      </c>
      <c r="F46" s="29" t="s">
        <v>40</v>
      </c>
      <c r="G46" s="29">
        <f>IFERROR(G45/B45-1,"n.a.")</f>
        <v>0.757638888888889</v>
      </c>
      <c r="H46" s="29">
        <f>IFERROR(H45/C45-1,"n.a.")</f>
        <v>0.28003003003003</v>
      </c>
      <c r="I46" s="50">
        <f>IFERROR(I45/D45-1,"n.a.")</f>
        <v>0.14117088607594952</v>
      </c>
      <c r="J46" s="20"/>
    </row>
    <row r="47">
      <c r="A47" s="9" t="s">
        <v>189</v>
      </c>
      <c r="B47" s="40" t="s">
        <v>40</v>
      </c>
      <c r="C47" s="40">
        <f>IFERROR(C45-B45,"n.a.")</f>
        <v>-108</v>
      </c>
      <c r="D47" s="40">
        <f>IFERROR(D45-C45,"n.a.")</f>
        <v>248</v>
      </c>
      <c r="E47" s="40">
        <f>IFERROR(E45-D45,"n.a.")</f>
        <v>601</v>
      </c>
      <c r="F47" s="40" t="s">
        <v>40</v>
      </c>
      <c r="G47" s="40">
        <f>IFERROR(G45-E45,"n.a.")</f>
        <v>350</v>
      </c>
      <c r="H47" s="40">
        <f>IFERROR(H45-G45,"n.a.")</f>
        <v>-826</v>
      </c>
      <c r="I47" s="41">
        <f>IFERROR(I45-H45,"n.a.")</f>
        <v>98.05000000000018</v>
      </c>
      <c r="J47" s="20"/>
    </row>
    <row r="48">
      <c r="A48" s="35" t="s">
        <v>271</v>
      </c>
      <c r="B48" s="45">
        <f>B36-B45</f>
        <v>-214</v>
      </c>
      <c r="C48" s="45">
        <f>C36-C45</f>
        <v>-100</v>
      </c>
      <c r="D48" s="45">
        <f>D36-D45</f>
        <v>-217</v>
      </c>
      <c r="E48" s="45">
        <f>E36-E45</f>
        <v>-553</v>
      </c>
      <c r="F48" s="45">
        <f>SUM(B48:E48)</f>
        <v>-1084</v>
      </c>
      <c r="G48" s="45">
        <f>G36-G45</f>
        <v>-432</v>
      </c>
      <c r="H48" s="45">
        <f>H36-H45</f>
        <v>190</v>
      </c>
      <c r="I48" s="52">
        <f>I36-I45</f>
        <v>42.44999999999982</v>
      </c>
      <c r="J48" s="20"/>
    </row>
    <row r="49">
      <c r="A49" s="9" t="s">
        <v>272</v>
      </c>
      <c r="B49" s="40" t="s">
        <v>40</v>
      </c>
      <c r="C49" s="40" t="s">
        <v>40</v>
      </c>
      <c r="D49" s="40" t="s">
        <v>40</v>
      </c>
      <c r="E49" s="40" t="s">
        <v>40</v>
      </c>
      <c r="F49" s="40" t="s">
        <v>40</v>
      </c>
      <c r="G49" s="40">
        <f>IFERROR(G48-B48,"n.a.")</f>
        <v>-218</v>
      </c>
      <c r="H49" s="40">
        <f>IFERROR(H48-C48,"n.a.")</f>
        <v>290</v>
      </c>
      <c r="I49" s="41">
        <f>IFERROR(I48-D48,"n.a.")</f>
        <v>259.4499999999998</v>
      </c>
      <c r="J49" s="20"/>
    </row>
    <row r="50">
      <c r="A50" s="9" t="s">
        <v>189</v>
      </c>
      <c r="B50" s="40" t="s">
        <v>40</v>
      </c>
      <c r="C50" s="40">
        <f>IFERROR(C48-B48,"n.a.")</f>
        <v>114</v>
      </c>
      <c r="D50" s="40">
        <f>IFERROR(D48-C48,"n.a.")</f>
        <v>-117</v>
      </c>
      <c r="E50" s="40">
        <f>IFERROR(E48-D48,"n.a.")</f>
        <v>-336</v>
      </c>
      <c r="F50" s="40" t="s">
        <v>40</v>
      </c>
      <c r="G50" s="40">
        <f>IFERROR(G48-E48,"n.a.")</f>
        <v>121</v>
      </c>
      <c r="H50" s="40">
        <f>IFERROR(H48-G48,"n.a.")</f>
        <v>622</v>
      </c>
      <c r="I50" s="41">
        <f>IFERROR(I48-H48,"n.a.")</f>
        <v>-147.55000000000018</v>
      </c>
      <c r="J50" s="20"/>
    </row>
    <row r="51">
      <c r="A51" s="23" t="s">
        <v>273</v>
      </c>
      <c r="B51" s="29">
        <f>B48/B36</f>
        <v>-0.17455138662316477</v>
      </c>
      <c r="C51" s="29">
        <f>C48/C36</f>
        <v>-0.08116883116883117</v>
      </c>
      <c r="D51" s="29">
        <f>D48/D36</f>
        <v>-0.15920763022743947</v>
      </c>
      <c r="E51" s="29">
        <f>E48/E36</f>
        <v>-0.3396805896805897</v>
      </c>
      <c r="F51" s="29">
        <f>F48/F36</f>
        <v>-0.19893558451091944</v>
      </c>
      <c r="G51" s="29">
        <f>G48/G36</f>
        <v>-0.20581229156741304</v>
      </c>
      <c r="H51" s="29">
        <f>H48/H36</f>
        <v>0.10026385224274406</v>
      </c>
      <c r="I51" s="50">
        <f>I48/I36</f>
        <v>0.023001896505012092</v>
      </c>
      <c r="J51" s="20"/>
    </row>
    <row r="52">
      <c r="A52" s="23" t="s">
        <v>139</v>
      </c>
      <c r="B52" s="51" t="s">
        <v>40</v>
      </c>
      <c r="C52" s="51" t="s">
        <v>40</v>
      </c>
      <c r="D52" s="51" t="s">
        <v>40</v>
      </c>
      <c r="E52" s="51" t="s">
        <v>40</v>
      </c>
      <c r="F52" s="51" t="s">
        <v>40</v>
      </c>
      <c r="G52" s="51">
        <f>IFERROR((G51-B51)*10000,"n.a.")</f>
        <v>-312.60904944248267</v>
      </c>
      <c r="H52" s="51">
        <f>IFERROR((H51-C51)*10000,"n.a.")</f>
        <v>1814.3268341157523</v>
      </c>
      <c r="I52" s="46">
        <f>IFERROR((I51-D51)*10000,"n.a.")</f>
        <v>1822.0952673245156</v>
      </c>
      <c r="J52" s="20"/>
    </row>
    <row r="53">
      <c r="A53" s="23" t="s">
        <v>140</v>
      </c>
      <c r="B53" s="51" t="s">
        <v>40</v>
      </c>
      <c r="C53" s="51">
        <f>IFERROR((C51-B51)*10000,"n.a.")</f>
        <v>933.825554543336</v>
      </c>
      <c r="D53" s="51">
        <f>IFERROR((D51-C51)*10000,"n.a.")</f>
        <v>-780.387990586083</v>
      </c>
      <c r="E53" s="51">
        <f>IFERROR((E51-D51)*10000,"n.a.")</f>
        <v>-1804.729594531502</v>
      </c>
      <c r="F53" s="51" t="s">
        <v>40</v>
      </c>
      <c r="G53" s="51">
        <f>IFERROR((G51-E51)*10000,"n.a.")</f>
        <v>1338.6829811317664</v>
      </c>
      <c r="H53" s="51">
        <f>IFERROR((H51-G51)*10000,"n.a.")</f>
        <v>3060.7614381015715</v>
      </c>
      <c r="I53" s="46">
        <f>IFERROR((I51-H51)*10000,"n.a.")</f>
        <v>-772.6195573773197</v>
      </c>
      <c r="J53" s="20"/>
    </row>
    <row r="54" ht="26.25">
      <c r="A54" s="106" t="s">
        <v>274</v>
      </c>
      <c r="B54" s="39">
        <v>-215</v>
      </c>
      <c r="C54" s="39">
        <v>-101</v>
      </c>
      <c r="D54" s="39">
        <v>-217</v>
      </c>
      <c r="E54" s="39">
        <v>-552</v>
      </c>
      <c r="F54" s="40">
        <f>SUM(B54:E54)</f>
        <v>-1085</v>
      </c>
      <c r="G54" s="39">
        <v>-432</v>
      </c>
      <c r="H54" s="39">
        <v>189</v>
      </c>
      <c r="I54" s="41" t="s">
        <v>40</v>
      </c>
      <c r="J54" s="20" t="s">
        <v>247</v>
      </c>
    </row>
    <row r="55" ht="26.25">
      <c r="A55" s="106" t="s">
        <v>275</v>
      </c>
      <c r="B55" s="33" t="b">
        <f>ABS(B48-B54)&lt;=3</f>
        <v>1</v>
      </c>
      <c r="C55" s="33" t="b">
        <f>ABS(C48-C54)&lt;=3</f>
        <v>1</v>
      </c>
      <c r="D55" s="33" t="b">
        <f>ABS(D48-D54)&lt;=3</f>
        <v>1</v>
      </c>
      <c r="E55" s="33" t="b">
        <f>ABS(E48-E54)&lt;=3</f>
        <v>1</v>
      </c>
      <c r="F55" s="33" t="b">
        <f>ABS(F48-F54)&lt;=3</f>
        <v>1</v>
      </c>
      <c r="G55" s="33" t="b">
        <f>ABS(G48-G54)&lt;=3</f>
        <v>1</v>
      </c>
      <c r="H55" s="33" t="b">
        <f>ABS(H48-H54)&lt;=3</f>
        <v>1</v>
      </c>
      <c r="I55" s="53" t="s">
        <v>40</v>
      </c>
      <c r="J55" s="20"/>
    </row>
    <row r="56">
      <c r="A56" s="35" t="s">
        <v>276</v>
      </c>
      <c r="B56" s="33"/>
      <c r="C56" s="33"/>
      <c r="D56" s="33"/>
      <c r="E56" s="33"/>
      <c r="F56" s="33"/>
      <c r="G56" s="33"/>
      <c r="H56" s="33"/>
      <c r="I56" s="53"/>
      <c r="J56" s="20"/>
    </row>
    <row r="57">
      <c r="A57" s="9" t="s">
        <v>277</v>
      </c>
      <c r="B57" s="40">
        <f>B21</f>
        <v>414</v>
      </c>
      <c r="C57" s="40">
        <f>C21</f>
        <v>427</v>
      </c>
      <c r="D57" s="40">
        <f>D21</f>
        <v>477</v>
      </c>
      <c r="E57" s="40">
        <f>E21</f>
        <v>564</v>
      </c>
      <c r="F57" s="40">
        <f>SUM(B57:E57)</f>
        <v>1882</v>
      </c>
      <c r="G57" s="40">
        <f>G21</f>
        <v>908</v>
      </c>
      <c r="H57" s="40">
        <f>H21</f>
        <v>717</v>
      </c>
      <c r="I57" s="41">
        <f>I21</f>
        <v>622.4</v>
      </c>
      <c r="J57" s="20"/>
    </row>
    <row r="58">
      <c r="A58" s="23" t="s">
        <v>98</v>
      </c>
      <c r="B58" s="29" t="s">
        <v>40</v>
      </c>
      <c r="C58" s="29" t="s">
        <v>40</v>
      </c>
      <c r="D58" s="29" t="s">
        <v>40</v>
      </c>
      <c r="E58" s="29" t="s">
        <v>40</v>
      </c>
      <c r="F58" s="29" t="s">
        <v>40</v>
      </c>
      <c r="G58" s="29">
        <f>IFERROR(G57/B57-1,"n.a.")</f>
        <v>1.1932367149758454</v>
      </c>
      <c r="H58" s="29">
        <f>IFERROR(H57/C57-1,"n.a.")</f>
        <v>0.6791569086651055</v>
      </c>
      <c r="I58" s="50">
        <f>IFERROR(I57/D57-1,"n.a.")</f>
        <v>0.3048218029350105</v>
      </c>
      <c r="J58" s="20"/>
    </row>
    <row r="59">
      <c r="A59" s="23" t="s">
        <v>99</v>
      </c>
      <c r="B59" s="29" t="s">
        <v>40</v>
      </c>
      <c r="C59" s="29" t="s">
        <v>40</v>
      </c>
      <c r="D59" s="29" t="s">
        <v>40</v>
      </c>
      <c r="E59" s="29" t="s">
        <v>40</v>
      </c>
      <c r="F59" s="29" t="s">
        <v>40</v>
      </c>
      <c r="G59" s="65">
        <v>0</v>
      </c>
      <c r="H59" s="65">
        <v>0</v>
      </c>
      <c r="I59" s="48">
        <v>0</v>
      </c>
      <c r="J59" s="20" t="s">
        <v>247</v>
      </c>
    </row>
    <row r="60">
      <c r="A60" s="23" t="s">
        <v>106</v>
      </c>
      <c r="B60" s="29" t="s">
        <v>40</v>
      </c>
      <c r="C60" s="29" t="s">
        <v>40</v>
      </c>
      <c r="D60" s="29" t="s">
        <v>40</v>
      </c>
      <c r="E60" s="29" t="s">
        <v>40</v>
      </c>
      <c r="F60" s="29" t="s">
        <v>40</v>
      </c>
      <c r="G60" s="65">
        <v>0</v>
      </c>
      <c r="H60" s="65">
        <v>0</v>
      </c>
      <c r="I60" s="48">
        <v>0</v>
      </c>
      <c r="J60" s="20" t="s">
        <v>247</v>
      </c>
    </row>
    <row r="61">
      <c r="A61" s="23" t="s">
        <v>103</v>
      </c>
      <c r="B61" s="29" t="s">
        <v>40</v>
      </c>
      <c r="C61" s="29" t="s">
        <v>40</v>
      </c>
      <c r="D61" s="29" t="s">
        <v>40</v>
      </c>
      <c r="E61" s="29" t="s">
        <v>40</v>
      </c>
      <c r="F61" s="29" t="s">
        <v>40</v>
      </c>
      <c r="G61" s="29">
        <f>IFERROR(IF(OR(ISTEXT(G58),ISTEXT(G59),ISTEXT(G60)),"n.a.",(1+G58)/((1+G59)*(1+G60))-1),"n.a.")</f>
        <v>1.1932367149758454</v>
      </c>
      <c r="H61" s="29">
        <f>IFERROR(IF(OR(ISTEXT(H58),ISTEXT(H59),ISTEXT(H60)),"n.a.",(1+H58)/((1+H59)*(1+H60))-1),"n.a.")</f>
        <v>0.6791569086651055</v>
      </c>
      <c r="I61" s="50">
        <f>IFERROR(IF(OR(ISTEXT(I58),ISTEXT(I59),ISTEXT(I60)),"n.a.",(1+I58)/((1+I59)*(1+I60))-1),"n.a.")</f>
        <v>0.3048218029350105</v>
      </c>
      <c r="J61" s="20"/>
    </row>
    <row r="62">
      <c r="A62" s="9" t="s">
        <v>278</v>
      </c>
      <c r="B62" s="40">
        <f>B29</f>
        <v>763</v>
      </c>
      <c r="C62" s="40">
        <f>C29</f>
        <v>759</v>
      </c>
      <c r="D62" s="40">
        <f>D29</f>
        <v>843</v>
      </c>
      <c r="E62" s="40">
        <f>E29</f>
        <v>1013</v>
      </c>
      <c r="F62" s="40">
        <f>SUM(B62:E62)</f>
        <v>3378</v>
      </c>
      <c r="G62" s="40">
        <f>G29</f>
        <v>1151</v>
      </c>
      <c r="H62" s="40">
        <f>H29</f>
        <v>1155</v>
      </c>
      <c r="I62" s="41">
        <f>I29</f>
        <v>1193.1</v>
      </c>
      <c r="J62" s="20"/>
    </row>
    <row r="63">
      <c r="A63" s="23" t="s">
        <v>98</v>
      </c>
      <c r="B63" s="29" t="s">
        <v>40</v>
      </c>
      <c r="C63" s="29" t="s">
        <v>40</v>
      </c>
      <c r="D63" s="29" t="s">
        <v>40</v>
      </c>
      <c r="E63" s="29" t="s">
        <v>40</v>
      </c>
      <c r="F63" s="29" t="s">
        <v>40</v>
      </c>
      <c r="G63" s="29">
        <f>IFERROR(G62/B62-1,"n.a.")</f>
        <v>0.5085190039318479</v>
      </c>
      <c r="H63" s="29">
        <f>IFERROR(H62/C62-1,"n.a.")</f>
        <v>0.5217391304347827</v>
      </c>
      <c r="I63" s="50">
        <f>IFERROR(I62/D62-1,"n.a.")</f>
        <v>0.41530249110320283</v>
      </c>
      <c r="J63" s="20"/>
    </row>
    <row r="64">
      <c r="A64" s="23" t="s">
        <v>99</v>
      </c>
      <c r="B64" s="29" t="s">
        <v>40</v>
      </c>
      <c r="C64" s="29" t="s">
        <v>40</v>
      </c>
      <c r="D64" s="29" t="s">
        <v>40</v>
      </c>
      <c r="E64" s="29" t="s">
        <v>40</v>
      </c>
      <c r="F64" s="29" t="s">
        <v>40</v>
      </c>
      <c r="G64" s="65">
        <v>0</v>
      </c>
      <c r="H64" s="65">
        <v>0</v>
      </c>
      <c r="I64" s="48">
        <v>0</v>
      </c>
      <c r="J64" s="20" t="s">
        <v>247</v>
      </c>
    </row>
    <row r="65">
      <c r="A65" s="23" t="s">
        <v>106</v>
      </c>
      <c r="B65" s="29" t="s">
        <v>40</v>
      </c>
      <c r="C65" s="29" t="s">
        <v>40</v>
      </c>
      <c r="D65" s="29" t="s">
        <v>40</v>
      </c>
      <c r="E65" s="29" t="s">
        <v>40</v>
      </c>
      <c r="F65" s="29" t="s">
        <v>40</v>
      </c>
      <c r="G65" s="65">
        <v>0</v>
      </c>
      <c r="H65" s="65">
        <v>0</v>
      </c>
      <c r="I65" s="48">
        <v>0</v>
      </c>
      <c r="J65" s="20" t="s">
        <v>247</v>
      </c>
    </row>
    <row r="66">
      <c r="A66" s="23" t="s">
        <v>103</v>
      </c>
      <c r="B66" s="29" t="s">
        <v>40</v>
      </c>
      <c r="C66" s="29" t="s">
        <v>40</v>
      </c>
      <c r="D66" s="29" t="s">
        <v>40</v>
      </c>
      <c r="E66" s="29" t="s">
        <v>40</v>
      </c>
      <c r="F66" s="29" t="s">
        <v>40</v>
      </c>
      <c r="G66" s="29">
        <f>IFERROR(IF(OR(ISTEXT(G63),ISTEXT(G64),ISTEXT(G65)),"n.a.",(1+G63)/((1+G64)*(1+G65))-1),"n.a.")</f>
        <v>0.5085190039318479</v>
      </c>
      <c r="H66" s="29">
        <f>IFERROR(IF(OR(ISTEXT(H63),ISTEXT(H64),ISTEXT(H65)),"n.a.",(1+H63)/((1+H64)*(1+H65))-1),"n.a.")</f>
        <v>0.5217391304347827</v>
      </c>
      <c r="I66" s="50">
        <f>IFERROR(IF(OR(ISTEXT(I63),ISTEXT(I64),ISTEXT(I65)),"n.a.",(1+I63)/((1+I64)*(1+I65))-1),"n.a.")</f>
        <v>0.41530249110320283</v>
      </c>
      <c r="J66" s="20"/>
    </row>
    <row r="67">
      <c r="A67" s="9" t="s">
        <v>279</v>
      </c>
      <c r="B67" s="40">
        <f>B33</f>
        <v>49</v>
      </c>
      <c r="C67" s="40">
        <f>C33</f>
        <v>46</v>
      </c>
      <c r="D67" s="40">
        <f>D33</f>
        <v>43</v>
      </c>
      <c r="E67" s="40">
        <f>E33</f>
        <v>51</v>
      </c>
      <c r="F67" s="40">
        <f>SUM(B67:E67)</f>
        <v>189</v>
      </c>
      <c r="G67" s="40">
        <f>G33</f>
        <v>40</v>
      </c>
      <c r="H67" s="40">
        <f>H33</f>
        <v>23</v>
      </c>
      <c r="I67" s="41">
        <f>I33</f>
        <v>30</v>
      </c>
      <c r="J67" s="20"/>
    </row>
    <row r="68">
      <c r="A68" s="23" t="s">
        <v>98</v>
      </c>
      <c r="B68" s="29" t="s">
        <v>40</v>
      </c>
      <c r="C68" s="29" t="s">
        <v>40</v>
      </c>
      <c r="D68" s="29" t="s">
        <v>40</v>
      </c>
      <c r="E68" s="29" t="s">
        <v>40</v>
      </c>
      <c r="F68" s="29" t="s">
        <v>40</v>
      </c>
      <c r="G68" s="29">
        <f>IFERROR(G67/B67-1,"n.a.")</f>
        <v>-0.18367346938775508</v>
      </c>
      <c r="H68" s="29">
        <f>IFERROR(H67/C67-1,"n.a.")</f>
        <v>-0.5</v>
      </c>
      <c r="I68" s="50">
        <f>IFERROR(I67/D67-1,"n.a.")</f>
        <v>-0.3023255813953488</v>
      </c>
      <c r="J68" s="20"/>
    </row>
    <row r="69">
      <c r="A69" s="23" t="s">
        <v>99</v>
      </c>
      <c r="B69" s="29" t="s">
        <v>40</v>
      </c>
      <c r="C69" s="29" t="s">
        <v>40</v>
      </c>
      <c r="D69" s="29" t="s">
        <v>40</v>
      </c>
      <c r="E69" s="29" t="s">
        <v>40</v>
      </c>
      <c r="F69" s="29" t="s">
        <v>40</v>
      </c>
      <c r="G69" s="65">
        <v>0</v>
      </c>
      <c r="H69" s="65">
        <v>0</v>
      </c>
      <c r="I69" s="48">
        <v>0</v>
      </c>
      <c r="J69" s="20" t="s">
        <v>247</v>
      </c>
    </row>
    <row r="70">
      <c r="A70" s="23" t="s">
        <v>106</v>
      </c>
      <c r="B70" s="29" t="s">
        <v>40</v>
      </c>
      <c r="C70" s="29" t="s">
        <v>40</v>
      </c>
      <c r="D70" s="29" t="s">
        <v>40</v>
      </c>
      <c r="E70" s="29" t="s">
        <v>40</v>
      </c>
      <c r="F70" s="29" t="s">
        <v>40</v>
      </c>
      <c r="G70" s="65">
        <v>0</v>
      </c>
      <c r="H70" s="65">
        <v>0</v>
      </c>
      <c r="I70" s="48">
        <v>0</v>
      </c>
      <c r="J70" s="20" t="s">
        <v>247</v>
      </c>
    </row>
    <row r="71">
      <c r="A71" s="23" t="s">
        <v>103</v>
      </c>
      <c r="B71" s="29" t="s">
        <v>40</v>
      </c>
      <c r="C71" s="29" t="s">
        <v>40</v>
      </c>
      <c r="D71" s="29" t="s">
        <v>40</v>
      </c>
      <c r="E71" s="29" t="s">
        <v>40</v>
      </c>
      <c r="F71" s="29" t="s">
        <v>40</v>
      </c>
      <c r="G71" s="29">
        <f>IFERROR(IF(OR(ISTEXT(G68),ISTEXT(G69),ISTEXT(G70)),"n.a.",(1+G68)/((1+G69)*(1+G70))-1),"n.a.")</f>
        <v>-0.18367346938775508</v>
      </c>
      <c r="H71" s="29">
        <f>IFERROR(IF(OR(ISTEXT(H68),ISTEXT(H69),ISTEXT(H70)),"n.a.",(1+H68)/((1+H69)*(1+H70))-1),"n.a.")</f>
        <v>-0.5</v>
      </c>
      <c r="I71" s="50">
        <f>IFERROR(IF(OR(ISTEXT(I68),ISTEXT(I69),ISTEXT(I70)),"n.a.",(1+I68)/((1+I69)*(1+I70))-1),"n.a.")</f>
        <v>-0.3023255813953488</v>
      </c>
      <c r="J71" s="20"/>
    </row>
    <row r="72">
      <c r="A72" s="9" t="s">
        <v>265</v>
      </c>
      <c r="B72" s="40">
        <f>B36</f>
        <v>1226</v>
      </c>
      <c r="C72" s="40">
        <f>C36</f>
        <v>1232</v>
      </c>
      <c r="D72" s="40">
        <f>D36</f>
        <v>1363</v>
      </c>
      <c r="E72" s="40">
        <f>E36</f>
        <v>1628</v>
      </c>
      <c r="F72" s="40">
        <f>SUM(B72:E72)</f>
        <v>5449</v>
      </c>
      <c r="G72" s="40">
        <f>G36</f>
        <v>2099</v>
      </c>
      <c r="H72" s="40">
        <f>H36</f>
        <v>1895</v>
      </c>
      <c r="I72" s="41">
        <f>I36</f>
        <v>1845.5</v>
      </c>
      <c r="J72" s="20"/>
    </row>
    <row r="73">
      <c r="A73" s="23" t="s">
        <v>98</v>
      </c>
      <c r="B73" s="29" t="s">
        <v>40</v>
      </c>
      <c r="C73" s="29" t="s">
        <v>40</v>
      </c>
      <c r="D73" s="29" t="s">
        <v>40</v>
      </c>
      <c r="E73" s="29" t="s">
        <v>40</v>
      </c>
      <c r="F73" s="29" t="s">
        <v>40</v>
      </c>
      <c r="G73" s="29">
        <f>IFERROR(G72/B72-1,"n.a.")</f>
        <v>0.7120717781402937</v>
      </c>
      <c r="H73" s="29">
        <f>IFERROR(H72/C72-1,"n.a.")</f>
        <v>0.5381493506493507</v>
      </c>
      <c r="I73" s="50">
        <f>IFERROR(I72/D72-1,"n.a.")</f>
        <v>0.3539985326485693</v>
      </c>
      <c r="J73" s="20"/>
    </row>
    <row r="74">
      <c r="A74" s="23" t="s">
        <v>99</v>
      </c>
      <c r="B74" s="29" t="s">
        <v>40</v>
      </c>
      <c r="C74" s="29" t="s">
        <v>40</v>
      </c>
      <c r="D74" s="29" t="s">
        <v>40</v>
      </c>
      <c r="E74" s="29" t="s">
        <v>40</v>
      </c>
      <c r="F74" s="29" t="s">
        <v>40</v>
      </c>
      <c r="G74" s="65">
        <v>0</v>
      </c>
      <c r="H74" s="65">
        <v>0</v>
      </c>
      <c r="I74" s="48">
        <v>0</v>
      </c>
      <c r="J74" s="20" t="s">
        <v>247</v>
      </c>
    </row>
    <row r="75">
      <c r="A75" s="23" t="s">
        <v>106</v>
      </c>
      <c r="B75" s="29" t="s">
        <v>40</v>
      </c>
      <c r="C75" s="29" t="s">
        <v>40</v>
      </c>
      <c r="D75" s="29" t="s">
        <v>40</v>
      </c>
      <c r="E75" s="29" t="s">
        <v>40</v>
      </c>
      <c r="F75" s="29" t="s">
        <v>40</v>
      </c>
      <c r="G75" s="65">
        <v>0</v>
      </c>
      <c r="H75" s="65">
        <v>0</v>
      </c>
      <c r="I75" s="48">
        <v>0</v>
      </c>
      <c r="J75" s="20" t="s">
        <v>247</v>
      </c>
    </row>
    <row r="76">
      <c r="A76" s="23" t="s">
        <v>103</v>
      </c>
      <c r="B76" s="29" t="s">
        <v>40</v>
      </c>
      <c r="C76" s="29" t="s">
        <v>40</v>
      </c>
      <c r="D76" s="29" t="s">
        <v>40</v>
      </c>
      <c r="E76" s="29" t="s">
        <v>40</v>
      </c>
      <c r="F76" s="29" t="s">
        <v>40</v>
      </c>
      <c r="G76" s="29">
        <f>IFERROR(IF(OR(ISTEXT(G73),ISTEXT(G74),ISTEXT(G75)),"n.a.",(1+G73)/((1+G74)*(1+G75))-1),"n.a.")</f>
        <v>0.7120717781402937</v>
      </c>
      <c r="H76" s="29">
        <f>IFERROR(IF(OR(ISTEXT(H73),ISTEXT(H74),ISTEXT(H75)),"n.a.",(1+H73)/((1+H74)*(1+H75))-1),"n.a.")</f>
        <v>0.5381493506493507</v>
      </c>
      <c r="I76" s="50">
        <f>IFERROR(IF(OR(ISTEXT(I73),ISTEXT(I74),ISTEXT(I75)),"n.a.",(1+I73)/((1+I74)*(1+I75))-1),"n.a.")</f>
        <v>0.3539985326485693</v>
      </c>
      <c r="J76" s="20"/>
    </row>
    <row r="77">
      <c r="A77" s="9"/>
      <c r="B77" s="9"/>
      <c r="C77" s="9"/>
      <c r="D77" s="9"/>
      <c r="E77" s="9"/>
      <c r="F77" s="9"/>
      <c r="G77" s="9"/>
      <c r="H77" s="9"/>
      <c r="I77" s="69"/>
      <c r="J77" s="20"/>
    </row>
    <row r="78">
      <c r="A78" s="35" t="s">
        <v>280</v>
      </c>
      <c r="B78" s="33"/>
      <c r="C78" s="33"/>
      <c r="D78" s="33"/>
      <c r="E78" s="33"/>
      <c r="F78" s="33"/>
      <c r="G78" s="33"/>
      <c r="H78" s="33"/>
      <c r="I78" s="53"/>
      <c r="J78" s="20"/>
    </row>
    <row r="79">
      <c r="A79" s="35" t="s">
        <v>281</v>
      </c>
      <c r="B79" s="45">
        <f>B80+B81</f>
        <v>1468</v>
      </c>
      <c r="C79" s="45">
        <f>C80+C81</f>
        <v>1395</v>
      </c>
      <c r="D79" s="45">
        <f>D80+D81</f>
        <v>1556</v>
      </c>
      <c r="E79" s="45">
        <f>E80+E81</f>
        <v>2294</v>
      </c>
      <c r="F79" s="45">
        <f>SUM(B79:E79)</f>
        <v>6713</v>
      </c>
      <c r="G79" s="45">
        <f>G80+G81</f>
        <v>3453</v>
      </c>
      <c r="H79" s="45">
        <f>H80+H81</f>
        <v>2163</v>
      </c>
      <c r="I79" s="52">
        <f>I80+I81</f>
        <v>1913.77</v>
      </c>
      <c r="J79" s="20"/>
    </row>
    <row r="80">
      <c r="A80" s="9" t="s">
        <v>282</v>
      </c>
      <c r="B80" s="40">
        <f>B21</f>
        <v>414</v>
      </c>
      <c r="C80" s="40">
        <f>C21</f>
        <v>427</v>
      </c>
      <c r="D80" s="40">
        <f>D21</f>
        <v>477</v>
      </c>
      <c r="E80" s="40">
        <f>E21</f>
        <v>564</v>
      </c>
      <c r="F80" s="40">
        <f>SUM(B80:E80)</f>
        <v>1882</v>
      </c>
      <c r="G80" s="40">
        <f>G21</f>
        <v>908</v>
      </c>
      <c r="H80" s="40">
        <f>H21</f>
        <v>717</v>
      </c>
      <c r="I80" s="41">
        <f>I21</f>
        <v>622.4</v>
      </c>
      <c r="J80" s="20"/>
    </row>
    <row r="81">
      <c r="A81" s="9" t="s">
        <v>283</v>
      </c>
      <c r="B81" s="40">
        <f>B84-B80</f>
        <v>1054</v>
      </c>
      <c r="C81" s="40">
        <f>C84-C80</f>
        <v>968</v>
      </c>
      <c r="D81" s="40">
        <f>D84-D80</f>
        <v>1079</v>
      </c>
      <c r="E81" s="40">
        <f>E84-E80</f>
        <v>1730</v>
      </c>
      <c r="F81" s="40">
        <f>SUM(B81:E81)</f>
        <v>4831</v>
      </c>
      <c r="G81" s="40">
        <f>G84-G80</f>
        <v>2545</v>
      </c>
      <c r="H81" s="40">
        <f>H84-H80</f>
        <v>1446</v>
      </c>
      <c r="I81" s="41">
        <f>D81*(1+I82)+I83</f>
        <v>1291.3700000000001</v>
      </c>
      <c r="J81" s="20" t="s">
        <v>284</v>
      </c>
    </row>
    <row r="82" ht="26.25">
      <c r="A82" s="116" t="s">
        <v>285</v>
      </c>
      <c r="B82" s="29" t="s">
        <v>40</v>
      </c>
      <c r="C82" s="29" t="s">
        <v>40</v>
      </c>
      <c r="D82" s="29" t="s">
        <v>40</v>
      </c>
      <c r="E82" s="29" t="s">
        <v>40</v>
      </c>
      <c r="F82" s="29" t="s">
        <v>40</v>
      </c>
      <c r="G82" s="29">
        <f>IFERROR(G81/B81-1,"n.a.")</f>
        <v>1.4146110056925996</v>
      </c>
      <c r="H82" s="29">
        <f>IFERROR(H81/C81-1,"n.a.")</f>
        <v>0.49380165289256195</v>
      </c>
      <c r="I82" s="48">
        <v>0.03</v>
      </c>
      <c r="J82" s="20" t="s">
        <v>286</v>
      </c>
    </row>
    <row r="83" ht="26.25">
      <c r="A83" s="106" t="s">
        <v>287</v>
      </c>
      <c r="B83" s="40" t="s">
        <v>40</v>
      </c>
      <c r="C83" s="40" t="s">
        <v>40</v>
      </c>
      <c r="D83" s="40" t="s">
        <v>40</v>
      </c>
      <c r="E83" s="40" t="s">
        <v>40</v>
      </c>
      <c r="F83" s="40" t="s">
        <v>40</v>
      </c>
      <c r="G83" s="40" t="s">
        <v>40</v>
      </c>
      <c r="H83" s="40" t="s">
        <v>40</v>
      </c>
      <c r="I83" s="73">
        <v>180</v>
      </c>
      <c r="J83" s="20" t="s">
        <v>288</v>
      </c>
    </row>
    <row r="84">
      <c r="A84" s="9" t="s">
        <v>289</v>
      </c>
      <c r="B84" s="39">
        <v>1468</v>
      </c>
      <c r="C84" s="39">
        <v>1395</v>
      </c>
      <c r="D84" s="39">
        <v>1556</v>
      </c>
      <c r="E84" s="39">
        <v>2294</v>
      </c>
      <c r="F84" s="40">
        <f>SUM(B84:E84)</f>
        <v>6713</v>
      </c>
      <c r="G84" s="39">
        <v>3453</v>
      </c>
      <c r="H84" s="39">
        <v>2163</v>
      </c>
      <c r="I84" s="41" t="s">
        <v>40</v>
      </c>
      <c r="J84" s="20" t="s">
        <v>247</v>
      </c>
    </row>
    <row r="85">
      <c r="A85" s="23" t="s">
        <v>217</v>
      </c>
      <c r="B85" s="29" t="s">
        <v>40</v>
      </c>
      <c r="C85" s="29" t="s">
        <v>40</v>
      </c>
      <c r="D85" s="29" t="s">
        <v>40</v>
      </c>
      <c r="E85" s="29" t="s">
        <v>40</v>
      </c>
      <c r="F85" s="29" t="s">
        <v>40</v>
      </c>
      <c r="G85" s="29">
        <f>IFERROR(G79/B79-1,"n.a.")</f>
        <v>1.3521798365122617</v>
      </c>
      <c r="H85" s="29">
        <f>IFERROR(H79/C79-1,"n.a.")</f>
        <v>0.5505376344086022</v>
      </c>
      <c r="I85" s="50">
        <f>IFERROR(I79/D79-1,"n.a.")</f>
        <v>0.22992930591259642</v>
      </c>
      <c r="J85" s="20"/>
    </row>
    <row r="86">
      <c r="A86" s="9" t="s">
        <v>189</v>
      </c>
      <c r="B86" s="40" t="s">
        <v>40</v>
      </c>
      <c r="C86" s="40">
        <f>IFERROR(C79-B79,"n.a.")</f>
        <v>-73</v>
      </c>
      <c r="D86" s="40">
        <f>IFERROR(D79-C79,"n.a.")</f>
        <v>161</v>
      </c>
      <c r="E86" s="40">
        <f>IFERROR(E79-D79,"n.a.")</f>
        <v>738</v>
      </c>
      <c r="F86" s="40" t="s">
        <v>40</v>
      </c>
      <c r="G86" s="40">
        <f>IFERROR(G79-E79,"n.a.")</f>
        <v>1159</v>
      </c>
      <c r="H86" s="40">
        <f>IFERROR(H79-G79,"n.a.")</f>
        <v>-1290</v>
      </c>
      <c r="I86" s="41">
        <f>IFERROR(I79-H79,"n.a.")</f>
        <v>-249.23000000000002</v>
      </c>
      <c r="J86" s="20"/>
    </row>
    <row r="87">
      <c r="A87" s="35" t="s">
        <v>290</v>
      </c>
      <c r="B87" s="45">
        <f>B88+B89</f>
        <v>1667</v>
      </c>
      <c r="C87" s="45">
        <f>C88+C89</f>
        <v>1632</v>
      </c>
      <c r="D87" s="45">
        <f>D88+D89</f>
        <v>1690</v>
      </c>
      <c r="E87" s="45">
        <f>E88+E89</f>
        <v>1876</v>
      </c>
      <c r="F87" s="45">
        <f>SUM(B87:E87)</f>
        <v>6865</v>
      </c>
      <c r="G87" s="45">
        <f>G88+G89</f>
        <v>2283</v>
      </c>
      <c r="H87" s="45">
        <f>H88+H89</f>
        <v>1993</v>
      </c>
      <c r="I87" s="52">
        <f>I88+I89</f>
        <v>2006.2199999999998</v>
      </c>
      <c r="J87" s="20"/>
    </row>
    <row r="88">
      <c r="A88" s="9" t="s">
        <v>291</v>
      </c>
      <c r="B88" s="40">
        <f>B29</f>
        <v>763</v>
      </c>
      <c r="C88" s="40">
        <f>C29</f>
        <v>759</v>
      </c>
      <c r="D88" s="40">
        <f>D29</f>
        <v>843</v>
      </c>
      <c r="E88" s="40">
        <f>E29</f>
        <v>1013</v>
      </c>
      <c r="F88" s="40">
        <f>SUM(B88:E88)</f>
        <v>3378</v>
      </c>
      <c r="G88" s="40">
        <f>G29</f>
        <v>1151</v>
      </c>
      <c r="H88" s="40">
        <f>H29</f>
        <v>1155</v>
      </c>
      <c r="I88" s="41">
        <f>I29</f>
        <v>1193.1</v>
      </c>
      <c r="J88" s="20"/>
    </row>
    <row r="89">
      <c r="A89" s="9" t="s">
        <v>292</v>
      </c>
      <c r="B89" s="40">
        <f>B91-B88</f>
        <v>904</v>
      </c>
      <c r="C89" s="40">
        <f>C91-C88</f>
        <v>873</v>
      </c>
      <c r="D89" s="40">
        <f>D91-D88</f>
        <v>847</v>
      </c>
      <c r="E89" s="40">
        <f>E91-E88</f>
        <v>863</v>
      </c>
      <c r="F89" s="40">
        <f>SUM(B89:E89)</f>
        <v>3487</v>
      </c>
      <c r="G89" s="40">
        <f>G91-G88</f>
        <v>1132</v>
      </c>
      <c r="H89" s="40">
        <f>H91-H88</f>
        <v>838</v>
      </c>
      <c r="I89" s="41">
        <f>D89*(1+I90)</f>
        <v>813.12</v>
      </c>
      <c r="J89" s="20" t="s">
        <v>293</v>
      </c>
    </row>
    <row r="90">
      <c r="A90" s="23" t="s">
        <v>294</v>
      </c>
      <c r="B90" s="29" t="s">
        <v>40</v>
      </c>
      <c r="C90" s="29" t="s">
        <v>40</v>
      </c>
      <c r="D90" s="29" t="s">
        <v>40</v>
      </c>
      <c r="E90" s="29" t="s">
        <v>40</v>
      </c>
      <c r="F90" s="29" t="s">
        <v>40</v>
      </c>
      <c r="G90" s="29">
        <f>IFERROR(G89/B89-1,"n.a.")</f>
        <v>0.25221238938053103</v>
      </c>
      <c r="H90" s="29">
        <f>IFERROR(H89/C89-1,"n.a.")</f>
        <v>-0.04009163802978233</v>
      </c>
      <c r="I90" s="48">
        <v>-0.04</v>
      </c>
      <c r="J90" s="20" t="s">
        <v>295</v>
      </c>
    </row>
    <row r="91">
      <c r="A91" s="9" t="s">
        <v>296</v>
      </c>
      <c r="B91" s="39">
        <v>1667</v>
      </c>
      <c r="C91" s="39">
        <v>1632</v>
      </c>
      <c r="D91" s="39">
        <v>1690</v>
      </c>
      <c r="E91" s="39">
        <v>1876</v>
      </c>
      <c r="F91" s="40">
        <f>SUM(B91:E91)</f>
        <v>6865</v>
      </c>
      <c r="G91" s="39">
        <v>2283</v>
      </c>
      <c r="H91" s="39">
        <v>1993</v>
      </c>
      <c r="I91" s="41" t="s">
        <v>40</v>
      </c>
      <c r="J91" s="20" t="s">
        <v>247</v>
      </c>
    </row>
    <row r="92">
      <c r="A92" s="23" t="s">
        <v>217</v>
      </c>
      <c r="B92" s="29" t="s">
        <v>40</v>
      </c>
      <c r="C92" s="29" t="s">
        <v>40</v>
      </c>
      <c r="D92" s="29" t="s">
        <v>40</v>
      </c>
      <c r="E92" s="29" t="s">
        <v>40</v>
      </c>
      <c r="F92" s="29" t="s">
        <v>40</v>
      </c>
      <c r="G92" s="29">
        <f>IFERROR(G87/B87-1,"n.a.")</f>
        <v>0.3695260947810437</v>
      </c>
      <c r="H92" s="29">
        <f>IFERROR(H87/C87-1,"n.a.")</f>
        <v>0.22120098039215685</v>
      </c>
      <c r="I92" s="50">
        <f>IFERROR(I87/D87-1,"n.a.")</f>
        <v>0.18711242603550282</v>
      </c>
      <c r="J92" s="20"/>
    </row>
    <row r="93">
      <c r="A93" s="9" t="s">
        <v>189</v>
      </c>
      <c r="B93" s="40" t="s">
        <v>40</v>
      </c>
      <c r="C93" s="40">
        <f>IFERROR(C87-B87,"n.a.")</f>
        <v>-35</v>
      </c>
      <c r="D93" s="40">
        <f>IFERROR(D87-C87,"n.a.")</f>
        <v>58</v>
      </c>
      <c r="E93" s="40">
        <f>IFERROR(E87-D87,"n.a.")</f>
        <v>186</v>
      </c>
      <c r="F93" s="40" t="s">
        <v>40</v>
      </c>
      <c r="G93" s="40">
        <f>IFERROR(G87-E87,"n.a.")</f>
        <v>407</v>
      </c>
      <c r="H93" s="40">
        <f>IFERROR(H87-G87,"n.a.")</f>
        <v>-290</v>
      </c>
      <c r="I93" s="41">
        <f>IFERROR(I87-H87,"n.a.")</f>
        <v>13.2199999999998</v>
      </c>
      <c r="J93" s="20"/>
    </row>
    <row r="94">
      <c r="A94" s="9" t="s">
        <v>297</v>
      </c>
      <c r="B94" s="39">
        <v>1148</v>
      </c>
      <c r="C94" s="39">
        <v>1254</v>
      </c>
      <c r="D94" s="39">
        <v>1239</v>
      </c>
      <c r="E94" s="39">
        <v>1283</v>
      </c>
      <c r="F94" s="40">
        <f>SUM(B94:E94)</f>
        <v>4924</v>
      </c>
      <c r="G94" s="39">
        <v>1291</v>
      </c>
      <c r="H94" s="39">
        <v>1330</v>
      </c>
      <c r="I94" s="41">
        <f>D94*(1+I95)*(1+I96)</f>
        <v>1269.78915</v>
      </c>
      <c r="J94" s="20" t="s">
        <v>298</v>
      </c>
    </row>
    <row r="95">
      <c r="A95" s="23" t="s">
        <v>166</v>
      </c>
      <c r="B95" s="29" t="s">
        <v>40</v>
      </c>
      <c r="C95" s="29" t="s">
        <v>40</v>
      </c>
      <c r="D95" s="29" t="s">
        <v>40</v>
      </c>
      <c r="E95" s="29" t="s">
        <v>40</v>
      </c>
      <c r="F95" s="29" t="s">
        <v>40</v>
      </c>
      <c r="G95" s="29" t="s">
        <v>40</v>
      </c>
      <c r="H95" s="29" t="s">
        <v>40</v>
      </c>
      <c r="I95" s="48">
        <v>0.03</v>
      </c>
      <c r="J95" s="20" t="s">
        <v>299</v>
      </c>
    </row>
    <row r="96">
      <c r="A96" s="23" t="s">
        <v>300</v>
      </c>
      <c r="B96" s="29" t="s">
        <v>40</v>
      </c>
      <c r="C96" s="29" t="s">
        <v>40</v>
      </c>
      <c r="D96" s="29" t="s">
        <v>40</v>
      </c>
      <c r="E96" s="29" t="s">
        <v>40</v>
      </c>
      <c r="F96" s="29" t="s">
        <v>40</v>
      </c>
      <c r="G96" s="29" t="s">
        <v>40</v>
      </c>
      <c r="H96" s="29" t="s">
        <v>40</v>
      </c>
      <c r="I96" s="48">
        <v>-0.005</v>
      </c>
      <c r="J96" s="20" t="s">
        <v>301</v>
      </c>
    </row>
    <row r="97">
      <c r="A97" s="9" t="s">
        <v>189</v>
      </c>
      <c r="B97" s="40" t="s">
        <v>40</v>
      </c>
      <c r="C97" s="40">
        <f>IFERROR(C94-B94,"n.a.")</f>
        <v>106</v>
      </c>
      <c r="D97" s="40">
        <f>IFERROR(D94-C94,"n.a.")</f>
        <v>-15</v>
      </c>
      <c r="E97" s="40">
        <f>IFERROR(E94-D94,"n.a.")</f>
        <v>44</v>
      </c>
      <c r="F97" s="40" t="s">
        <v>40</v>
      </c>
      <c r="G97" s="40">
        <f>IFERROR(G94-E94,"n.a.")</f>
        <v>8</v>
      </c>
      <c r="H97" s="40">
        <f>IFERROR(H94-G94,"n.a.")</f>
        <v>39</v>
      </c>
      <c r="I97" s="41">
        <f>IFERROR(I94-H94,"n.a.")</f>
        <v>-60.21084999999994</v>
      </c>
      <c r="J97" s="20"/>
    </row>
    <row r="98">
      <c r="A98" s="9" t="s">
        <v>176</v>
      </c>
      <c r="B98" s="39">
        <v>244</v>
      </c>
      <c r="C98" s="39">
        <v>261</v>
      </c>
      <c r="D98" s="39">
        <v>259</v>
      </c>
      <c r="E98" s="39">
        <v>371</v>
      </c>
      <c r="F98" s="40">
        <f>SUM(B98:E98)</f>
        <v>1135</v>
      </c>
      <c r="G98" s="39">
        <v>253</v>
      </c>
      <c r="H98" s="39">
        <v>204</v>
      </c>
      <c r="I98" s="41">
        <f>D98*(1+I99)</f>
        <v>227.92</v>
      </c>
      <c r="J98" s="20" t="s">
        <v>302</v>
      </c>
    </row>
    <row r="99">
      <c r="A99" s="23" t="s">
        <v>150</v>
      </c>
      <c r="B99" s="29" t="s">
        <v>40</v>
      </c>
      <c r="C99" s="29" t="s">
        <v>40</v>
      </c>
      <c r="D99" s="29" t="s">
        <v>40</v>
      </c>
      <c r="E99" s="29" t="s">
        <v>40</v>
      </c>
      <c r="F99" s="29" t="s">
        <v>40</v>
      </c>
      <c r="G99" s="29">
        <f>IFERROR(G98/B98-1,"n.a.")</f>
        <v>0.03688524590163933</v>
      </c>
      <c r="H99" s="29">
        <f>IFERROR(H98/C98-1,"n.a.")</f>
        <v>-0.2183908045977011</v>
      </c>
      <c r="I99" s="48">
        <v>-0.12</v>
      </c>
      <c r="J99" s="20" t="s">
        <v>303</v>
      </c>
    </row>
    <row r="100">
      <c r="A100" s="9" t="s">
        <v>189</v>
      </c>
      <c r="B100" s="40" t="s">
        <v>40</v>
      </c>
      <c r="C100" s="40">
        <f>IFERROR(C98-B98,"n.a.")</f>
        <v>17</v>
      </c>
      <c r="D100" s="40">
        <f>IFERROR(D98-C98,"n.a.")</f>
        <v>-2</v>
      </c>
      <c r="E100" s="40">
        <f>IFERROR(E98-D98,"n.a.")</f>
        <v>112</v>
      </c>
      <c r="F100" s="40" t="s">
        <v>40</v>
      </c>
      <c r="G100" s="40">
        <f>IFERROR(G98-E98,"n.a.")</f>
        <v>-118</v>
      </c>
      <c r="H100" s="40">
        <f>IFERROR(H98-G98,"n.a.")</f>
        <v>-49</v>
      </c>
      <c r="I100" s="41">
        <f>IFERROR(I98-H98,"n.a.")</f>
        <v>23.919999999999987</v>
      </c>
      <c r="J100" s="20"/>
    </row>
    <row r="101">
      <c r="A101" s="35" t="s">
        <v>304</v>
      </c>
      <c r="B101" s="45">
        <f>B79+B87+B94+B98</f>
        <v>4527</v>
      </c>
      <c r="C101" s="45">
        <f>C79+C87+C94+C98</f>
        <v>4542</v>
      </c>
      <c r="D101" s="45">
        <f>D79+D87+D94+D98</f>
        <v>4744</v>
      </c>
      <c r="E101" s="45">
        <f>E79+E87+E94+E98</f>
        <v>5824</v>
      </c>
      <c r="F101" s="45">
        <f>SUM(B101:E101)</f>
        <v>19637</v>
      </c>
      <c r="G101" s="45">
        <f>G79+G87+G94+G98</f>
        <v>7280</v>
      </c>
      <c r="H101" s="45">
        <f>H79+H87+H94+H98</f>
        <v>5690</v>
      </c>
      <c r="I101" s="52">
        <f>I79+I87+I94+I98</f>
        <v>5417.69915</v>
      </c>
      <c r="J101" s="20"/>
    </row>
    <row r="102">
      <c r="A102" s="9" t="s">
        <v>305</v>
      </c>
      <c r="B102" s="39">
        <v>4527</v>
      </c>
      <c r="C102" s="39">
        <v>4543</v>
      </c>
      <c r="D102" s="39">
        <v>4744</v>
      </c>
      <c r="E102" s="39">
        <v>5824</v>
      </c>
      <c r="F102" s="40">
        <f>SUM(B102:E102)</f>
        <v>19638</v>
      </c>
      <c r="G102" s="39">
        <v>7280</v>
      </c>
      <c r="H102" s="39">
        <v>5691</v>
      </c>
      <c r="I102" s="41" t="s">
        <v>40</v>
      </c>
      <c r="J102" s="20" t="s">
        <v>247</v>
      </c>
    </row>
    <row r="103">
      <c r="A103" s="9" t="s">
        <v>306</v>
      </c>
      <c r="B103" s="33" t="b">
        <f>ABS(B101-B102)&lt;=3</f>
        <v>1</v>
      </c>
      <c r="C103" s="33" t="b">
        <f>ABS(C101-C102)&lt;=3</f>
        <v>1</v>
      </c>
      <c r="D103" s="33" t="b">
        <f>ABS(D101-D102)&lt;=3</f>
        <v>1</v>
      </c>
      <c r="E103" s="33" t="b">
        <f>ABS(E101-E102)&lt;=3</f>
        <v>1</v>
      </c>
      <c r="F103" s="33" t="b">
        <f>ABS(F101-F102)&lt;=3</f>
        <v>1</v>
      </c>
      <c r="G103" s="33" t="b">
        <f>ABS(G101-G102)&lt;=3</f>
        <v>1</v>
      </c>
      <c r="H103" s="33" t="b">
        <f>ABS(H101-H102)&lt;=3</f>
        <v>1</v>
      </c>
      <c r="I103" s="53" t="s">
        <v>40</v>
      </c>
      <c r="J103" s="20"/>
    </row>
    <row r="104">
      <c r="A104" s="35" t="s">
        <v>307</v>
      </c>
      <c r="B104" s="33"/>
      <c r="C104" s="33"/>
      <c r="D104" s="33"/>
      <c r="E104" s="33"/>
      <c r="F104" s="33"/>
      <c r="G104" s="33"/>
      <c r="H104" s="33"/>
      <c r="I104" s="53"/>
      <c r="J104" s="20"/>
    </row>
    <row r="105">
      <c r="A105" s="9" t="s">
        <v>308</v>
      </c>
      <c r="B105" s="39">
        <v>0</v>
      </c>
      <c r="C105" s="39">
        <v>0</v>
      </c>
      <c r="D105" s="39">
        <v>0</v>
      </c>
      <c r="E105" s="39">
        <v>0</v>
      </c>
      <c r="F105" s="40">
        <f>SUM(B105:E105)</f>
        <v>0</v>
      </c>
      <c r="G105" s="39">
        <v>1421</v>
      </c>
      <c r="H105" s="39">
        <v>0</v>
      </c>
      <c r="I105" s="73">
        <v>0</v>
      </c>
      <c r="J105" s="20" t="s">
        <v>309</v>
      </c>
    </row>
    <row r="106">
      <c r="A106" s="9" t="s">
        <v>310</v>
      </c>
      <c r="B106" s="39">
        <v>0</v>
      </c>
      <c r="C106" s="39">
        <v>0</v>
      </c>
      <c r="D106" s="39">
        <v>0</v>
      </c>
      <c r="E106" s="39">
        <v>0</v>
      </c>
      <c r="F106" s="40">
        <f>SUM(B106:E106)</f>
        <v>0</v>
      </c>
      <c r="G106" s="39">
        <v>758</v>
      </c>
      <c r="H106" s="39">
        <v>0</v>
      </c>
      <c r="I106" s="73">
        <v>0</v>
      </c>
      <c r="J106" s="20" t="s">
        <v>247</v>
      </c>
    </row>
    <row r="107">
      <c r="A107" s="9" t="s">
        <v>311</v>
      </c>
      <c r="B107" s="39">
        <v>0</v>
      </c>
      <c r="C107" s="39">
        <v>0</v>
      </c>
      <c r="D107" s="39">
        <v>0</v>
      </c>
      <c r="E107" s="39">
        <v>0</v>
      </c>
      <c r="F107" s="40">
        <f>SUM(B107:E107)</f>
        <v>0</v>
      </c>
      <c r="G107" s="39">
        <v>0</v>
      </c>
      <c r="H107" s="39">
        <v>440</v>
      </c>
      <c r="I107" s="41">
        <f>I83+I23</f>
        <v>230</v>
      </c>
      <c r="J107" s="20" t="s">
        <v>312</v>
      </c>
    </row>
    <row r="108">
      <c r="A108" s="35" t="s">
        <v>313</v>
      </c>
      <c r="B108" s="45">
        <f>B101-B105-B106-B107</f>
        <v>4527</v>
      </c>
      <c r="C108" s="45">
        <f>C101-C105-C106-C107</f>
        <v>4542</v>
      </c>
      <c r="D108" s="45">
        <f>D101-D105-D106-D107</f>
        <v>4744</v>
      </c>
      <c r="E108" s="45">
        <f>E101-E105-E106-E107</f>
        <v>5824</v>
      </c>
      <c r="F108" s="45">
        <f>SUM(B108:E108)</f>
        <v>19637</v>
      </c>
      <c r="G108" s="45">
        <f>G101-G105-G106-G107</f>
        <v>5101</v>
      </c>
      <c r="H108" s="45">
        <f>H101-H105-H106-H107</f>
        <v>5250</v>
      </c>
      <c r="I108" s="52">
        <f>I101-I105-I106-I107</f>
        <v>5187.69915</v>
      </c>
      <c r="J108" s="20"/>
    </row>
    <row r="109">
      <c r="A109" s="23" t="s">
        <v>98</v>
      </c>
      <c r="B109" s="29" t="s">
        <v>40</v>
      </c>
      <c r="C109" s="29" t="s">
        <v>40</v>
      </c>
      <c r="D109" s="29" t="s">
        <v>40</v>
      </c>
      <c r="E109" s="29" t="s">
        <v>40</v>
      </c>
      <c r="F109" s="29" t="s">
        <v>40</v>
      </c>
      <c r="G109" s="29">
        <f>IFERROR(G108/B108-1,"n.a.")</f>
        <v>0.12679478683454826</v>
      </c>
      <c r="H109" s="29">
        <f>IFERROR(H108/C108-1,"n.a.")</f>
        <v>0.1558784676354028</v>
      </c>
      <c r="I109" s="50">
        <f>IFERROR(I108/D108-1,"n.a.")</f>
        <v>0.09352848861720076</v>
      </c>
      <c r="J109" s="20"/>
    </row>
    <row r="110">
      <c r="A110" s="23" t="s">
        <v>99</v>
      </c>
      <c r="B110" s="29" t="s">
        <v>40</v>
      </c>
      <c r="C110" s="29" t="s">
        <v>40</v>
      </c>
      <c r="D110" s="29" t="s">
        <v>40</v>
      </c>
      <c r="E110" s="29" t="s">
        <v>40</v>
      </c>
      <c r="F110" s="29" t="s">
        <v>40</v>
      </c>
      <c r="G110" s="65">
        <v>0</v>
      </c>
      <c r="H110" s="65">
        <v>0</v>
      </c>
      <c r="I110" s="48">
        <v>0</v>
      </c>
      <c r="J110" s="20" t="s">
        <v>247</v>
      </c>
    </row>
    <row r="111">
      <c r="A111" s="23" t="s">
        <v>106</v>
      </c>
      <c r="B111" s="29" t="s">
        <v>40</v>
      </c>
      <c r="C111" s="29" t="s">
        <v>40</v>
      </c>
      <c r="D111" s="29" t="s">
        <v>40</v>
      </c>
      <c r="E111" s="29" t="s">
        <v>40</v>
      </c>
      <c r="F111" s="29" t="s">
        <v>40</v>
      </c>
      <c r="G111" s="29" t="s">
        <v>40</v>
      </c>
      <c r="H111" s="29" t="s">
        <v>40</v>
      </c>
      <c r="I111" s="50">
        <f>I96*D94/D108</f>
        <v>-0.0013058600337268128</v>
      </c>
      <c r="J111" s="20"/>
    </row>
    <row r="112">
      <c r="A112" s="23" t="s">
        <v>103</v>
      </c>
      <c r="B112" s="29" t="s">
        <v>40</v>
      </c>
      <c r="C112" s="29" t="s">
        <v>40</v>
      </c>
      <c r="D112" s="29" t="s">
        <v>40</v>
      </c>
      <c r="E112" s="29" t="s">
        <v>40</v>
      </c>
      <c r="F112" s="29" t="s">
        <v>40</v>
      </c>
      <c r="G112" s="29" t="str">
        <f>IFERROR(IF(OR(ISTEXT(G109),ISTEXT(G110),ISTEXT(G111)),"n.a.",(1+G109)/((1+G110)*(1+G111))-1),"n.a.")</f>
        <v>n.a.</v>
      </c>
      <c r="H112" s="29" t="str">
        <f>IFERROR(IF(OR(ISTEXT(H109),ISTEXT(H110),ISTEXT(H111)),"n.a.",(1+H109)/((1+H110)*(1+H111))-1),"n.a.")</f>
        <v>n.a.</v>
      </c>
      <c r="I112" s="50">
        <f>IFERROR(IF(OR(ISTEXT(I109),ISTEXT(I110),ISTEXT(I111)),"n.a.",(1+I109)/((1+I110)*(1+I111))-1),"n.a.")</f>
        <v>0.09495835096632299</v>
      </c>
      <c r="J112" s="20"/>
    </row>
    <row r="113">
      <c r="A113" s="9"/>
      <c r="B113" s="9"/>
      <c r="C113" s="9"/>
      <c r="D113" s="9"/>
      <c r="E113" s="9"/>
      <c r="F113" s="9"/>
      <c r="G113" s="9"/>
      <c r="H113" s="9"/>
      <c r="I113" s="69"/>
      <c r="J113" s="20"/>
    </row>
    <row r="114">
      <c r="A114" s="35" t="s">
        <v>314</v>
      </c>
      <c r="B114" s="33"/>
      <c r="C114" s="33"/>
      <c r="D114" s="33"/>
      <c r="E114" s="33"/>
      <c r="F114" s="33"/>
      <c r="G114" s="33"/>
      <c r="H114" s="33"/>
      <c r="I114" s="53"/>
      <c r="J114" s="20"/>
    </row>
    <row r="115">
      <c r="A115" s="9" t="s">
        <v>281</v>
      </c>
      <c r="B115" s="40">
        <f>B79</f>
        <v>1468</v>
      </c>
      <c r="C115" s="40">
        <f>C79</f>
        <v>1395</v>
      </c>
      <c r="D115" s="40">
        <f>D79</f>
        <v>1556</v>
      </c>
      <c r="E115" s="40">
        <f>E79</f>
        <v>2294</v>
      </c>
      <c r="F115" s="40">
        <f>SUM(B115:E115)</f>
        <v>6713</v>
      </c>
      <c r="G115" s="40">
        <f>G79</f>
        <v>3453</v>
      </c>
      <c r="H115" s="40">
        <f>H79</f>
        <v>2163</v>
      </c>
      <c r="I115" s="41">
        <f>I79</f>
        <v>1913.77</v>
      </c>
      <c r="J115" s="20"/>
    </row>
    <row r="116">
      <c r="A116" s="23" t="s">
        <v>98</v>
      </c>
      <c r="B116" s="29" t="s">
        <v>40</v>
      </c>
      <c r="C116" s="29" t="s">
        <v>40</v>
      </c>
      <c r="D116" s="29" t="s">
        <v>40</v>
      </c>
      <c r="E116" s="29" t="s">
        <v>40</v>
      </c>
      <c r="F116" s="29" t="s">
        <v>40</v>
      </c>
      <c r="G116" s="29">
        <f>IFERROR(G115/B115-1,"n.a.")</f>
        <v>1.3521798365122617</v>
      </c>
      <c r="H116" s="29">
        <f>IFERROR(H115/C115-1,"n.a.")</f>
        <v>0.5505376344086022</v>
      </c>
      <c r="I116" s="50">
        <f>IFERROR(I115/D115-1,"n.a.")</f>
        <v>0.22992930591259642</v>
      </c>
      <c r="J116" s="20"/>
    </row>
    <row r="117">
      <c r="A117" s="23" t="s">
        <v>99</v>
      </c>
      <c r="B117" s="29" t="s">
        <v>40</v>
      </c>
      <c r="C117" s="29" t="s">
        <v>40</v>
      </c>
      <c r="D117" s="29" t="s">
        <v>40</v>
      </c>
      <c r="E117" s="29" t="s">
        <v>40</v>
      </c>
      <c r="F117" s="29" t="s">
        <v>40</v>
      </c>
      <c r="G117" s="65">
        <v>0</v>
      </c>
      <c r="H117" s="65">
        <v>0</v>
      </c>
      <c r="I117" s="48">
        <v>0</v>
      </c>
      <c r="J117" s="20" t="s">
        <v>247</v>
      </c>
    </row>
    <row r="118">
      <c r="A118" s="23" t="s">
        <v>106</v>
      </c>
      <c r="B118" s="29" t="s">
        <v>40</v>
      </c>
      <c r="C118" s="29" t="s">
        <v>40</v>
      </c>
      <c r="D118" s="29" t="s">
        <v>40</v>
      </c>
      <c r="E118" s="29" t="s">
        <v>40</v>
      </c>
      <c r="F118" s="29" t="s">
        <v>40</v>
      </c>
      <c r="G118" s="29" t="s">
        <v>40</v>
      </c>
      <c r="H118" s="29" t="s">
        <v>40</v>
      </c>
      <c r="I118" s="48">
        <v>0</v>
      </c>
      <c r="J118" s="20" t="s">
        <v>315</v>
      </c>
    </row>
    <row r="119">
      <c r="A119" s="23" t="s">
        <v>103</v>
      </c>
      <c r="B119" s="29" t="s">
        <v>40</v>
      </c>
      <c r="C119" s="29" t="s">
        <v>40</v>
      </c>
      <c r="D119" s="29" t="s">
        <v>40</v>
      </c>
      <c r="E119" s="29" t="s">
        <v>40</v>
      </c>
      <c r="F119" s="29" t="s">
        <v>40</v>
      </c>
      <c r="G119" s="29" t="str">
        <f>IFERROR(IF(OR(ISTEXT(G116),ISTEXT(G117),ISTEXT(G118)),"n.a.",(1+G116)/((1+G117)*(1+G118))-1),"n.a.")</f>
        <v>n.a.</v>
      </c>
      <c r="H119" s="29" t="str">
        <f>IFERROR(IF(OR(ISTEXT(H116),ISTEXT(H117),ISTEXT(H118)),"n.a.",(1+H116)/((1+H117)*(1+H118))-1),"n.a.")</f>
        <v>n.a.</v>
      </c>
      <c r="I119" s="50">
        <f>IFERROR(IF(OR(ISTEXT(I116),ISTEXT(I117),ISTEXT(I118)),"n.a.",(1+I116)/((1+I117)*(1+I118))-1),"n.a.")</f>
        <v>0.22992930591259642</v>
      </c>
      <c r="J119" s="20"/>
    </row>
    <row r="120">
      <c r="A120" s="9" t="s">
        <v>189</v>
      </c>
      <c r="B120" s="40" t="s">
        <v>40</v>
      </c>
      <c r="C120" s="40">
        <f>IFERROR(C115-B115,"n.a.")</f>
        <v>-73</v>
      </c>
      <c r="D120" s="40">
        <f>IFERROR(D115-C115,"n.a.")</f>
        <v>161</v>
      </c>
      <c r="E120" s="40">
        <f>IFERROR(E115-D115,"n.a.")</f>
        <v>738</v>
      </c>
      <c r="F120" s="40" t="s">
        <v>40</v>
      </c>
      <c r="G120" s="40">
        <f>IFERROR(G115-E115,"n.a.")</f>
        <v>1159</v>
      </c>
      <c r="H120" s="40">
        <f>IFERROR(H115-G115,"n.a.")</f>
        <v>-1290</v>
      </c>
      <c r="I120" s="41">
        <f>IFERROR(I115-H115,"n.a.")</f>
        <v>-249.23000000000002</v>
      </c>
      <c r="J120" s="20"/>
    </row>
    <row r="121">
      <c r="A121" s="9" t="s">
        <v>316</v>
      </c>
      <c r="B121" s="40">
        <f>B81</f>
        <v>1054</v>
      </c>
      <c r="C121" s="40">
        <f>C81</f>
        <v>968</v>
      </c>
      <c r="D121" s="40">
        <f>D81</f>
        <v>1079</v>
      </c>
      <c r="E121" s="40">
        <f>E81</f>
        <v>1730</v>
      </c>
      <c r="F121" s="40">
        <f>SUM(B121:E121)</f>
        <v>4831</v>
      </c>
      <c r="G121" s="40">
        <f>G81</f>
        <v>2545</v>
      </c>
      <c r="H121" s="40">
        <f>H81</f>
        <v>1446</v>
      </c>
      <c r="I121" s="41">
        <f>I81</f>
        <v>1291.3700000000001</v>
      </c>
      <c r="J121" s="20"/>
    </row>
    <row r="122">
      <c r="A122" s="23" t="s">
        <v>98</v>
      </c>
      <c r="B122" s="29" t="s">
        <v>40</v>
      </c>
      <c r="C122" s="29" t="s">
        <v>40</v>
      </c>
      <c r="D122" s="29" t="s">
        <v>40</v>
      </c>
      <c r="E122" s="29" t="s">
        <v>40</v>
      </c>
      <c r="F122" s="29" t="s">
        <v>40</v>
      </c>
      <c r="G122" s="29">
        <f>IFERROR(G121/B121-1,"n.a.")</f>
        <v>1.4146110056925996</v>
      </c>
      <c r="H122" s="29">
        <f>IFERROR(H121/C121-1,"n.a.")</f>
        <v>0.49380165289256195</v>
      </c>
      <c r="I122" s="50">
        <f>IFERROR(I121/D121-1,"n.a.")</f>
        <v>0.19682113067655238</v>
      </c>
      <c r="J122" s="20"/>
    </row>
    <row r="123">
      <c r="A123" s="23" t="s">
        <v>99</v>
      </c>
      <c r="B123" s="29" t="s">
        <v>40</v>
      </c>
      <c r="C123" s="29" t="s">
        <v>40</v>
      </c>
      <c r="D123" s="29" t="s">
        <v>40</v>
      </c>
      <c r="E123" s="29" t="s">
        <v>40</v>
      </c>
      <c r="F123" s="29" t="s">
        <v>40</v>
      </c>
      <c r="G123" s="65">
        <v>0</v>
      </c>
      <c r="H123" s="65">
        <v>0</v>
      </c>
      <c r="I123" s="48">
        <v>0</v>
      </c>
      <c r="J123" s="20" t="s">
        <v>247</v>
      </c>
    </row>
    <row r="124">
      <c r="A124" s="23" t="s">
        <v>106</v>
      </c>
      <c r="B124" s="29" t="s">
        <v>40</v>
      </c>
      <c r="C124" s="29" t="s">
        <v>40</v>
      </c>
      <c r="D124" s="29" t="s">
        <v>40</v>
      </c>
      <c r="E124" s="29" t="s">
        <v>40</v>
      </c>
      <c r="F124" s="29" t="s">
        <v>40</v>
      </c>
      <c r="G124" s="29" t="s">
        <v>40</v>
      </c>
      <c r="H124" s="29" t="s">
        <v>40</v>
      </c>
      <c r="I124" s="50" t="s">
        <v>40</v>
      </c>
      <c r="J124" s="20"/>
    </row>
    <row r="125">
      <c r="A125" s="23" t="s">
        <v>103</v>
      </c>
      <c r="B125" s="29" t="s">
        <v>40</v>
      </c>
      <c r="C125" s="29" t="s">
        <v>40</v>
      </c>
      <c r="D125" s="29" t="s">
        <v>40</v>
      </c>
      <c r="E125" s="29" t="s">
        <v>40</v>
      </c>
      <c r="F125" s="29" t="s">
        <v>40</v>
      </c>
      <c r="G125" s="29" t="str">
        <f>IFERROR(IF(OR(ISTEXT(G122),ISTEXT(G123),ISTEXT(G124)),"n.a.",(1+G122)/((1+G123)*(1+G124))-1),"n.a.")</f>
        <v>n.a.</v>
      </c>
      <c r="H125" s="29" t="str">
        <f>IFERROR(IF(OR(ISTEXT(H122),ISTEXT(H123),ISTEXT(H124)),"n.a.",(1+H122)/((1+H123)*(1+H124))-1),"n.a.")</f>
        <v>n.a.</v>
      </c>
      <c r="I125" s="50" t="str">
        <f>IFERROR(IF(OR(ISTEXT(I122),ISTEXT(I123),ISTEXT(I124)),"n.a.",(1+I122)/((1+I123)*(1+I124))-1),"n.a.")</f>
        <v>n.a.</v>
      </c>
      <c r="J125" s="20"/>
    </row>
    <row r="126">
      <c r="A126" s="9" t="s">
        <v>189</v>
      </c>
      <c r="B126" s="40" t="s">
        <v>40</v>
      </c>
      <c r="C126" s="40">
        <f>IFERROR(C121-B121,"n.a.")</f>
        <v>-86</v>
      </c>
      <c r="D126" s="40">
        <f>IFERROR(D121-C121,"n.a.")</f>
        <v>111</v>
      </c>
      <c r="E126" s="40">
        <f>IFERROR(E121-D121,"n.a.")</f>
        <v>651</v>
      </c>
      <c r="F126" s="40" t="s">
        <v>40</v>
      </c>
      <c r="G126" s="40">
        <f>IFERROR(G121-E121,"n.a.")</f>
        <v>815</v>
      </c>
      <c r="H126" s="40">
        <f>IFERROR(H121-G121,"n.a.")</f>
        <v>-1099</v>
      </c>
      <c r="I126" s="41">
        <f>IFERROR(I121-H121,"n.a.")</f>
        <v>-154.62999999999988</v>
      </c>
      <c r="J126" s="20"/>
    </row>
    <row r="127">
      <c r="A127" s="9" t="s">
        <v>290</v>
      </c>
      <c r="B127" s="40">
        <f>B87</f>
        <v>1667</v>
      </c>
      <c r="C127" s="40">
        <f>C87</f>
        <v>1632</v>
      </c>
      <c r="D127" s="40">
        <f>D87</f>
        <v>1690</v>
      </c>
      <c r="E127" s="40">
        <f>E87</f>
        <v>1876</v>
      </c>
      <c r="F127" s="40">
        <f>SUM(B127:E127)</f>
        <v>6865</v>
      </c>
      <c r="G127" s="40">
        <f>G87</f>
        <v>2283</v>
      </c>
      <c r="H127" s="40">
        <f>H87</f>
        <v>1993</v>
      </c>
      <c r="I127" s="41">
        <f>I87</f>
        <v>2006.2199999999998</v>
      </c>
      <c r="J127" s="20"/>
    </row>
    <row r="128">
      <c r="A128" s="23" t="s">
        <v>98</v>
      </c>
      <c r="B128" s="29" t="s">
        <v>40</v>
      </c>
      <c r="C128" s="29" t="s">
        <v>40</v>
      </c>
      <c r="D128" s="29" t="s">
        <v>40</v>
      </c>
      <c r="E128" s="29" t="s">
        <v>40</v>
      </c>
      <c r="F128" s="29" t="s">
        <v>40</v>
      </c>
      <c r="G128" s="29">
        <f>IFERROR(G127/B127-1,"n.a.")</f>
        <v>0.3695260947810437</v>
      </c>
      <c r="H128" s="29">
        <f>IFERROR(H127/C127-1,"n.a.")</f>
        <v>0.22120098039215685</v>
      </c>
      <c r="I128" s="50">
        <f>IFERROR(I127/D127-1,"n.a.")</f>
        <v>0.18711242603550282</v>
      </c>
      <c r="J128" s="20"/>
    </row>
    <row r="129">
      <c r="A129" s="23" t="s">
        <v>99</v>
      </c>
      <c r="B129" s="29" t="s">
        <v>40</v>
      </c>
      <c r="C129" s="29" t="s">
        <v>40</v>
      </c>
      <c r="D129" s="29" t="s">
        <v>40</v>
      </c>
      <c r="E129" s="29" t="s">
        <v>40</v>
      </c>
      <c r="F129" s="29" t="s">
        <v>40</v>
      </c>
      <c r="G129" s="65">
        <v>0</v>
      </c>
      <c r="H129" s="65">
        <v>0</v>
      </c>
      <c r="I129" s="48">
        <v>0</v>
      </c>
      <c r="J129" s="20" t="s">
        <v>247</v>
      </c>
    </row>
    <row r="130">
      <c r="A130" s="23" t="s">
        <v>106</v>
      </c>
      <c r="B130" s="29" t="s">
        <v>40</v>
      </c>
      <c r="C130" s="29" t="s">
        <v>40</v>
      </c>
      <c r="D130" s="29" t="s">
        <v>40</v>
      </c>
      <c r="E130" s="29" t="s">
        <v>40</v>
      </c>
      <c r="F130" s="29" t="s">
        <v>40</v>
      </c>
      <c r="G130" s="29" t="s">
        <v>40</v>
      </c>
      <c r="H130" s="29" t="s">
        <v>40</v>
      </c>
      <c r="I130" s="48">
        <v>0</v>
      </c>
      <c r="J130" s="20"/>
    </row>
    <row r="131">
      <c r="A131" s="23" t="s">
        <v>103</v>
      </c>
      <c r="B131" s="29" t="s">
        <v>40</v>
      </c>
      <c r="C131" s="29" t="s">
        <v>40</v>
      </c>
      <c r="D131" s="29" t="s">
        <v>40</v>
      </c>
      <c r="E131" s="29" t="s">
        <v>40</v>
      </c>
      <c r="F131" s="29" t="s">
        <v>40</v>
      </c>
      <c r="G131" s="29" t="str">
        <f>IFERROR(IF(OR(ISTEXT(G128),ISTEXT(G129),ISTEXT(G130)),"n.a.",(1+G128)/((1+G129)*(1+G130))-1),"n.a.")</f>
        <v>n.a.</v>
      </c>
      <c r="H131" s="29" t="str">
        <f>IFERROR(IF(OR(ISTEXT(H128),ISTEXT(H129),ISTEXT(H130)),"n.a.",(1+H128)/((1+H129)*(1+H130))-1),"n.a.")</f>
        <v>n.a.</v>
      </c>
      <c r="I131" s="50">
        <f>IFERROR(IF(OR(ISTEXT(I128),ISTEXT(I129),ISTEXT(I130)),"n.a.",(1+I128)/((1+I129)*(1+I130))-1),"n.a.")</f>
        <v>0.18711242603550282</v>
      </c>
      <c r="J131" s="20"/>
    </row>
    <row r="132">
      <c r="A132" s="9" t="s">
        <v>189</v>
      </c>
      <c r="B132" s="40" t="s">
        <v>40</v>
      </c>
      <c r="C132" s="40">
        <f>IFERROR(C127-B127,"n.a.")</f>
        <v>-35</v>
      </c>
      <c r="D132" s="40">
        <f>IFERROR(D127-C127,"n.a.")</f>
        <v>58</v>
      </c>
      <c r="E132" s="40">
        <f>IFERROR(E127-D127,"n.a.")</f>
        <v>186</v>
      </c>
      <c r="F132" s="40" t="s">
        <v>40</v>
      </c>
      <c r="G132" s="40">
        <f>IFERROR(G127-E127,"n.a.")</f>
        <v>407</v>
      </c>
      <c r="H132" s="40">
        <f>IFERROR(H127-G127,"n.a.")</f>
        <v>-290</v>
      </c>
      <c r="I132" s="41">
        <f>IFERROR(I127-H127,"n.a.")</f>
        <v>13.2199999999998</v>
      </c>
      <c r="J132" s="20"/>
    </row>
    <row r="133">
      <c r="A133" s="9" t="s">
        <v>317</v>
      </c>
      <c r="B133" s="40">
        <f>B89</f>
        <v>904</v>
      </c>
      <c r="C133" s="40">
        <f>C89</f>
        <v>873</v>
      </c>
      <c r="D133" s="40">
        <f>D89</f>
        <v>847</v>
      </c>
      <c r="E133" s="40">
        <f>E89</f>
        <v>863</v>
      </c>
      <c r="F133" s="40">
        <f>SUM(B133:E133)</f>
        <v>3487</v>
      </c>
      <c r="G133" s="40">
        <f>G89</f>
        <v>1132</v>
      </c>
      <c r="H133" s="40">
        <f>H89</f>
        <v>838</v>
      </c>
      <c r="I133" s="41">
        <f>I89</f>
        <v>813.12</v>
      </c>
      <c r="J133" s="20"/>
    </row>
    <row r="134">
      <c r="A134" s="23" t="s">
        <v>98</v>
      </c>
      <c r="B134" s="29" t="s">
        <v>40</v>
      </c>
      <c r="C134" s="29" t="s">
        <v>40</v>
      </c>
      <c r="D134" s="29" t="s">
        <v>40</v>
      </c>
      <c r="E134" s="29" t="s">
        <v>40</v>
      </c>
      <c r="F134" s="29" t="s">
        <v>40</v>
      </c>
      <c r="G134" s="29">
        <f>IFERROR(G133/B133-1,"n.a.")</f>
        <v>0.25221238938053103</v>
      </c>
      <c r="H134" s="29">
        <f>IFERROR(H133/C133-1,"n.a.")</f>
        <v>-0.04009163802978233</v>
      </c>
      <c r="I134" s="50">
        <f>IFERROR(I133/D133-1,"n.a.")</f>
        <v>-0.040000000000000036</v>
      </c>
      <c r="J134" s="20"/>
    </row>
    <row r="135">
      <c r="A135" s="23" t="s">
        <v>99</v>
      </c>
      <c r="B135" s="29" t="s">
        <v>40</v>
      </c>
      <c r="C135" s="29" t="s">
        <v>40</v>
      </c>
      <c r="D135" s="29" t="s">
        <v>40</v>
      </c>
      <c r="E135" s="29" t="s">
        <v>40</v>
      </c>
      <c r="F135" s="29" t="s">
        <v>40</v>
      </c>
      <c r="G135" s="65">
        <v>0</v>
      </c>
      <c r="H135" s="65">
        <v>0</v>
      </c>
      <c r="I135" s="48">
        <v>0</v>
      </c>
      <c r="J135" s="20" t="s">
        <v>247</v>
      </c>
    </row>
    <row r="136">
      <c r="A136" s="23" t="s">
        <v>106</v>
      </c>
      <c r="B136" s="29" t="s">
        <v>40</v>
      </c>
      <c r="C136" s="29" t="s">
        <v>40</v>
      </c>
      <c r="D136" s="29" t="s">
        <v>40</v>
      </c>
      <c r="E136" s="29" t="s">
        <v>40</v>
      </c>
      <c r="F136" s="29" t="s">
        <v>40</v>
      </c>
      <c r="G136" s="29" t="s">
        <v>40</v>
      </c>
      <c r="H136" s="29" t="s">
        <v>40</v>
      </c>
      <c r="I136" s="50" t="s">
        <v>40</v>
      </c>
      <c r="J136" s="20"/>
    </row>
    <row r="137">
      <c r="A137" s="23" t="s">
        <v>103</v>
      </c>
      <c r="B137" s="29" t="s">
        <v>40</v>
      </c>
      <c r="C137" s="29" t="s">
        <v>40</v>
      </c>
      <c r="D137" s="29" t="s">
        <v>40</v>
      </c>
      <c r="E137" s="29" t="s">
        <v>40</v>
      </c>
      <c r="F137" s="29" t="s">
        <v>40</v>
      </c>
      <c r="G137" s="29" t="str">
        <f>IFERROR(IF(OR(ISTEXT(G134),ISTEXT(G135),ISTEXT(G136)),"n.a.",(1+G134)/((1+G135)*(1+G136))-1),"n.a.")</f>
        <v>n.a.</v>
      </c>
      <c r="H137" s="29" t="str">
        <f>IFERROR(IF(OR(ISTEXT(H134),ISTEXT(H135),ISTEXT(H136)),"n.a.",(1+H134)/((1+H135)*(1+H136))-1),"n.a.")</f>
        <v>n.a.</v>
      </c>
      <c r="I137" s="50" t="str">
        <f>IFERROR(IF(OR(ISTEXT(I134),ISTEXT(I135),ISTEXT(I136)),"n.a.",(1+I134)/((1+I135)*(1+I136))-1),"n.a.")</f>
        <v>n.a.</v>
      </c>
      <c r="J137" s="20"/>
    </row>
    <row r="138">
      <c r="A138" s="9" t="s">
        <v>189</v>
      </c>
      <c r="B138" s="40" t="s">
        <v>40</v>
      </c>
      <c r="C138" s="40">
        <f>IFERROR(C133-B133,"n.a.")</f>
        <v>-31</v>
      </c>
      <c r="D138" s="40">
        <f>IFERROR(D133-C133,"n.a.")</f>
        <v>-26</v>
      </c>
      <c r="E138" s="40">
        <f>IFERROR(E133-D133,"n.a.")</f>
        <v>16</v>
      </c>
      <c r="F138" s="40" t="s">
        <v>40</v>
      </c>
      <c r="G138" s="40">
        <f>IFERROR(G133-E133,"n.a.")</f>
        <v>269</v>
      </c>
      <c r="H138" s="40">
        <f>IFERROR(H133-G133,"n.a.")</f>
        <v>-294</v>
      </c>
      <c r="I138" s="41">
        <f>IFERROR(I133-H133,"n.a.")</f>
        <v>-24.879999999999995</v>
      </c>
      <c r="J138" s="20"/>
    </row>
    <row r="139">
      <c r="A139" s="9" t="s">
        <v>297</v>
      </c>
      <c r="B139" s="40">
        <f>B94</f>
        <v>1148</v>
      </c>
      <c r="C139" s="40">
        <f>C94</f>
        <v>1254</v>
      </c>
      <c r="D139" s="40">
        <f>D94</f>
        <v>1239</v>
      </c>
      <c r="E139" s="40">
        <f>E94</f>
        <v>1283</v>
      </c>
      <c r="F139" s="40">
        <f>SUM(B139:E139)</f>
        <v>4924</v>
      </c>
      <c r="G139" s="40">
        <f>G94</f>
        <v>1291</v>
      </c>
      <c r="H139" s="40">
        <f>H94</f>
        <v>1330</v>
      </c>
      <c r="I139" s="41">
        <f>I94</f>
        <v>1269.78915</v>
      </c>
      <c r="J139" s="20"/>
    </row>
    <row r="140">
      <c r="A140" s="23" t="s">
        <v>98</v>
      </c>
      <c r="B140" s="29" t="s">
        <v>40</v>
      </c>
      <c r="C140" s="29" t="s">
        <v>40</v>
      </c>
      <c r="D140" s="29" t="s">
        <v>40</v>
      </c>
      <c r="E140" s="29" t="s">
        <v>40</v>
      </c>
      <c r="F140" s="29" t="s">
        <v>40</v>
      </c>
      <c r="G140" s="29">
        <f>IFERROR(G139/B139-1,"n.a.")</f>
        <v>0.12456445993031351</v>
      </c>
      <c r="H140" s="29">
        <f>IFERROR(H139/C139-1,"n.a.")</f>
        <v>0.06060606060606055</v>
      </c>
      <c r="I140" s="50">
        <f>IFERROR(I139/D139-1,"n.a.")</f>
        <v>0.02485000000000004</v>
      </c>
      <c r="J140" s="20"/>
    </row>
    <row r="141">
      <c r="A141" s="23" t="s">
        <v>99</v>
      </c>
      <c r="B141" s="29" t="s">
        <v>40</v>
      </c>
      <c r="C141" s="29" t="s">
        <v>40</v>
      </c>
      <c r="D141" s="29" t="s">
        <v>40</v>
      </c>
      <c r="E141" s="29" t="s">
        <v>40</v>
      </c>
      <c r="F141" s="29" t="s">
        <v>40</v>
      </c>
      <c r="G141" s="65">
        <v>0</v>
      </c>
      <c r="H141" s="65">
        <v>0</v>
      </c>
      <c r="I141" s="48">
        <v>0</v>
      </c>
      <c r="J141" s="20" t="s">
        <v>247</v>
      </c>
    </row>
    <row r="142">
      <c r="A142" s="23" t="s">
        <v>106</v>
      </c>
      <c r="B142" s="29" t="s">
        <v>40</v>
      </c>
      <c r="C142" s="29" t="s">
        <v>40</v>
      </c>
      <c r="D142" s="29" t="s">
        <v>40</v>
      </c>
      <c r="E142" s="29" t="s">
        <v>40</v>
      </c>
      <c r="F142" s="29" t="s">
        <v>40</v>
      </c>
      <c r="G142" s="29" t="s">
        <v>40</v>
      </c>
      <c r="H142" s="29" t="s">
        <v>40</v>
      </c>
      <c r="I142" s="50">
        <f>I96</f>
        <v>-0.005</v>
      </c>
      <c r="J142" s="20"/>
    </row>
    <row r="143">
      <c r="A143" s="23" t="s">
        <v>103</v>
      </c>
      <c r="B143" s="29" t="s">
        <v>40</v>
      </c>
      <c r="C143" s="29" t="s">
        <v>40</v>
      </c>
      <c r="D143" s="29" t="s">
        <v>40</v>
      </c>
      <c r="E143" s="29" t="s">
        <v>40</v>
      </c>
      <c r="F143" s="29" t="s">
        <v>40</v>
      </c>
      <c r="G143" s="29" t="str">
        <f>IFERROR(IF(OR(ISTEXT(G140),ISTEXT(G141),ISTEXT(G142)),"n.a.",(1+G140)/((1+G141)*(1+G142))-1),"n.a.")</f>
        <v>n.a.</v>
      </c>
      <c r="H143" s="29" t="str">
        <f>IFERROR(IF(OR(ISTEXT(H140),ISTEXT(H141),ISTEXT(H142)),"n.a.",(1+H140)/((1+H141)*(1+H142))-1),"n.a.")</f>
        <v>n.a.</v>
      </c>
      <c r="I143" s="50">
        <f>IFERROR(IF(OR(ISTEXT(I140),ISTEXT(I141),ISTEXT(I142)),"n.a.",(1+I140)/((1+I141)*(1+I142))-1),"n.a.")</f>
        <v>0.030000000000000027</v>
      </c>
      <c r="J143" s="20"/>
    </row>
    <row r="144">
      <c r="A144" s="9" t="s">
        <v>189</v>
      </c>
      <c r="B144" s="40" t="s">
        <v>40</v>
      </c>
      <c r="C144" s="40">
        <f>IFERROR(C139-B139,"n.a.")</f>
        <v>106</v>
      </c>
      <c r="D144" s="40">
        <f>IFERROR(D139-C139,"n.a.")</f>
        <v>-15</v>
      </c>
      <c r="E144" s="40">
        <f>IFERROR(E139-D139,"n.a.")</f>
        <v>44</v>
      </c>
      <c r="F144" s="40" t="s">
        <v>40</v>
      </c>
      <c r="G144" s="40">
        <f>IFERROR(G139-E139,"n.a.")</f>
        <v>8</v>
      </c>
      <c r="H144" s="40">
        <f>IFERROR(H139-G139,"n.a.")</f>
        <v>39</v>
      </c>
      <c r="I144" s="41">
        <f>IFERROR(I139-H139,"n.a.")</f>
        <v>-60.21084999999994</v>
      </c>
      <c r="J144" s="20"/>
    </row>
    <row r="145">
      <c r="A145" s="9" t="s">
        <v>176</v>
      </c>
      <c r="B145" s="40">
        <f>B98</f>
        <v>244</v>
      </c>
      <c r="C145" s="40">
        <f>C98</f>
        <v>261</v>
      </c>
      <c r="D145" s="40">
        <f>D98</f>
        <v>259</v>
      </c>
      <c r="E145" s="40">
        <f>E98</f>
        <v>371</v>
      </c>
      <c r="F145" s="40">
        <f>SUM(B145:E145)</f>
        <v>1135</v>
      </c>
      <c r="G145" s="40">
        <f>G98</f>
        <v>253</v>
      </c>
      <c r="H145" s="40">
        <f>H98</f>
        <v>204</v>
      </c>
      <c r="I145" s="41">
        <f>I98</f>
        <v>227.92</v>
      </c>
      <c r="J145" s="20"/>
    </row>
    <row r="146">
      <c r="A146" s="23" t="s">
        <v>98</v>
      </c>
      <c r="B146" s="29" t="s">
        <v>40</v>
      </c>
      <c r="C146" s="29" t="s">
        <v>40</v>
      </c>
      <c r="D146" s="29" t="s">
        <v>40</v>
      </c>
      <c r="E146" s="29" t="s">
        <v>40</v>
      </c>
      <c r="F146" s="29" t="s">
        <v>40</v>
      </c>
      <c r="G146" s="29">
        <f>IFERROR(G145/B145-1,"n.a.")</f>
        <v>0.03688524590163933</v>
      </c>
      <c r="H146" s="29">
        <f>IFERROR(H145/C145-1,"n.a.")</f>
        <v>-0.2183908045977011</v>
      </c>
      <c r="I146" s="50">
        <f>IFERROR(I145/D145-1,"n.a.")</f>
        <v>-0.12</v>
      </c>
      <c r="J146" s="20"/>
    </row>
    <row r="147">
      <c r="A147" s="23" t="s">
        <v>99</v>
      </c>
      <c r="B147" s="29" t="s">
        <v>40</v>
      </c>
      <c r="C147" s="29" t="s">
        <v>40</v>
      </c>
      <c r="D147" s="29" t="s">
        <v>40</v>
      </c>
      <c r="E147" s="29" t="s">
        <v>40</v>
      </c>
      <c r="F147" s="29" t="s">
        <v>40</v>
      </c>
      <c r="G147" s="65">
        <v>0</v>
      </c>
      <c r="H147" s="65">
        <v>0</v>
      </c>
      <c r="I147" s="48">
        <v>0</v>
      </c>
      <c r="J147" s="20" t="s">
        <v>247</v>
      </c>
    </row>
    <row r="148">
      <c r="A148" s="23" t="s">
        <v>106</v>
      </c>
      <c r="B148" s="29" t="s">
        <v>40</v>
      </c>
      <c r="C148" s="29" t="s">
        <v>40</v>
      </c>
      <c r="D148" s="29" t="s">
        <v>40</v>
      </c>
      <c r="E148" s="29" t="s">
        <v>40</v>
      </c>
      <c r="F148" s="29" t="s">
        <v>40</v>
      </c>
      <c r="G148" s="29" t="s">
        <v>40</v>
      </c>
      <c r="H148" s="29" t="s">
        <v>40</v>
      </c>
      <c r="I148" s="50" t="s">
        <v>40</v>
      </c>
      <c r="J148" s="20"/>
    </row>
    <row r="149">
      <c r="A149" s="23" t="s">
        <v>103</v>
      </c>
      <c r="B149" s="29" t="s">
        <v>40</v>
      </c>
      <c r="C149" s="29" t="s">
        <v>40</v>
      </c>
      <c r="D149" s="29" t="s">
        <v>40</v>
      </c>
      <c r="E149" s="29" t="s">
        <v>40</v>
      </c>
      <c r="F149" s="29" t="s">
        <v>40</v>
      </c>
      <c r="G149" s="29" t="str">
        <f>IFERROR(IF(OR(ISTEXT(G146),ISTEXT(G147),ISTEXT(G148)),"n.a.",(1+G146)/((1+G147)*(1+G148))-1),"n.a.")</f>
        <v>n.a.</v>
      </c>
      <c r="H149" s="29" t="str">
        <f>IFERROR(IF(OR(ISTEXT(H146),ISTEXT(H147),ISTEXT(H148)),"n.a.",(1+H146)/((1+H147)*(1+H148))-1),"n.a.")</f>
        <v>n.a.</v>
      </c>
      <c r="I149" s="50" t="str">
        <f>IFERROR(IF(OR(ISTEXT(I146),ISTEXT(I147),ISTEXT(I148)),"n.a.",(1+I146)/((1+I147)*(1+I148))-1),"n.a.")</f>
        <v>n.a.</v>
      </c>
      <c r="J149" s="20"/>
    </row>
    <row r="150">
      <c r="A150" s="9" t="s">
        <v>189</v>
      </c>
      <c r="B150" s="40" t="s">
        <v>40</v>
      </c>
      <c r="C150" s="40">
        <f>IFERROR(C145-B145,"n.a.")</f>
        <v>17</v>
      </c>
      <c r="D150" s="40">
        <f>IFERROR(D145-C145,"n.a.")</f>
        <v>-2</v>
      </c>
      <c r="E150" s="40">
        <f>IFERROR(E145-D145,"n.a.")</f>
        <v>112</v>
      </c>
      <c r="F150" s="40" t="s">
        <v>40</v>
      </c>
      <c r="G150" s="40">
        <f>IFERROR(G145-E145,"n.a.")</f>
        <v>-118</v>
      </c>
      <c r="H150" s="40">
        <f>IFERROR(H145-G145,"n.a.")</f>
        <v>-49</v>
      </c>
      <c r="I150" s="41">
        <f>IFERROR(I145-H145,"n.a.")</f>
        <v>23.919999999999987</v>
      </c>
      <c r="J150" s="20"/>
    </row>
    <row r="151">
      <c r="A151" s="35" t="s">
        <v>304</v>
      </c>
      <c r="B151" s="45">
        <f>B101</f>
        <v>4527</v>
      </c>
      <c r="C151" s="45">
        <f>C101</f>
        <v>4542</v>
      </c>
      <c r="D151" s="45">
        <f>D101</f>
        <v>4744</v>
      </c>
      <c r="E151" s="45">
        <f>E101</f>
        <v>5824</v>
      </c>
      <c r="F151" s="45">
        <f>SUM(B151:E151)</f>
        <v>19637</v>
      </c>
      <c r="G151" s="45">
        <f>G101</f>
        <v>7280</v>
      </c>
      <c r="H151" s="45">
        <f>H101</f>
        <v>5690</v>
      </c>
      <c r="I151" s="52">
        <f>I101</f>
        <v>5417.69915</v>
      </c>
      <c r="J151" s="20"/>
    </row>
    <row r="152">
      <c r="A152" s="23" t="s">
        <v>98</v>
      </c>
      <c r="B152" s="29" t="s">
        <v>40</v>
      </c>
      <c r="C152" s="29" t="s">
        <v>40</v>
      </c>
      <c r="D152" s="29" t="s">
        <v>40</v>
      </c>
      <c r="E152" s="29" t="s">
        <v>40</v>
      </c>
      <c r="F152" s="29" t="s">
        <v>40</v>
      </c>
      <c r="G152" s="29">
        <f>IFERROR(G151/B151-1,"n.a.")</f>
        <v>0.6081290037552463</v>
      </c>
      <c r="H152" s="29">
        <f>IFERROR(H151/C151-1,"n.a.")</f>
        <v>0.2527520915896082</v>
      </c>
      <c r="I152" s="50">
        <f>IFERROR(I151/D151-1,"n.a.")</f>
        <v>0.14201078204047235</v>
      </c>
      <c r="J152" s="20"/>
    </row>
    <row r="153">
      <c r="A153" s="23" t="s">
        <v>99</v>
      </c>
      <c r="B153" s="29" t="s">
        <v>40</v>
      </c>
      <c r="C153" s="29" t="s">
        <v>40</v>
      </c>
      <c r="D153" s="29" t="s">
        <v>40</v>
      </c>
      <c r="E153" s="29" t="s">
        <v>40</v>
      </c>
      <c r="F153" s="29" t="s">
        <v>40</v>
      </c>
      <c r="G153" s="65">
        <v>0</v>
      </c>
      <c r="H153" s="65">
        <v>0</v>
      </c>
      <c r="I153" s="48">
        <v>0</v>
      </c>
      <c r="J153" s="20" t="s">
        <v>318</v>
      </c>
    </row>
    <row r="154">
      <c r="A154" s="23" t="s">
        <v>106</v>
      </c>
      <c r="B154" s="29" t="s">
        <v>40</v>
      </c>
      <c r="C154" s="29" t="s">
        <v>40</v>
      </c>
      <c r="D154" s="29" t="s">
        <v>40</v>
      </c>
      <c r="E154" s="29" t="s">
        <v>40</v>
      </c>
      <c r="F154" s="29" t="s">
        <v>40</v>
      </c>
      <c r="G154" s="29" t="s">
        <v>40</v>
      </c>
      <c r="H154" s="29" t="s">
        <v>40</v>
      </c>
      <c r="I154" s="50">
        <f>I96*D94/D101</f>
        <v>-0.0013058600337268128</v>
      </c>
      <c r="J154" s="20"/>
    </row>
    <row r="155">
      <c r="A155" s="23" t="s">
        <v>103</v>
      </c>
      <c r="B155" s="29" t="s">
        <v>40</v>
      </c>
      <c r="C155" s="29" t="s">
        <v>40</v>
      </c>
      <c r="D155" s="29" t="s">
        <v>40</v>
      </c>
      <c r="E155" s="29" t="s">
        <v>40</v>
      </c>
      <c r="F155" s="29" t="s">
        <v>40</v>
      </c>
      <c r="G155" s="29" t="str">
        <f>IFERROR(IF(OR(ISTEXT(G152),ISTEXT(G153),ISTEXT(G154)),"n.a.",(1+G152)/((1+G153)*(1+G154))-1),"n.a.")</f>
        <v>n.a.</v>
      </c>
      <c r="H155" s="29" t="str">
        <f>IFERROR(IF(OR(ISTEXT(H152),ISTEXT(H153),ISTEXT(H154)),"n.a.",(1+H152)/((1+H153)*(1+H154))-1),"n.a.")</f>
        <v>n.a.</v>
      </c>
      <c r="I155" s="50">
        <f>IFERROR(IF(OR(ISTEXT(I152),ISTEXT(I153),ISTEXT(I154)),"n.a.",(1+I152)/((1+I153)*(1+I154))-1),"n.a.")</f>
        <v>0.1435040382624444</v>
      </c>
      <c r="J155" s="20"/>
    </row>
    <row r="156">
      <c r="A156" s="9" t="s">
        <v>189</v>
      </c>
      <c r="B156" s="40" t="s">
        <v>40</v>
      </c>
      <c r="C156" s="40">
        <f>IFERROR(C151-B151,"n.a.")</f>
        <v>15</v>
      </c>
      <c r="D156" s="40">
        <f>IFERROR(D151-C151,"n.a.")</f>
        <v>202</v>
      </c>
      <c r="E156" s="40">
        <f>IFERROR(E151-D151,"n.a.")</f>
        <v>1080</v>
      </c>
      <c r="F156" s="40" t="s">
        <v>40</v>
      </c>
      <c r="G156" s="40">
        <f>IFERROR(G151-E151,"n.a.")</f>
        <v>1456</v>
      </c>
      <c r="H156" s="40">
        <f>IFERROR(H151-G151,"n.a.")</f>
        <v>-1590</v>
      </c>
      <c r="I156" s="41">
        <f>IFERROR(I151-H151,"n.a.")</f>
        <v>-272.3008499999996</v>
      </c>
      <c r="J156" s="20"/>
    </row>
    <row r="157">
      <c r="A157" s="9"/>
      <c r="B157" s="9"/>
      <c r="C157" s="9"/>
      <c r="D157" s="9"/>
      <c r="E157" s="9"/>
      <c r="F157" s="9"/>
      <c r="G157" s="9"/>
      <c r="H157" s="9"/>
      <c r="I157" s="69"/>
      <c r="J157" s="20"/>
    </row>
    <row r="158">
      <c r="A158" s="35" t="s">
        <v>319</v>
      </c>
      <c r="B158" s="33"/>
      <c r="C158" s="33"/>
      <c r="D158" s="33"/>
      <c r="E158" s="33"/>
      <c r="F158" s="33"/>
      <c r="G158" s="33"/>
      <c r="H158" s="33"/>
      <c r="I158" s="53"/>
      <c r="J158" s="20"/>
    </row>
    <row r="159">
      <c r="A159" s="9" t="s">
        <v>320</v>
      </c>
      <c r="B159" s="39">
        <v>3283</v>
      </c>
      <c r="C159" s="39">
        <v>2759</v>
      </c>
      <c r="D159" s="39">
        <v>3359</v>
      </c>
      <c r="E159" s="39">
        <v>5280</v>
      </c>
      <c r="F159" s="40">
        <f>SUM(B159:E159)</f>
        <v>14681</v>
      </c>
      <c r="G159" s="39">
        <v>6304</v>
      </c>
      <c r="H159" s="39">
        <v>3699</v>
      </c>
      <c r="I159" s="41" t="s">
        <v>40</v>
      </c>
      <c r="J159" s="20" t="s">
        <v>321</v>
      </c>
    </row>
    <row r="160">
      <c r="A160" s="9" t="s">
        <v>196</v>
      </c>
      <c r="B160" s="39">
        <v>306</v>
      </c>
      <c r="C160" s="39">
        <v>285</v>
      </c>
      <c r="D160" s="39">
        <v>287</v>
      </c>
      <c r="E160" s="39">
        <v>484</v>
      </c>
      <c r="F160" s="40">
        <f>SUM(B160:E160)</f>
        <v>1362</v>
      </c>
      <c r="G160" s="39">
        <v>404</v>
      </c>
      <c r="H160" s="39">
        <v>289</v>
      </c>
      <c r="I160" s="41" t="s">
        <v>40</v>
      </c>
      <c r="J160" s="20" t="s">
        <v>322</v>
      </c>
    </row>
    <row r="161">
      <c r="A161" s="9" t="s">
        <v>323</v>
      </c>
      <c r="B161" s="39">
        <v>830</v>
      </c>
      <c r="C161" s="39">
        <v>816</v>
      </c>
      <c r="D161" s="39">
        <v>851</v>
      </c>
      <c r="E161" s="39">
        <v>932</v>
      </c>
      <c r="F161" s="40">
        <f>SUM(B161:E161)</f>
        <v>3429</v>
      </c>
      <c r="G161" s="39">
        <v>997</v>
      </c>
      <c r="H161" s="39">
        <v>994</v>
      </c>
      <c r="I161" s="41" t="s">
        <v>40</v>
      </c>
      <c r="J161" s="20" t="s">
        <v>247</v>
      </c>
    </row>
    <row r="162">
      <c r="A162" s="9" t="s">
        <v>270</v>
      </c>
      <c r="B162" s="40">
        <f>B45</f>
        <v>1440</v>
      </c>
      <c r="C162" s="40">
        <f>C45</f>
        <v>1332</v>
      </c>
      <c r="D162" s="40">
        <f>D45</f>
        <v>1580</v>
      </c>
      <c r="E162" s="40">
        <f>E45</f>
        <v>2181</v>
      </c>
      <c r="F162" s="40">
        <f>SUM(B162:E162)</f>
        <v>6533</v>
      </c>
      <c r="G162" s="40">
        <f>G45</f>
        <v>2531</v>
      </c>
      <c r="H162" s="40">
        <f>H45</f>
        <v>1705</v>
      </c>
      <c r="I162" s="41">
        <f>I45</f>
        <v>1803.0500000000002</v>
      </c>
      <c r="J162" s="20"/>
    </row>
    <row r="163">
      <c r="A163" s="9" t="s">
        <v>324</v>
      </c>
      <c r="B163" s="40">
        <f>B167-B162</f>
        <v>2979</v>
      </c>
      <c r="C163" s="40">
        <f>C167-C162</f>
        <v>2528</v>
      </c>
      <c r="D163" s="40">
        <f>D167-D162</f>
        <v>2917</v>
      </c>
      <c r="E163" s="40">
        <f>E167-E162</f>
        <v>4515</v>
      </c>
      <c r="F163" s="40">
        <f>SUM(B163:E163)</f>
        <v>12939</v>
      </c>
      <c r="G163" s="40">
        <f>G167-G162</f>
        <v>5174</v>
      </c>
      <c r="H163" s="40">
        <f>H167-H162</f>
        <v>3277</v>
      </c>
      <c r="I163" s="41">
        <f>D163*(1+I165)+I166</f>
        <v>3116.17</v>
      </c>
      <c r="J163" s="20"/>
    </row>
    <row r="164">
      <c r="A164" s="9" t="s">
        <v>189</v>
      </c>
      <c r="B164" s="40" t="s">
        <v>40</v>
      </c>
      <c r="C164" s="40">
        <f>IFERROR(C163-B163,"n.a.")</f>
        <v>-451</v>
      </c>
      <c r="D164" s="40">
        <f>IFERROR(D163-C163,"n.a.")</f>
        <v>389</v>
      </c>
      <c r="E164" s="40">
        <f>IFERROR(E163-D163,"n.a.")</f>
        <v>1598</v>
      </c>
      <c r="F164" s="40" t="s">
        <v>40</v>
      </c>
      <c r="G164" s="40">
        <f>IFERROR(G163-E163,"n.a.")</f>
        <v>659</v>
      </c>
      <c r="H164" s="40">
        <f>IFERROR(H163-G163,"n.a.")</f>
        <v>-1897</v>
      </c>
      <c r="I164" s="41">
        <f>IFERROR(I163-H163,"n.a.")</f>
        <v>-160.82999999999993</v>
      </c>
      <c r="J164" s="20"/>
    </row>
    <row r="165" ht="26.25">
      <c r="A165" s="116" t="s">
        <v>325</v>
      </c>
      <c r="B165" s="29" t="s">
        <v>40</v>
      </c>
      <c r="C165" s="29" t="s">
        <v>40</v>
      </c>
      <c r="D165" s="29" t="s">
        <v>40</v>
      </c>
      <c r="E165" s="29" t="s">
        <v>40</v>
      </c>
      <c r="F165" s="29" t="s">
        <v>40</v>
      </c>
      <c r="G165" s="29">
        <f>IFERROR(G163/B163-1,"n.a.")</f>
        <v>0.7368244377307822</v>
      </c>
      <c r="H165" s="29">
        <f>IFERROR(H163/C163-1,"n.a.")</f>
        <v>0.2962816455696202</v>
      </c>
      <c r="I165" s="48">
        <v>0.01</v>
      </c>
      <c r="J165" s="20" t="s">
        <v>326</v>
      </c>
    </row>
    <row r="166" ht="26.25">
      <c r="A166" s="106" t="s">
        <v>327</v>
      </c>
      <c r="B166" s="40" t="s">
        <v>40</v>
      </c>
      <c r="C166" s="40" t="s">
        <v>40</v>
      </c>
      <c r="D166" s="40" t="s">
        <v>40</v>
      </c>
      <c r="E166" s="40" t="s">
        <v>40</v>
      </c>
      <c r="F166" s="40" t="s">
        <v>40</v>
      </c>
      <c r="G166" s="40" t="s">
        <v>40</v>
      </c>
      <c r="H166" s="40" t="s">
        <v>40</v>
      </c>
      <c r="I166" s="73">
        <v>170</v>
      </c>
      <c r="J166" s="20" t="s">
        <v>328</v>
      </c>
    </row>
    <row r="167">
      <c r="A167" s="35" t="s">
        <v>329</v>
      </c>
      <c r="B167" s="45">
        <f>B159+B160+B161</f>
        <v>4419</v>
      </c>
      <c r="C167" s="45">
        <f>C159+C160+C161</f>
        <v>3860</v>
      </c>
      <c r="D167" s="45">
        <f>D159+D160+D161</f>
        <v>4497</v>
      </c>
      <c r="E167" s="45">
        <f>E159+E160+E161</f>
        <v>6696</v>
      </c>
      <c r="F167" s="45">
        <f>SUM(B167:E167)</f>
        <v>19472</v>
      </c>
      <c r="G167" s="45">
        <f>G159+G160+G161</f>
        <v>7705</v>
      </c>
      <c r="H167" s="45">
        <f>H159+H160+H161</f>
        <v>4982</v>
      </c>
      <c r="I167" s="52">
        <f>I162+I163</f>
        <v>4919.22</v>
      </c>
      <c r="J167" s="20"/>
    </row>
    <row r="168">
      <c r="A168" s="23" t="s">
        <v>217</v>
      </c>
      <c r="B168" s="29" t="s">
        <v>40</v>
      </c>
      <c r="C168" s="29" t="s">
        <v>40</v>
      </c>
      <c r="D168" s="29" t="s">
        <v>40</v>
      </c>
      <c r="E168" s="29" t="s">
        <v>40</v>
      </c>
      <c r="F168" s="29" t="s">
        <v>40</v>
      </c>
      <c r="G168" s="29">
        <f>IFERROR(G167/B167-1,"n.a.")</f>
        <v>0.7436071509391264</v>
      </c>
      <c r="H168" s="29">
        <f>IFERROR(H167/C167-1,"n.a.")</f>
        <v>0.29067357512953373</v>
      </c>
      <c r="I168" s="50">
        <f>IFERROR(I167/D167-1,"n.a.")</f>
        <v>0.09388925950633764</v>
      </c>
      <c r="J168" s="20"/>
    </row>
    <row r="169">
      <c r="A169" s="9" t="s">
        <v>189</v>
      </c>
      <c r="B169" s="40" t="s">
        <v>40</v>
      </c>
      <c r="C169" s="40">
        <f>IFERROR(C167-B167,"n.a.")</f>
        <v>-559</v>
      </c>
      <c r="D169" s="40">
        <f>IFERROR(D167-C167,"n.a.")</f>
        <v>637</v>
      </c>
      <c r="E169" s="40">
        <f>IFERROR(E167-D167,"n.a.")</f>
        <v>2199</v>
      </c>
      <c r="F169" s="40" t="s">
        <v>40</v>
      </c>
      <c r="G169" s="40">
        <f>IFERROR(G167-E167,"n.a.")</f>
        <v>1009</v>
      </c>
      <c r="H169" s="40">
        <f>IFERROR(H167-G167,"n.a.")</f>
        <v>-2723</v>
      </c>
      <c r="I169" s="41">
        <f>IFERROR(I167-H167,"n.a.")</f>
        <v>-62.779999999999745</v>
      </c>
      <c r="J169" s="20"/>
    </row>
    <row r="170">
      <c r="A170" s="35" t="s">
        <v>330</v>
      </c>
      <c r="B170" s="45">
        <f>B101-B167</f>
        <v>108</v>
      </c>
      <c r="C170" s="45">
        <f>C101-C167</f>
        <v>682</v>
      </c>
      <c r="D170" s="45">
        <f>D101-D167</f>
        <v>247</v>
      </c>
      <c r="E170" s="45">
        <f>E101-E167</f>
        <v>-872</v>
      </c>
      <c r="F170" s="45">
        <f>SUM(B170:E170)</f>
        <v>165</v>
      </c>
      <c r="G170" s="45">
        <f>G101-G167</f>
        <v>-425</v>
      </c>
      <c r="H170" s="45">
        <f>H101-H167</f>
        <v>708</v>
      </c>
      <c r="I170" s="52">
        <f>I101-I167</f>
        <v>498.4791500000001</v>
      </c>
      <c r="J170" s="20"/>
    </row>
    <row r="171">
      <c r="A171" s="9" t="s">
        <v>272</v>
      </c>
      <c r="B171" s="40" t="s">
        <v>40</v>
      </c>
      <c r="C171" s="40" t="s">
        <v>40</v>
      </c>
      <c r="D171" s="40" t="s">
        <v>40</v>
      </c>
      <c r="E171" s="40" t="s">
        <v>40</v>
      </c>
      <c r="F171" s="40" t="s">
        <v>40</v>
      </c>
      <c r="G171" s="40">
        <f>IFERROR(G170-B170,"n.a.")</f>
        <v>-533</v>
      </c>
      <c r="H171" s="40">
        <f>IFERROR(H170-C170,"n.a.")</f>
        <v>26</v>
      </c>
      <c r="I171" s="41">
        <f>IFERROR(I170-D170,"n.a.")</f>
        <v>251.47915000000012</v>
      </c>
      <c r="J171" s="20"/>
    </row>
    <row r="172">
      <c r="A172" s="9" t="s">
        <v>189</v>
      </c>
      <c r="B172" s="40" t="s">
        <v>40</v>
      </c>
      <c r="C172" s="40">
        <f>IFERROR(C170-B170,"n.a.")</f>
        <v>574</v>
      </c>
      <c r="D172" s="40">
        <f>IFERROR(D170-C170,"n.a.")</f>
        <v>-435</v>
      </c>
      <c r="E172" s="40">
        <f>IFERROR(E170-D170,"n.a.")</f>
        <v>-1119</v>
      </c>
      <c r="F172" s="40" t="s">
        <v>40</v>
      </c>
      <c r="G172" s="40">
        <f>IFERROR(G170-E170,"n.a.")</f>
        <v>447</v>
      </c>
      <c r="H172" s="40">
        <f>IFERROR(H170-G170,"n.a.")</f>
        <v>1133</v>
      </c>
      <c r="I172" s="41">
        <f>IFERROR(I170-H170,"n.a.")</f>
        <v>-209.52084999999988</v>
      </c>
      <c r="J172" s="20"/>
    </row>
    <row r="173">
      <c r="A173" s="23" t="s">
        <v>331</v>
      </c>
      <c r="B173" s="29">
        <f>B170/B101</f>
        <v>0.02385685884691849</v>
      </c>
      <c r="C173" s="29">
        <f>C170/C101</f>
        <v>0.15015411712901805</v>
      </c>
      <c r="D173" s="29">
        <f>D170/D101</f>
        <v>0.05206576728499157</v>
      </c>
      <c r="E173" s="29">
        <f>E170/E101</f>
        <v>-0.14972527472527472</v>
      </c>
      <c r="F173" s="29">
        <f>F170/F101</f>
        <v>0.008402505474359627</v>
      </c>
      <c r="G173" s="29">
        <f>G170/G101</f>
        <v>-0.05837912087912088</v>
      </c>
      <c r="H173" s="29">
        <f>H170/H101</f>
        <v>0.12442882249560633</v>
      </c>
      <c r="I173" s="50">
        <f>I170/I101</f>
        <v>0.09200938187939064</v>
      </c>
      <c r="J173" s="20"/>
    </row>
    <row r="174">
      <c r="A174" s="23" t="s">
        <v>139</v>
      </c>
      <c r="B174" s="51" t="s">
        <v>40</v>
      </c>
      <c r="C174" s="51" t="s">
        <v>40</v>
      </c>
      <c r="D174" s="51" t="s">
        <v>40</v>
      </c>
      <c r="E174" s="51" t="s">
        <v>40</v>
      </c>
      <c r="F174" s="51" t="s">
        <v>40</v>
      </c>
      <c r="G174" s="51">
        <f>IFERROR((G173-B173)*10000,"n.a.")</f>
        <v>-822.3597972603936</v>
      </c>
      <c r="H174" s="51">
        <f>IFERROR((H173-C173)*10000,"n.a.")</f>
        <v>-257.2529463341172</v>
      </c>
      <c r="I174" s="46">
        <f>IFERROR((I173-D173)*10000,"n.a.")</f>
        <v>399.43614594399077</v>
      </c>
      <c r="J174" s="20"/>
    </row>
    <row r="175">
      <c r="A175" s="23" t="s">
        <v>140</v>
      </c>
      <c r="B175" s="51" t="s">
        <v>40</v>
      </c>
      <c r="C175" s="51">
        <f>IFERROR((C173-B173)*10000,"n.a.")</f>
        <v>1262.9725828209955</v>
      </c>
      <c r="D175" s="51">
        <f>IFERROR((D173-C173)*10000,"n.a.")</f>
        <v>-980.8834984402648</v>
      </c>
      <c r="E175" s="51">
        <f>IFERROR((E173-D173)*10000,"n.a.")</f>
        <v>-2017.910420102663</v>
      </c>
      <c r="F175" s="51" t="s">
        <v>40</v>
      </c>
      <c r="G175" s="51">
        <f>IFERROR((G173-E173)*10000,"n.a.")</f>
        <v>913.4615384615385</v>
      </c>
      <c r="H175" s="51">
        <f>IFERROR((H173-G173)*10000,"n.a.")</f>
        <v>1828.0794337472723</v>
      </c>
      <c r="I175" s="46">
        <f>IFERROR((I173-H173)*10000,"n.a.")</f>
        <v>-324.19440616215684</v>
      </c>
      <c r="J175" s="20"/>
    </row>
    <row r="176">
      <c r="A176" s="9" t="s">
        <v>332</v>
      </c>
      <c r="B176" s="40">
        <f>B170-B48</f>
        <v>322</v>
      </c>
      <c r="C176" s="40">
        <f>C170-C48</f>
        <v>782</v>
      </c>
      <c r="D176" s="40">
        <f>D170-D48</f>
        <v>464</v>
      </c>
      <c r="E176" s="40">
        <f>E170-E48</f>
        <v>-319</v>
      </c>
      <c r="F176" s="40">
        <f>SUM(B176:E176)</f>
        <v>1249</v>
      </c>
      <c r="G176" s="40">
        <f>G170-G48</f>
        <v>7</v>
      </c>
      <c r="H176" s="40">
        <f>H170-H48</f>
        <v>518</v>
      </c>
      <c r="I176" s="41">
        <f>I170-I48</f>
        <v>456.0291500000003</v>
      </c>
      <c r="J176" s="20"/>
    </row>
    <row r="177">
      <c r="A177" s="9" t="s">
        <v>333</v>
      </c>
      <c r="B177" s="39">
        <v>107</v>
      </c>
      <c r="C177" s="39">
        <v>683</v>
      </c>
      <c r="D177" s="39">
        <v>247</v>
      </c>
      <c r="E177" s="39">
        <v>-872</v>
      </c>
      <c r="F177" s="40">
        <f>SUM(B177:E177)</f>
        <v>165</v>
      </c>
      <c r="G177" s="39">
        <v>-426</v>
      </c>
      <c r="H177" s="39">
        <v>708</v>
      </c>
      <c r="I177" s="41" t="s">
        <v>40</v>
      </c>
      <c r="J177" s="20" t="s">
        <v>247</v>
      </c>
    </row>
    <row r="178">
      <c r="A178" s="9" t="s">
        <v>222</v>
      </c>
      <c r="B178" s="33" t="b">
        <f>ABS(B170-B177)&lt;=3</f>
        <v>1</v>
      </c>
      <c r="C178" s="33" t="b">
        <f>ABS(C170-C177)&lt;=3</f>
        <v>1</v>
      </c>
      <c r="D178" s="33" t="b">
        <f>ABS(D170-D177)&lt;=3</f>
        <v>1</v>
      </c>
      <c r="E178" s="33" t="b">
        <f>ABS(E170-E177)&lt;=3</f>
        <v>1</v>
      </c>
      <c r="F178" s="33" t="b">
        <f>ABS(F170-F177)&lt;=3</f>
        <v>1</v>
      </c>
      <c r="G178" s="33" t="b">
        <f>ABS(G170-G177)&lt;=3</f>
        <v>1</v>
      </c>
      <c r="H178" s="33" t="b">
        <f>ABS(H170-H177)&lt;=3</f>
        <v>1</v>
      </c>
      <c r="I178" s="53" t="s">
        <v>40</v>
      </c>
      <c r="J178" s="20"/>
    </row>
    <row r="179">
      <c r="A179" s="9"/>
      <c r="B179" s="9"/>
      <c r="C179" s="9"/>
      <c r="D179" s="9"/>
      <c r="E179" s="9"/>
      <c r="F179" s="9"/>
      <c r="G179" s="9"/>
      <c r="H179" s="9"/>
      <c r="I179" s="9"/>
      <c r="J179" s="20"/>
    </row>
    <row r="180">
      <c r="A180" s="9"/>
      <c r="B180" s="9"/>
      <c r="C180" s="9"/>
      <c r="D180" s="9"/>
      <c r="E180" s="9"/>
      <c r="F180" s="9"/>
      <c r="G180" s="9"/>
      <c r="H180" s="9"/>
      <c r="I180" s="9"/>
      <c r="J180" s="20"/>
    </row>
    <row r="181">
      <c r="A181" s="9"/>
      <c r="B181" s="9"/>
      <c r="C181" s="9"/>
      <c r="D181" s="9"/>
      <c r="E181" s="9"/>
      <c r="F181" s="9"/>
      <c r="G181" s="9"/>
      <c r="H181" s="9"/>
      <c r="I181" s="9"/>
      <c r="J181" s="20"/>
    </row>
    <row r="182">
      <c r="A182" s="9"/>
      <c r="B182" s="9"/>
      <c r="C182" s="9"/>
      <c r="D182" s="9"/>
      <c r="E182" s="9"/>
      <c r="F182" s="9"/>
      <c r="G182" s="9"/>
      <c r="H182" s="9"/>
      <c r="I182" s="9"/>
      <c r="J182" s="9"/>
    </row>
    <row r="183">
      <c r="A183" s="9"/>
      <c r="B183" s="9"/>
      <c r="C183" s="9"/>
      <c r="D183" s="9"/>
      <c r="E183" s="9"/>
      <c r="F183" s="9"/>
      <c r="G183" s="9"/>
      <c r="H183" s="9"/>
      <c r="I183" s="9"/>
      <c r="J183" s="9"/>
    </row>
    <row r="184">
      <c r="A184" s="9"/>
      <c r="B184" s="9"/>
      <c r="C184" s="9"/>
      <c r="D184" s="9"/>
      <c r="E184" s="9"/>
      <c r="F184" s="9"/>
      <c r="G184" s="9"/>
      <c r="H184" s="9"/>
      <c r="I184" s="9"/>
      <c r="J184" s="9"/>
    </row>
    <row r="185">
      <c r="A185" s="9"/>
      <c r="B185" s="9"/>
      <c r="C185" s="9"/>
      <c r="D185" s="9"/>
      <c r="E185" s="9"/>
      <c r="F185" s="9"/>
      <c r="G185" s="9"/>
      <c r="H185" s="9"/>
      <c r="I185" s="9"/>
      <c r="J185" s="9"/>
    </row>
    <row r="186">
      <c r="A186" s="9"/>
      <c r="B186" s="9"/>
      <c r="C186" s="9"/>
      <c r="D186" s="9"/>
      <c r="E186" s="9"/>
      <c r="F186" s="9"/>
      <c r="G186" s="9"/>
      <c r="H186" s="9"/>
      <c r="I186" s="9"/>
      <c r="J186" s="9"/>
    </row>
    <row r="187">
      <c r="A187" s="9"/>
      <c r="B187" s="9"/>
      <c r="C187" s="9"/>
      <c r="D187" s="9"/>
      <c r="E187" s="9"/>
      <c r="F187" s="9"/>
      <c r="G187" s="9"/>
      <c r="H187" s="9"/>
      <c r="I187" s="9"/>
      <c r="J187" s="9"/>
    </row>
    <row r="188">
      <c r="A188" s="9"/>
      <c r="B188" s="9"/>
      <c r="C188" s="9"/>
      <c r="D188" s="9"/>
      <c r="E188" s="9"/>
      <c r="F188" s="9"/>
      <c r="G188" s="9"/>
      <c r="H188" s="9"/>
      <c r="I188" s="9"/>
      <c r="J188" s="9"/>
    </row>
    <row r="189">
      <c r="A189" s="9"/>
      <c r="B189" s="9"/>
      <c r="C189" s="9"/>
      <c r="D189" s="9"/>
      <c r="E189" s="9"/>
      <c r="F189" s="9"/>
      <c r="G189" s="9"/>
      <c r="H189" s="9"/>
      <c r="I189" s="9"/>
      <c r="J189" s="9"/>
    </row>
    <row r="190">
      <c r="A190" s="9"/>
      <c r="B190" s="9"/>
      <c r="C190" s="9"/>
      <c r="D190" s="9"/>
      <c r="E190" s="9"/>
      <c r="F190" s="9"/>
      <c r="G190" s="9"/>
      <c r="H190" s="9"/>
      <c r="I190" s="9"/>
      <c r="J190" s="9"/>
    </row>
    <row r="191">
      <c r="A191" s="9"/>
      <c r="B191" s="9"/>
      <c r="C191" s="9"/>
      <c r="D191" s="9"/>
      <c r="E191" s="9"/>
      <c r="F191" s="9"/>
      <c r="G191" s="9"/>
      <c r="H191" s="9"/>
      <c r="I191" s="9"/>
      <c r="J191" s="9"/>
    </row>
  </sheetData>
</worksheet>
</file>

<file path=xl/worksheets/sheet6.xml><?xml version="1.0" encoding="utf-8"?>
<worksheet xmlns="http://schemas.openxmlformats.org/spreadsheetml/2006/main" xmlns:r="http://schemas.openxmlformats.org/officeDocument/2006/relationships">
  <dimension ref="A1:J91"/>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334</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335</v>
      </c>
      <c r="B8" s="33"/>
      <c r="C8" s="33"/>
      <c r="D8" s="33"/>
      <c r="E8" s="33"/>
      <c r="F8" s="33"/>
      <c r="G8" s="33"/>
      <c r="H8" s="33"/>
      <c r="I8" s="53"/>
      <c r="J8" s="20"/>
    </row>
    <row r="9">
      <c r="A9" s="9" t="s">
        <v>336</v>
      </c>
      <c r="B9" s="40" t="s">
        <v>40</v>
      </c>
      <c r="C9" s="40" t="s">
        <v>40</v>
      </c>
      <c r="D9" s="39">
        <v>600.3</v>
      </c>
      <c r="E9" s="40" t="s">
        <v>40</v>
      </c>
      <c r="F9" s="40" t="s">
        <v>40</v>
      </c>
      <c r="G9" s="40" t="s">
        <v>40</v>
      </c>
      <c r="H9" s="40" t="s">
        <v>40</v>
      </c>
      <c r="I9" s="73">
        <v>893.5</v>
      </c>
      <c r="J9" s="20" t="s">
        <v>337</v>
      </c>
    </row>
    <row r="10">
      <c r="A10" s="9" t="s">
        <v>189</v>
      </c>
      <c r="B10" s="40" t="s">
        <v>40</v>
      </c>
      <c r="C10" s="40" t="str">
        <f>IFERROR(C9-B9,"n.a.")</f>
        <v>n.a.</v>
      </c>
      <c r="D10" s="40" t="str">
        <f>IFERROR(D9-C9,"n.a.")</f>
        <v>n.a.</v>
      </c>
      <c r="E10" s="40" t="str">
        <f>IFERROR(E9-D9,"n.a.")</f>
        <v>n.a.</v>
      </c>
      <c r="F10" s="40" t="s">
        <v>40</v>
      </c>
      <c r="G10" s="40" t="str">
        <f>IFERROR(G9-E9,"n.a.")</f>
        <v>n.a.</v>
      </c>
      <c r="H10" s="40" t="str">
        <f>IFERROR(H9-G9,"n.a.")</f>
        <v>n.a.</v>
      </c>
      <c r="I10" s="41" t="str">
        <f>IFERROR(I9-H9,"n.a.")</f>
        <v>n.a.</v>
      </c>
      <c r="J10" s="20"/>
    </row>
    <row r="11">
      <c r="A11" s="23" t="s">
        <v>217</v>
      </c>
      <c r="B11" s="29" t="s">
        <v>40</v>
      </c>
      <c r="C11" s="29" t="s">
        <v>40</v>
      </c>
      <c r="D11" s="29" t="s">
        <v>40</v>
      </c>
      <c r="E11" s="29" t="s">
        <v>40</v>
      </c>
      <c r="F11" s="29" t="s">
        <v>40</v>
      </c>
      <c r="G11" s="29" t="str">
        <f>IFERROR(G9/B9-1,"n.a.")</f>
        <v>n.a.</v>
      </c>
      <c r="H11" s="29" t="str">
        <f>IFERROR(H9/C9-1,"n.a.")</f>
        <v>n.a.</v>
      </c>
      <c r="I11" s="50">
        <f>IFERROR(I9/D9-1,"n.a.")</f>
        <v>0.48842245543894736</v>
      </c>
      <c r="J11" s="20"/>
    </row>
    <row r="12">
      <c r="A12" s="9" t="s">
        <v>272</v>
      </c>
      <c r="B12" s="40" t="s">
        <v>40</v>
      </c>
      <c r="C12" s="40" t="s">
        <v>40</v>
      </c>
      <c r="D12" s="40" t="s">
        <v>40</v>
      </c>
      <c r="E12" s="40" t="s">
        <v>40</v>
      </c>
      <c r="F12" s="40" t="s">
        <v>40</v>
      </c>
      <c r="G12" s="40" t="str">
        <f>IFERROR(G9-B9,"n.a.")</f>
        <v>n.a.</v>
      </c>
      <c r="H12" s="40" t="str">
        <f>IFERROR(H9-C9,"n.a.")</f>
        <v>n.a.</v>
      </c>
      <c r="I12" s="41">
        <f>IFERROR(I9-D9,"n.a.")</f>
        <v>293.20000000000005</v>
      </c>
      <c r="J12" s="20"/>
    </row>
    <row r="13" ht="26.25">
      <c r="A13" s="116" t="s">
        <v>338</v>
      </c>
      <c r="B13" s="29" t="s">
        <v>40</v>
      </c>
      <c r="C13" s="29" t="s">
        <v>40</v>
      </c>
      <c r="D13" s="29">
        <f>D21/D9</f>
        <v>1.0644677661169417</v>
      </c>
      <c r="E13" s="29" t="s">
        <v>40</v>
      </c>
      <c r="F13" s="29" t="s">
        <v>40</v>
      </c>
      <c r="G13" s="29" t="s">
        <v>40</v>
      </c>
      <c r="H13" s="29" t="s">
        <v>40</v>
      </c>
      <c r="I13" s="48">
        <v>1.1</v>
      </c>
      <c r="J13" s="20" t="s">
        <v>339</v>
      </c>
    </row>
    <row r="14">
      <c r="A14" s="23" t="s">
        <v>139</v>
      </c>
      <c r="B14" s="51" t="s">
        <v>40</v>
      </c>
      <c r="C14" s="51" t="s">
        <v>40</v>
      </c>
      <c r="D14" s="51" t="s">
        <v>40</v>
      </c>
      <c r="E14" s="51" t="s">
        <v>40</v>
      </c>
      <c r="F14" s="51" t="s">
        <v>40</v>
      </c>
      <c r="G14" s="51" t="str">
        <f>IFERROR((G13-B13)*10000,"n.a.")</f>
        <v>n.a.</v>
      </c>
      <c r="H14" s="51" t="str">
        <f>IFERROR((H13-C13)*10000,"n.a.")</f>
        <v>n.a.</v>
      </c>
      <c r="I14" s="46">
        <f>IFERROR((I13-D13)*10000,"n.a.")</f>
        <v>355.3223388305837</v>
      </c>
      <c r="J14" s="20"/>
    </row>
    <row r="15">
      <c r="A15" s="23" t="s">
        <v>140</v>
      </c>
      <c r="B15" s="51" t="s">
        <v>40</v>
      </c>
      <c r="C15" s="51" t="str">
        <f>IFERROR((C13-B13)*10000,"n.a.")</f>
        <v>n.a.</v>
      </c>
      <c r="D15" s="51" t="str">
        <f>IFERROR((D13-C13)*10000,"n.a.")</f>
        <v>n.a.</v>
      </c>
      <c r="E15" s="51" t="str">
        <f>IFERROR((E13-D13)*10000,"n.a.")</f>
        <v>n.a.</v>
      </c>
      <c r="F15" s="51" t="s">
        <v>40</v>
      </c>
      <c r="G15" s="51" t="str">
        <f>IFERROR((G13-E13)*10000,"n.a.")</f>
        <v>n.a.</v>
      </c>
      <c r="H15" s="51" t="str">
        <f>IFERROR((H13-G13)*10000,"n.a.")</f>
        <v>n.a.</v>
      </c>
      <c r="I15" s="46" t="str">
        <f>IFERROR((I13-H13)*10000,"n.a.")</f>
        <v>n.a.</v>
      </c>
      <c r="J15" s="20"/>
    </row>
    <row r="16">
      <c r="A16" s="9"/>
      <c r="B16" s="9"/>
      <c r="C16" s="9"/>
      <c r="D16" s="9"/>
      <c r="E16" s="9"/>
      <c r="F16" s="9"/>
      <c r="G16" s="9"/>
      <c r="H16" s="9"/>
      <c r="I16" s="69"/>
      <c r="J16" s="20"/>
    </row>
    <row r="17">
      <c r="A17" s="35" t="s">
        <v>340</v>
      </c>
      <c r="B17" s="33"/>
      <c r="C17" s="33"/>
      <c r="D17" s="33"/>
      <c r="E17" s="33"/>
      <c r="F17" s="33"/>
      <c r="G17" s="33"/>
      <c r="H17" s="33"/>
      <c r="I17" s="53"/>
      <c r="J17" s="20"/>
    </row>
    <row r="18">
      <c r="A18" s="9" t="s">
        <v>341</v>
      </c>
      <c r="B18" s="39">
        <v>2174</v>
      </c>
      <c r="C18" s="39">
        <v>1805</v>
      </c>
      <c r="D18" s="39">
        <v>2035</v>
      </c>
      <c r="E18" s="39">
        <v>2186</v>
      </c>
      <c r="F18" s="40">
        <f>SUM(B18:E18)</f>
        <v>8200</v>
      </c>
      <c r="G18" s="39">
        <v>2973</v>
      </c>
      <c r="H18" s="39">
        <v>1799</v>
      </c>
      <c r="I18" s="41">
        <f>D18*(1+I19)</f>
        <v>1994.3</v>
      </c>
      <c r="J18" s="20" t="s">
        <v>342</v>
      </c>
    </row>
    <row r="19">
      <c r="A19" s="23" t="s">
        <v>150</v>
      </c>
      <c r="B19" s="29" t="s">
        <v>40</v>
      </c>
      <c r="C19" s="29" t="s">
        <v>40</v>
      </c>
      <c r="D19" s="29" t="s">
        <v>40</v>
      </c>
      <c r="E19" s="29" t="s">
        <v>40</v>
      </c>
      <c r="F19" s="29" t="s">
        <v>40</v>
      </c>
      <c r="G19" s="29">
        <f>IFERROR(G18/B18-1,"n.a.")</f>
        <v>0.3675252989880404</v>
      </c>
      <c r="H19" s="29">
        <f>IFERROR(H18/C18-1,"n.a.")</f>
        <v>-0.003324099722991636</v>
      </c>
      <c r="I19" s="48">
        <v>-0.02</v>
      </c>
      <c r="J19" s="20" t="s">
        <v>343</v>
      </c>
    </row>
    <row r="20">
      <c r="A20" s="9" t="s">
        <v>189</v>
      </c>
      <c r="B20" s="40" t="s">
        <v>40</v>
      </c>
      <c r="C20" s="40">
        <f>IFERROR(C18-B18,"n.a.")</f>
        <v>-369</v>
      </c>
      <c r="D20" s="40">
        <f>IFERROR(D18-C18,"n.a.")</f>
        <v>230</v>
      </c>
      <c r="E20" s="40">
        <f>IFERROR(E18-D18,"n.a.")</f>
        <v>151</v>
      </c>
      <c r="F20" s="40" t="s">
        <v>40</v>
      </c>
      <c r="G20" s="40">
        <f>IFERROR(G18-E18,"n.a.")</f>
        <v>787</v>
      </c>
      <c r="H20" s="40">
        <f>IFERROR(H18-G18,"n.a.")</f>
        <v>-1174</v>
      </c>
      <c r="I20" s="41">
        <f>IFERROR(I18-H18,"n.a.")</f>
        <v>195.29999999999995</v>
      </c>
      <c r="J20" s="20"/>
    </row>
    <row r="21">
      <c r="A21" s="9" t="s">
        <v>344</v>
      </c>
      <c r="B21" s="39">
        <v>286</v>
      </c>
      <c r="C21" s="39">
        <v>284</v>
      </c>
      <c r="D21" s="39">
        <v>639</v>
      </c>
      <c r="E21" s="39">
        <v>411</v>
      </c>
      <c r="F21" s="40">
        <f>SUM(B21:E21)</f>
        <v>1620</v>
      </c>
      <c r="G21" s="39">
        <v>117</v>
      </c>
      <c r="H21" s="39">
        <v>972</v>
      </c>
      <c r="I21" s="41">
        <f>I9*I13</f>
        <v>982.85</v>
      </c>
      <c r="J21" s="20" t="s">
        <v>342</v>
      </c>
    </row>
    <row r="22">
      <c r="A22" s="9" t="s">
        <v>189</v>
      </c>
      <c r="B22" s="40" t="s">
        <v>40</v>
      </c>
      <c r="C22" s="40">
        <f>IFERROR(C21-B21,"n.a.")</f>
        <v>-2</v>
      </c>
      <c r="D22" s="40">
        <f>IFERROR(D21-C21,"n.a.")</f>
        <v>355</v>
      </c>
      <c r="E22" s="40">
        <f>IFERROR(E21-D21,"n.a.")</f>
        <v>-228</v>
      </c>
      <c r="F22" s="40" t="s">
        <v>40</v>
      </c>
      <c r="G22" s="40">
        <f>IFERROR(G21-E21,"n.a.")</f>
        <v>-294</v>
      </c>
      <c r="H22" s="40">
        <f>IFERROR(H21-G21,"n.a.")</f>
        <v>855</v>
      </c>
      <c r="I22" s="41">
        <f>IFERROR(I21-H21,"n.a.")</f>
        <v>10.850000000000023</v>
      </c>
      <c r="J22" s="20"/>
    </row>
    <row r="23">
      <c r="A23" s="9" t="s">
        <v>176</v>
      </c>
      <c r="B23" s="39">
        <v>366</v>
      </c>
      <c r="C23" s="39">
        <v>343</v>
      </c>
      <c r="D23" s="39">
        <v>326</v>
      </c>
      <c r="E23" s="39">
        <v>430</v>
      </c>
      <c r="F23" s="40">
        <f>SUM(B23:E23)</f>
        <v>1465</v>
      </c>
      <c r="G23" s="39">
        <v>336</v>
      </c>
      <c r="H23" s="39">
        <v>269</v>
      </c>
      <c r="I23" s="41">
        <f>D23*(1+I24)</f>
        <v>293.40000000000003</v>
      </c>
      <c r="J23" s="20" t="s">
        <v>345</v>
      </c>
    </row>
    <row r="24">
      <c r="A24" s="23" t="s">
        <v>150</v>
      </c>
      <c r="B24" s="29" t="s">
        <v>40</v>
      </c>
      <c r="C24" s="29" t="s">
        <v>40</v>
      </c>
      <c r="D24" s="29" t="s">
        <v>40</v>
      </c>
      <c r="E24" s="29" t="s">
        <v>40</v>
      </c>
      <c r="F24" s="29" t="s">
        <v>40</v>
      </c>
      <c r="G24" s="29">
        <f>IFERROR(G23/B23-1,"n.a.")</f>
        <v>-0.08196721311475408</v>
      </c>
      <c r="H24" s="29">
        <f>IFERROR(H23/C23-1,"n.a.")</f>
        <v>-0.2157434402332361</v>
      </c>
      <c r="I24" s="48">
        <v>-0.1</v>
      </c>
      <c r="J24" s="20" t="s">
        <v>346</v>
      </c>
    </row>
    <row r="25">
      <c r="A25" s="9" t="s">
        <v>189</v>
      </c>
      <c r="B25" s="40" t="s">
        <v>40</v>
      </c>
      <c r="C25" s="40">
        <f>IFERROR(C23-B23,"n.a.")</f>
        <v>-23</v>
      </c>
      <c r="D25" s="40">
        <f>IFERROR(D23-C23,"n.a.")</f>
        <v>-17</v>
      </c>
      <c r="E25" s="40">
        <f>IFERROR(E23-D23,"n.a.")</f>
        <v>104</v>
      </c>
      <c r="F25" s="40" t="s">
        <v>40</v>
      </c>
      <c r="G25" s="40">
        <f>IFERROR(G23-E23,"n.a.")</f>
        <v>-94</v>
      </c>
      <c r="H25" s="40">
        <f>IFERROR(H23-G23,"n.a.")</f>
        <v>-67</v>
      </c>
      <c r="I25" s="41">
        <f>IFERROR(I23-H23,"n.a.")</f>
        <v>24.400000000000034</v>
      </c>
      <c r="J25" s="20"/>
    </row>
    <row r="26">
      <c r="A26" s="35" t="s">
        <v>347</v>
      </c>
      <c r="B26" s="45">
        <f>B18+B21+B23</f>
        <v>2826</v>
      </c>
      <c r="C26" s="45">
        <f>C18+C21+C23</f>
        <v>2432</v>
      </c>
      <c r="D26" s="45">
        <f>D18+D21+D23</f>
        <v>3000</v>
      </c>
      <c r="E26" s="45">
        <f>E18+E21+E23</f>
        <v>3027</v>
      </c>
      <c r="F26" s="45">
        <f>SUM(B26:E26)</f>
        <v>11285</v>
      </c>
      <c r="G26" s="45">
        <f>G18+G21+G23</f>
        <v>3426</v>
      </c>
      <c r="H26" s="45">
        <f>H18+H21+H23</f>
        <v>3040</v>
      </c>
      <c r="I26" s="52">
        <f>I18+I21+I23</f>
        <v>3270.55</v>
      </c>
      <c r="J26" s="20"/>
    </row>
    <row r="27">
      <c r="A27" s="9" t="s">
        <v>348</v>
      </c>
      <c r="B27" s="39">
        <v>2826</v>
      </c>
      <c r="C27" s="39">
        <v>2432</v>
      </c>
      <c r="D27" s="39">
        <v>3000</v>
      </c>
      <c r="E27" s="39">
        <v>3027</v>
      </c>
      <c r="F27" s="40">
        <f>SUM(B27:E27)</f>
        <v>11285</v>
      </c>
      <c r="G27" s="39">
        <v>3426</v>
      </c>
      <c r="H27" s="39">
        <v>3040</v>
      </c>
      <c r="I27" s="41" t="s">
        <v>40</v>
      </c>
      <c r="J27" s="20" t="s">
        <v>342</v>
      </c>
    </row>
    <row r="28">
      <c r="A28" s="9" t="s">
        <v>306</v>
      </c>
      <c r="B28" s="33" t="b">
        <f>ABS(B26-B27)&lt;=3</f>
        <v>1</v>
      </c>
      <c r="C28" s="33" t="b">
        <f>ABS(C26-C27)&lt;=3</f>
        <v>1</v>
      </c>
      <c r="D28" s="33" t="b">
        <f>ABS(D26-D27)&lt;=3</f>
        <v>1</v>
      </c>
      <c r="E28" s="33" t="b">
        <f>ABS(E26-E27)&lt;=3</f>
        <v>1</v>
      </c>
      <c r="F28" s="33" t="b">
        <f>ABS(F26-F27)&lt;=3</f>
        <v>1</v>
      </c>
      <c r="G28" s="33" t="b">
        <f>ABS(G26-G27)&lt;=3</f>
        <v>1</v>
      </c>
      <c r="H28" s="33" t="b">
        <f>ABS(H26-H27)&lt;=3</f>
        <v>1</v>
      </c>
      <c r="I28" s="53" t="s">
        <v>40</v>
      </c>
      <c r="J28" s="20"/>
    </row>
    <row r="29">
      <c r="A29" s="9"/>
      <c r="B29" s="9"/>
      <c r="C29" s="9"/>
      <c r="D29" s="9"/>
      <c r="E29" s="9"/>
      <c r="F29" s="9"/>
      <c r="G29" s="9"/>
      <c r="H29" s="9"/>
      <c r="I29" s="69"/>
      <c r="J29" s="20"/>
    </row>
    <row r="30">
      <c r="A30" s="35" t="s">
        <v>349</v>
      </c>
      <c r="B30" s="33"/>
      <c r="C30" s="33"/>
      <c r="D30" s="33"/>
      <c r="E30" s="33"/>
      <c r="F30" s="33"/>
      <c r="G30" s="33"/>
      <c r="H30" s="33"/>
      <c r="I30" s="53"/>
      <c r="J30" s="20"/>
    </row>
    <row r="31">
      <c r="A31" s="9" t="s">
        <v>341</v>
      </c>
      <c r="B31" s="40">
        <f>B18</f>
        <v>2174</v>
      </c>
      <c r="C31" s="40">
        <f>C18</f>
        <v>1805</v>
      </c>
      <c r="D31" s="40">
        <f>D18</f>
        <v>2035</v>
      </c>
      <c r="E31" s="40">
        <f>E18</f>
        <v>2186</v>
      </c>
      <c r="F31" s="40">
        <f>SUM(B31:E31)</f>
        <v>8200</v>
      </c>
      <c r="G31" s="40">
        <f>G18</f>
        <v>2973</v>
      </c>
      <c r="H31" s="40">
        <f>H18</f>
        <v>1799</v>
      </c>
      <c r="I31" s="41">
        <f>I18</f>
        <v>1994.3</v>
      </c>
      <c r="J31" s="20"/>
    </row>
    <row r="32">
      <c r="A32" s="23" t="s">
        <v>98</v>
      </c>
      <c r="B32" s="29" t="s">
        <v>40</v>
      </c>
      <c r="C32" s="29" t="s">
        <v>40</v>
      </c>
      <c r="D32" s="29" t="s">
        <v>40</v>
      </c>
      <c r="E32" s="29" t="s">
        <v>40</v>
      </c>
      <c r="F32" s="29" t="s">
        <v>40</v>
      </c>
      <c r="G32" s="29">
        <f>IFERROR(G31/B31-1,"n.a.")</f>
        <v>0.3675252989880404</v>
      </c>
      <c r="H32" s="29">
        <f>IFERROR(H31/C31-1,"n.a.")</f>
        <v>-0.003324099722991636</v>
      </c>
      <c r="I32" s="50">
        <f>IFERROR(I31/D31-1,"n.a.")</f>
        <v>-0.020000000000000018</v>
      </c>
      <c r="J32" s="20"/>
    </row>
    <row r="33">
      <c r="A33" s="23" t="s">
        <v>99</v>
      </c>
      <c r="B33" s="29" t="s">
        <v>40</v>
      </c>
      <c r="C33" s="29" t="s">
        <v>40</v>
      </c>
      <c r="D33" s="29" t="s">
        <v>40</v>
      </c>
      <c r="E33" s="29" t="s">
        <v>40</v>
      </c>
      <c r="F33" s="29" t="s">
        <v>40</v>
      </c>
      <c r="G33" s="65">
        <v>0</v>
      </c>
      <c r="H33" s="65">
        <v>0</v>
      </c>
      <c r="I33" s="48">
        <v>0</v>
      </c>
      <c r="J33" s="20" t="s">
        <v>342</v>
      </c>
    </row>
    <row r="34">
      <c r="A34" s="23" t="s">
        <v>106</v>
      </c>
      <c r="B34" s="29" t="s">
        <v>40</v>
      </c>
      <c r="C34" s="29" t="s">
        <v>40</v>
      </c>
      <c r="D34" s="29" t="s">
        <v>40</v>
      </c>
      <c r="E34" s="29" t="s">
        <v>40</v>
      </c>
      <c r="F34" s="29" t="s">
        <v>40</v>
      </c>
      <c r="G34" s="29" t="s">
        <v>40</v>
      </c>
      <c r="H34" s="29" t="s">
        <v>40</v>
      </c>
      <c r="I34" s="50" t="s">
        <v>40</v>
      </c>
      <c r="J34" s="20"/>
    </row>
    <row r="35">
      <c r="A35" s="23" t="s">
        <v>103</v>
      </c>
      <c r="B35" s="29" t="s">
        <v>40</v>
      </c>
      <c r="C35" s="29" t="s">
        <v>40</v>
      </c>
      <c r="D35" s="29" t="s">
        <v>40</v>
      </c>
      <c r="E35" s="29" t="s">
        <v>40</v>
      </c>
      <c r="F35" s="29" t="s">
        <v>40</v>
      </c>
      <c r="G35" s="29" t="str">
        <f>IFERROR(IF(OR(ISTEXT(G32),ISTEXT(G33),ISTEXT(G34)),"n.a.",(1+G32)/((1+G33)*(1+G34))-1),"n.a.")</f>
        <v>n.a.</v>
      </c>
      <c r="H35" s="29" t="str">
        <f>IFERROR(IF(OR(ISTEXT(H32),ISTEXT(H33),ISTEXT(H34)),"n.a.",(1+H32)/((1+H33)*(1+H34))-1),"n.a.")</f>
        <v>n.a.</v>
      </c>
      <c r="I35" s="50" t="str">
        <f>IFERROR(IF(OR(ISTEXT(I32),ISTEXT(I33),ISTEXT(I34)),"n.a.",(1+I32)/((1+I33)*(1+I34))-1),"n.a.")</f>
        <v>n.a.</v>
      </c>
      <c r="J35" s="20"/>
    </row>
    <row r="36">
      <c r="A36" s="9" t="s">
        <v>189</v>
      </c>
      <c r="B36" s="40" t="s">
        <v>40</v>
      </c>
      <c r="C36" s="40">
        <f>IFERROR(C31-B31,"n.a.")</f>
        <v>-369</v>
      </c>
      <c r="D36" s="40">
        <f>IFERROR(D31-C31,"n.a.")</f>
        <v>230</v>
      </c>
      <c r="E36" s="40">
        <f>IFERROR(E31-D31,"n.a.")</f>
        <v>151</v>
      </c>
      <c r="F36" s="40" t="s">
        <v>40</v>
      </c>
      <c r="G36" s="40">
        <f>IFERROR(G31-E31,"n.a.")</f>
        <v>787</v>
      </c>
      <c r="H36" s="40">
        <f>IFERROR(H31-G31,"n.a.")</f>
        <v>-1174</v>
      </c>
      <c r="I36" s="41">
        <f>IFERROR(I31-H31,"n.a.")</f>
        <v>195.29999999999995</v>
      </c>
      <c r="J36" s="20"/>
    </row>
    <row r="37">
      <c r="A37" s="9" t="s">
        <v>344</v>
      </c>
      <c r="B37" s="40">
        <f>B21</f>
        <v>286</v>
      </c>
      <c r="C37" s="40">
        <f>C21</f>
        <v>284</v>
      </c>
      <c r="D37" s="40">
        <f>D21</f>
        <v>639</v>
      </c>
      <c r="E37" s="40">
        <f>E21</f>
        <v>411</v>
      </c>
      <c r="F37" s="40">
        <f>SUM(B37:E37)</f>
        <v>1620</v>
      </c>
      <c r="G37" s="40">
        <f>G21</f>
        <v>117</v>
      </c>
      <c r="H37" s="40">
        <f>H21</f>
        <v>972</v>
      </c>
      <c r="I37" s="41">
        <f>I21</f>
        <v>982.85</v>
      </c>
      <c r="J37" s="20"/>
    </row>
    <row r="38">
      <c r="A38" s="23" t="s">
        <v>98</v>
      </c>
      <c r="B38" s="29" t="s">
        <v>40</v>
      </c>
      <c r="C38" s="29" t="s">
        <v>40</v>
      </c>
      <c r="D38" s="29" t="s">
        <v>40</v>
      </c>
      <c r="E38" s="29" t="s">
        <v>40</v>
      </c>
      <c r="F38" s="29" t="s">
        <v>40</v>
      </c>
      <c r="G38" s="29">
        <f>IFERROR(G37/B37-1,"n.a.")</f>
        <v>-0.5909090909090908</v>
      </c>
      <c r="H38" s="29">
        <f>IFERROR(H37/C37-1,"n.a.")</f>
        <v>2.4225352112676055</v>
      </c>
      <c r="I38" s="50">
        <f>IFERROR(I37/D37-1,"n.a.")</f>
        <v>0.5381064162754303</v>
      </c>
      <c r="J38" s="20"/>
    </row>
    <row r="39">
      <c r="A39" s="23" t="s">
        <v>99</v>
      </c>
      <c r="B39" s="29" t="s">
        <v>40</v>
      </c>
      <c r="C39" s="29" t="s">
        <v>40</v>
      </c>
      <c r="D39" s="29" t="s">
        <v>40</v>
      </c>
      <c r="E39" s="29" t="s">
        <v>40</v>
      </c>
      <c r="F39" s="29" t="s">
        <v>40</v>
      </c>
      <c r="G39" s="65">
        <v>0</v>
      </c>
      <c r="H39" s="65">
        <v>0</v>
      </c>
      <c r="I39" s="48">
        <v>0</v>
      </c>
      <c r="J39" s="20" t="s">
        <v>342</v>
      </c>
    </row>
    <row r="40">
      <c r="A40" s="23" t="s">
        <v>106</v>
      </c>
      <c r="B40" s="29" t="s">
        <v>40</v>
      </c>
      <c r="C40" s="29" t="s">
        <v>40</v>
      </c>
      <c r="D40" s="29" t="s">
        <v>40</v>
      </c>
      <c r="E40" s="29" t="s">
        <v>40</v>
      </c>
      <c r="F40" s="29" t="s">
        <v>40</v>
      </c>
      <c r="G40" s="29" t="s">
        <v>40</v>
      </c>
      <c r="H40" s="29" t="s">
        <v>40</v>
      </c>
      <c r="I40" s="50" t="s">
        <v>40</v>
      </c>
      <c r="J40" s="20"/>
    </row>
    <row r="41">
      <c r="A41" s="23" t="s">
        <v>103</v>
      </c>
      <c r="B41" s="29" t="s">
        <v>40</v>
      </c>
      <c r="C41" s="29" t="s">
        <v>40</v>
      </c>
      <c r="D41" s="29" t="s">
        <v>40</v>
      </c>
      <c r="E41" s="29" t="s">
        <v>40</v>
      </c>
      <c r="F41" s="29" t="s">
        <v>40</v>
      </c>
      <c r="G41" s="29" t="str">
        <f>IFERROR(IF(OR(ISTEXT(G38),ISTEXT(G39),ISTEXT(G40)),"n.a.",(1+G38)/((1+G39)*(1+G40))-1),"n.a.")</f>
        <v>n.a.</v>
      </c>
      <c r="H41" s="29" t="str">
        <f>IFERROR(IF(OR(ISTEXT(H38),ISTEXT(H39),ISTEXT(H40)),"n.a.",(1+H38)/((1+H39)*(1+H40))-1),"n.a.")</f>
        <v>n.a.</v>
      </c>
      <c r="I41" s="50" t="str">
        <f>IFERROR(IF(OR(ISTEXT(I38),ISTEXT(I39),ISTEXT(I40)),"n.a.",(1+I38)/((1+I39)*(1+I40))-1),"n.a.")</f>
        <v>n.a.</v>
      </c>
      <c r="J41" s="20"/>
    </row>
    <row r="42">
      <c r="A42" s="9" t="s">
        <v>189</v>
      </c>
      <c r="B42" s="40" t="s">
        <v>40</v>
      </c>
      <c r="C42" s="40">
        <f>IFERROR(C37-B37,"n.a.")</f>
        <v>-2</v>
      </c>
      <c r="D42" s="40">
        <f>IFERROR(D37-C37,"n.a.")</f>
        <v>355</v>
      </c>
      <c r="E42" s="40">
        <f>IFERROR(E37-D37,"n.a.")</f>
        <v>-228</v>
      </c>
      <c r="F42" s="40" t="s">
        <v>40</v>
      </c>
      <c r="G42" s="40">
        <f>IFERROR(G37-E37,"n.a.")</f>
        <v>-294</v>
      </c>
      <c r="H42" s="40">
        <f>IFERROR(H37-G37,"n.a.")</f>
        <v>855</v>
      </c>
      <c r="I42" s="41">
        <f>IFERROR(I37-H37,"n.a.")</f>
        <v>10.850000000000023</v>
      </c>
      <c r="J42" s="20"/>
    </row>
    <row r="43">
      <c r="A43" s="9" t="s">
        <v>176</v>
      </c>
      <c r="B43" s="40">
        <f>B23</f>
        <v>366</v>
      </c>
      <c r="C43" s="40">
        <f>C23</f>
        <v>343</v>
      </c>
      <c r="D43" s="40">
        <f>D23</f>
        <v>326</v>
      </c>
      <c r="E43" s="40">
        <f>E23</f>
        <v>430</v>
      </c>
      <c r="F43" s="40">
        <f>SUM(B43:E43)</f>
        <v>1465</v>
      </c>
      <c r="G43" s="40">
        <f>G23</f>
        <v>336</v>
      </c>
      <c r="H43" s="40">
        <f>H23</f>
        <v>269</v>
      </c>
      <c r="I43" s="41">
        <f>I23</f>
        <v>293.40000000000003</v>
      </c>
      <c r="J43" s="20"/>
    </row>
    <row r="44">
      <c r="A44" s="23" t="s">
        <v>98</v>
      </c>
      <c r="B44" s="29" t="s">
        <v>40</v>
      </c>
      <c r="C44" s="29" t="s">
        <v>40</v>
      </c>
      <c r="D44" s="29" t="s">
        <v>40</v>
      </c>
      <c r="E44" s="29" t="s">
        <v>40</v>
      </c>
      <c r="F44" s="29" t="s">
        <v>40</v>
      </c>
      <c r="G44" s="29">
        <f>IFERROR(G43/B43-1,"n.a.")</f>
        <v>-0.08196721311475408</v>
      </c>
      <c r="H44" s="29">
        <f>IFERROR(H43/C43-1,"n.a.")</f>
        <v>-0.2157434402332361</v>
      </c>
      <c r="I44" s="50">
        <f>IFERROR(I43/D43-1,"n.a.")</f>
        <v>-0.09999999999999987</v>
      </c>
      <c r="J44" s="20"/>
    </row>
    <row r="45">
      <c r="A45" s="23" t="s">
        <v>99</v>
      </c>
      <c r="B45" s="29" t="s">
        <v>40</v>
      </c>
      <c r="C45" s="29" t="s">
        <v>40</v>
      </c>
      <c r="D45" s="29" t="s">
        <v>40</v>
      </c>
      <c r="E45" s="29" t="s">
        <v>40</v>
      </c>
      <c r="F45" s="29" t="s">
        <v>40</v>
      </c>
      <c r="G45" s="65">
        <v>0</v>
      </c>
      <c r="H45" s="65">
        <v>0</v>
      </c>
      <c r="I45" s="48">
        <v>0</v>
      </c>
      <c r="J45" s="20" t="s">
        <v>342</v>
      </c>
    </row>
    <row r="46">
      <c r="A46" s="23" t="s">
        <v>106</v>
      </c>
      <c r="B46" s="29" t="s">
        <v>40</v>
      </c>
      <c r="C46" s="29" t="s">
        <v>40</v>
      </c>
      <c r="D46" s="29" t="s">
        <v>40</v>
      </c>
      <c r="E46" s="29" t="s">
        <v>40</v>
      </c>
      <c r="F46" s="29" t="s">
        <v>40</v>
      </c>
      <c r="G46" s="29" t="s">
        <v>40</v>
      </c>
      <c r="H46" s="29" t="s">
        <v>40</v>
      </c>
      <c r="I46" s="50" t="s">
        <v>40</v>
      </c>
      <c r="J46" s="20"/>
    </row>
    <row r="47">
      <c r="A47" s="23" t="s">
        <v>103</v>
      </c>
      <c r="B47" s="29" t="s">
        <v>40</v>
      </c>
      <c r="C47" s="29" t="s">
        <v>40</v>
      </c>
      <c r="D47" s="29" t="s">
        <v>40</v>
      </c>
      <c r="E47" s="29" t="s">
        <v>40</v>
      </c>
      <c r="F47" s="29" t="s">
        <v>40</v>
      </c>
      <c r="G47" s="29" t="str">
        <f>IFERROR(IF(OR(ISTEXT(G44),ISTEXT(G45),ISTEXT(G46)),"n.a.",(1+G44)/((1+G45)*(1+G46))-1),"n.a.")</f>
        <v>n.a.</v>
      </c>
      <c r="H47" s="29" t="str">
        <f>IFERROR(IF(OR(ISTEXT(H44),ISTEXT(H45),ISTEXT(H46)),"n.a.",(1+H44)/((1+H45)*(1+H46))-1),"n.a.")</f>
        <v>n.a.</v>
      </c>
      <c r="I47" s="50" t="str">
        <f>IFERROR(IF(OR(ISTEXT(I44),ISTEXT(I45),ISTEXT(I46)),"n.a.",(1+I44)/((1+I45)*(1+I46))-1),"n.a.")</f>
        <v>n.a.</v>
      </c>
      <c r="J47" s="20"/>
    </row>
    <row r="48">
      <c r="A48" s="9" t="s">
        <v>189</v>
      </c>
      <c r="B48" s="40" t="s">
        <v>40</v>
      </c>
      <c r="C48" s="40">
        <f>IFERROR(C43-B43,"n.a.")</f>
        <v>-23</v>
      </c>
      <c r="D48" s="40">
        <f>IFERROR(D43-C43,"n.a.")</f>
        <v>-17</v>
      </c>
      <c r="E48" s="40">
        <f>IFERROR(E43-D43,"n.a.")</f>
        <v>104</v>
      </c>
      <c r="F48" s="40" t="s">
        <v>40</v>
      </c>
      <c r="G48" s="40">
        <f>IFERROR(G43-E43,"n.a.")</f>
        <v>-94</v>
      </c>
      <c r="H48" s="40">
        <f>IFERROR(H43-G43,"n.a.")</f>
        <v>-67</v>
      </c>
      <c r="I48" s="41">
        <f>IFERROR(I43-H43,"n.a.")</f>
        <v>24.400000000000034</v>
      </c>
      <c r="J48" s="20"/>
    </row>
    <row r="49">
      <c r="A49" s="35" t="s">
        <v>347</v>
      </c>
      <c r="B49" s="45">
        <f>B26</f>
        <v>2826</v>
      </c>
      <c r="C49" s="45">
        <f>C26</f>
        <v>2432</v>
      </c>
      <c r="D49" s="45">
        <f>D26</f>
        <v>3000</v>
      </c>
      <c r="E49" s="45">
        <f>E26</f>
        <v>3027</v>
      </c>
      <c r="F49" s="45">
        <f>SUM(B49:E49)</f>
        <v>11285</v>
      </c>
      <c r="G49" s="45">
        <f>G26</f>
        <v>3426</v>
      </c>
      <c r="H49" s="45">
        <f>H26</f>
        <v>3040</v>
      </c>
      <c r="I49" s="52">
        <f>I26</f>
        <v>3270.55</v>
      </c>
      <c r="J49" s="20"/>
    </row>
    <row r="50">
      <c r="A50" s="23" t="s">
        <v>98</v>
      </c>
      <c r="B50" s="29" t="s">
        <v>40</v>
      </c>
      <c r="C50" s="29" t="s">
        <v>40</v>
      </c>
      <c r="D50" s="29" t="s">
        <v>40</v>
      </c>
      <c r="E50" s="29" t="s">
        <v>40</v>
      </c>
      <c r="F50" s="29" t="s">
        <v>40</v>
      </c>
      <c r="G50" s="29">
        <f>IFERROR(G49/B49-1,"n.a.")</f>
        <v>0.2123142250530785</v>
      </c>
      <c r="H50" s="29">
        <f>IFERROR(H49/C49-1,"n.a.")</f>
        <v>0.25</v>
      </c>
      <c r="I50" s="50">
        <f>IFERROR(I49/D49-1,"n.a.")</f>
        <v>0.0901833333333335</v>
      </c>
      <c r="J50" s="20"/>
    </row>
    <row r="51">
      <c r="A51" s="23" t="s">
        <v>99</v>
      </c>
      <c r="B51" s="29" t="s">
        <v>40</v>
      </c>
      <c r="C51" s="29" t="s">
        <v>40</v>
      </c>
      <c r="D51" s="29" t="s">
        <v>40</v>
      </c>
      <c r="E51" s="29" t="s">
        <v>40</v>
      </c>
      <c r="F51" s="29" t="s">
        <v>40</v>
      </c>
      <c r="G51" s="65">
        <v>0</v>
      </c>
      <c r="H51" s="65">
        <v>0</v>
      </c>
      <c r="I51" s="48">
        <v>0</v>
      </c>
      <c r="J51" s="20" t="s">
        <v>342</v>
      </c>
    </row>
    <row r="52">
      <c r="A52" s="23" t="s">
        <v>106</v>
      </c>
      <c r="B52" s="29" t="s">
        <v>40</v>
      </c>
      <c r="C52" s="29" t="s">
        <v>40</v>
      </c>
      <c r="D52" s="29" t="s">
        <v>40</v>
      </c>
      <c r="E52" s="29" t="s">
        <v>40</v>
      </c>
      <c r="F52" s="29" t="s">
        <v>40</v>
      </c>
      <c r="G52" s="29" t="s">
        <v>40</v>
      </c>
      <c r="H52" s="29" t="s">
        <v>40</v>
      </c>
      <c r="I52" s="50" t="s">
        <v>40</v>
      </c>
      <c r="J52" s="20" t="s">
        <v>350</v>
      </c>
    </row>
    <row r="53">
      <c r="A53" s="23" t="s">
        <v>103</v>
      </c>
      <c r="B53" s="29" t="s">
        <v>40</v>
      </c>
      <c r="C53" s="29" t="s">
        <v>40</v>
      </c>
      <c r="D53" s="29" t="s">
        <v>40</v>
      </c>
      <c r="E53" s="29" t="s">
        <v>40</v>
      </c>
      <c r="F53" s="29" t="s">
        <v>40</v>
      </c>
      <c r="G53" s="29" t="str">
        <f>IFERROR(IF(OR(ISTEXT(G50),ISTEXT(G51),ISTEXT(G52)),"n.a.",(1+G50)/((1+G51)*(1+G52))-1),"n.a.")</f>
        <v>n.a.</v>
      </c>
      <c r="H53" s="29" t="str">
        <f>IFERROR(IF(OR(ISTEXT(H50),ISTEXT(H51),ISTEXT(H52)),"n.a.",(1+H50)/((1+H51)*(1+H52))-1),"n.a.")</f>
        <v>n.a.</v>
      </c>
      <c r="I53" s="50" t="str">
        <f>IFERROR(IF(OR(ISTEXT(I50),ISTEXT(I51),ISTEXT(I52)),"n.a.",(1+I50)/((1+I51)*(1+I52))-1),"n.a.")</f>
        <v>n.a.</v>
      </c>
      <c r="J53" s="20"/>
    </row>
    <row r="54">
      <c r="A54" s="9" t="s">
        <v>189</v>
      </c>
      <c r="B54" s="40" t="s">
        <v>40</v>
      </c>
      <c r="C54" s="40">
        <f>IFERROR(C49-B49,"n.a.")</f>
        <v>-394</v>
      </c>
      <c r="D54" s="40">
        <f>IFERROR(D49-C49,"n.a.")</f>
        <v>568</v>
      </c>
      <c r="E54" s="40">
        <f>IFERROR(E49-D49,"n.a.")</f>
        <v>27</v>
      </c>
      <c r="F54" s="40" t="s">
        <v>40</v>
      </c>
      <c r="G54" s="40">
        <f>IFERROR(G49-E49,"n.a.")</f>
        <v>399</v>
      </c>
      <c r="H54" s="40">
        <f>IFERROR(H49-G49,"n.a.")</f>
        <v>-386</v>
      </c>
      <c r="I54" s="41">
        <f>IFERROR(I49-H49,"n.a.")</f>
        <v>230.55000000000018</v>
      </c>
      <c r="J54" s="20"/>
    </row>
    <row r="55">
      <c r="A55" s="9"/>
      <c r="B55" s="9"/>
      <c r="C55" s="9"/>
      <c r="D55" s="9"/>
      <c r="E55" s="9"/>
      <c r="F55" s="9"/>
      <c r="G55" s="9"/>
      <c r="H55" s="9"/>
      <c r="I55" s="69"/>
      <c r="J55" s="20"/>
    </row>
    <row r="56">
      <c r="A56" s="35" t="s">
        <v>351</v>
      </c>
      <c r="B56" s="33"/>
      <c r="C56" s="33"/>
      <c r="D56" s="33"/>
      <c r="E56" s="33"/>
      <c r="F56" s="33"/>
      <c r="G56" s="33"/>
      <c r="H56" s="33"/>
      <c r="I56" s="53"/>
      <c r="J56" s="20"/>
    </row>
    <row r="57">
      <c r="A57" s="9" t="s">
        <v>320</v>
      </c>
      <c r="B57" s="39">
        <v>1901</v>
      </c>
      <c r="C57" s="39">
        <v>1664</v>
      </c>
      <c r="D57" s="39">
        <v>1962</v>
      </c>
      <c r="E57" s="39">
        <v>1924</v>
      </c>
      <c r="F57" s="40">
        <f>SUM(B57:E57)</f>
        <v>7451</v>
      </c>
      <c r="G57" s="39">
        <v>2236</v>
      </c>
      <c r="H57" s="39">
        <v>2047</v>
      </c>
      <c r="I57" s="41">
        <f>I26*I58</f>
        <v>2027.741</v>
      </c>
      <c r="J57" s="20" t="s">
        <v>342</v>
      </c>
    </row>
    <row r="58">
      <c r="A58" s="23" t="s">
        <v>352</v>
      </c>
      <c r="B58" s="29">
        <f>B57/B26</f>
        <v>0.6726822363765039</v>
      </c>
      <c r="C58" s="29">
        <f>C57/C26</f>
        <v>0.6842105263157895</v>
      </c>
      <c r="D58" s="29">
        <f>D57/D26</f>
        <v>0.654</v>
      </c>
      <c r="E58" s="29">
        <f>E57/E26</f>
        <v>0.6356128179715891</v>
      </c>
      <c r="F58" s="29">
        <f>F57/F26</f>
        <v>0.6602569782897652</v>
      </c>
      <c r="G58" s="29">
        <f>G57/G26</f>
        <v>0.652656158785756</v>
      </c>
      <c r="H58" s="29">
        <f>H57/H26</f>
        <v>0.6733552631578947</v>
      </c>
      <c r="I58" s="48">
        <v>0.62</v>
      </c>
      <c r="J58" s="20" t="s">
        <v>353</v>
      </c>
    </row>
    <row r="59">
      <c r="A59" s="23" t="s">
        <v>139</v>
      </c>
      <c r="B59" s="51" t="s">
        <v>40</v>
      </c>
      <c r="C59" s="51" t="s">
        <v>40</v>
      </c>
      <c r="D59" s="51" t="s">
        <v>40</v>
      </c>
      <c r="E59" s="51" t="s">
        <v>40</v>
      </c>
      <c r="F59" s="51" t="s">
        <v>40</v>
      </c>
      <c r="G59" s="51">
        <f>IFERROR((G58-B58)*10000,"n.a.")</f>
        <v>-200.26077590747926</v>
      </c>
      <c r="H59" s="51">
        <f>IFERROR((H58-C58)*10000,"n.a.")</f>
        <v>-108.55263157894757</v>
      </c>
      <c r="I59" s="46">
        <f>IFERROR((I58-D58)*10000,"n.a.")</f>
        <v>-340.0000000000003</v>
      </c>
      <c r="J59" s="20"/>
    </row>
    <row r="60">
      <c r="A60" s="23" t="s">
        <v>140</v>
      </c>
      <c r="B60" s="51" t="s">
        <v>40</v>
      </c>
      <c r="C60" s="51">
        <f>IFERROR((C58-B58)*10000,"n.a.")</f>
        <v>115.28289939285563</v>
      </c>
      <c r="D60" s="51">
        <f>IFERROR((D58-C58)*10000,"n.a.")</f>
        <v>-302.1052631578947</v>
      </c>
      <c r="E60" s="51">
        <f>IFERROR((E58-D58)*10000,"n.a.")</f>
        <v>-183.87182028410942</v>
      </c>
      <c r="F60" s="51" t="s">
        <v>40</v>
      </c>
      <c r="G60" s="51">
        <f>IFERROR((G58-E58)*10000,"n.a.")</f>
        <v>170.4334081416692</v>
      </c>
      <c r="H60" s="51">
        <f>IFERROR((H58-G58)*10000,"n.a.")</f>
        <v>206.9910437213873</v>
      </c>
      <c r="I60" s="46">
        <f>IFERROR((I58-H58)*10000,"n.a.")</f>
        <v>-533.5526315789474</v>
      </c>
      <c r="J60" s="20"/>
    </row>
    <row r="61">
      <c r="A61" s="9" t="s">
        <v>189</v>
      </c>
      <c r="B61" s="40" t="s">
        <v>40</v>
      </c>
      <c r="C61" s="40">
        <f>IFERROR(C57-B57,"n.a.")</f>
        <v>-237</v>
      </c>
      <c r="D61" s="40">
        <f>IFERROR(D57-C57,"n.a.")</f>
        <v>298</v>
      </c>
      <c r="E61" s="40">
        <f>IFERROR(E57-D57,"n.a.")</f>
        <v>-38</v>
      </c>
      <c r="F61" s="40" t="s">
        <v>40</v>
      </c>
      <c r="G61" s="40">
        <f>IFERROR(G57-E57,"n.a.")</f>
        <v>312</v>
      </c>
      <c r="H61" s="40">
        <f>IFERROR(H57-G57,"n.a.")</f>
        <v>-189</v>
      </c>
      <c r="I61" s="41">
        <f>IFERROR(I57-H57,"n.a.")</f>
        <v>-19.259000000000015</v>
      </c>
      <c r="J61" s="20"/>
    </row>
    <row r="62">
      <c r="A62" s="9" t="s">
        <v>196</v>
      </c>
      <c r="B62" s="39">
        <v>392</v>
      </c>
      <c r="C62" s="39">
        <v>452</v>
      </c>
      <c r="D62" s="39">
        <v>436</v>
      </c>
      <c r="E62" s="39">
        <v>493</v>
      </c>
      <c r="F62" s="40">
        <f>SUM(B62:E62)</f>
        <v>1773</v>
      </c>
      <c r="G62" s="39">
        <v>373</v>
      </c>
      <c r="H62" s="39">
        <v>545</v>
      </c>
      <c r="I62" s="73">
        <v>470</v>
      </c>
      <c r="J62" s="20" t="s">
        <v>354</v>
      </c>
    </row>
    <row r="63">
      <c r="A63" s="23" t="s">
        <v>217</v>
      </c>
      <c r="B63" s="29" t="s">
        <v>40</v>
      </c>
      <c r="C63" s="29" t="s">
        <v>40</v>
      </c>
      <c r="D63" s="29" t="s">
        <v>40</v>
      </c>
      <c r="E63" s="29" t="s">
        <v>40</v>
      </c>
      <c r="F63" s="29" t="s">
        <v>40</v>
      </c>
      <c r="G63" s="29">
        <f>IFERROR(G62/B62-1,"n.a.")</f>
        <v>-0.04846938775510201</v>
      </c>
      <c r="H63" s="29">
        <f>IFERROR(H62/C62-1,"n.a.")</f>
        <v>0.20575221238938046</v>
      </c>
      <c r="I63" s="50">
        <f>IFERROR(I62/D62-1,"n.a.")</f>
        <v>0.07798165137614688</v>
      </c>
      <c r="J63" s="20"/>
    </row>
    <row r="64">
      <c r="A64" s="9" t="s">
        <v>189</v>
      </c>
      <c r="B64" s="40" t="s">
        <v>40</v>
      </c>
      <c r="C64" s="40">
        <f>IFERROR(C62-B62,"n.a.")</f>
        <v>60</v>
      </c>
      <c r="D64" s="40">
        <f>IFERROR(D62-C62,"n.a.")</f>
        <v>-16</v>
      </c>
      <c r="E64" s="40">
        <f>IFERROR(E62-D62,"n.a.")</f>
        <v>57</v>
      </c>
      <c r="F64" s="40" t="s">
        <v>40</v>
      </c>
      <c r="G64" s="40">
        <f>IFERROR(G62-E62,"n.a.")</f>
        <v>-120</v>
      </c>
      <c r="H64" s="40">
        <f>IFERROR(H62-G62,"n.a.")</f>
        <v>172</v>
      </c>
      <c r="I64" s="41">
        <f>IFERROR(I62-H62,"n.a.")</f>
        <v>-75</v>
      </c>
      <c r="J64" s="20"/>
    </row>
    <row r="65">
      <c r="A65" s="9" t="s">
        <v>355</v>
      </c>
      <c r="B65" s="39">
        <v>259</v>
      </c>
      <c r="C65" s="39">
        <v>256</v>
      </c>
      <c r="D65" s="39">
        <v>264</v>
      </c>
      <c r="E65" s="39">
        <v>283</v>
      </c>
      <c r="F65" s="40">
        <f>SUM(B65:E65)</f>
        <v>1062</v>
      </c>
      <c r="G65" s="39">
        <v>262</v>
      </c>
      <c r="H65" s="39">
        <v>247</v>
      </c>
      <c r="I65" s="73">
        <v>265</v>
      </c>
      <c r="J65" s="20" t="s">
        <v>356</v>
      </c>
    </row>
    <row r="66">
      <c r="A66" s="23" t="s">
        <v>217</v>
      </c>
      <c r="B66" s="29" t="s">
        <v>40</v>
      </c>
      <c r="C66" s="29" t="s">
        <v>40</v>
      </c>
      <c r="D66" s="29" t="s">
        <v>40</v>
      </c>
      <c r="E66" s="29" t="s">
        <v>40</v>
      </c>
      <c r="F66" s="29" t="s">
        <v>40</v>
      </c>
      <c r="G66" s="29">
        <f>IFERROR(G65/B65-1,"n.a.")</f>
        <v>0.01158301158301156</v>
      </c>
      <c r="H66" s="29">
        <f>IFERROR(H65/C65-1,"n.a.")</f>
        <v>-0.03515625</v>
      </c>
      <c r="I66" s="50">
        <f>IFERROR(I65/D65-1,"n.a.")</f>
        <v>0.0037878787878788955</v>
      </c>
      <c r="J66" s="20"/>
    </row>
    <row r="67">
      <c r="A67" s="9" t="s">
        <v>189</v>
      </c>
      <c r="B67" s="40" t="s">
        <v>40</v>
      </c>
      <c r="C67" s="40">
        <f>IFERROR(C65-B65,"n.a.")</f>
        <v>-3</v>
      </c>
      <c r="D67" s="40">
        <f>IFERROR(D65-C65,"n.a.")</f>
        <v>8</v>
      </c>
      <c r="E67" s="40">
        <f>IFERROR(E65-D65,"n.a.")</f>
        <v>19</v>
      </c>
      <c r="F67" s="40" t="s">
        <v>40</v>
      </c>
      <c r="G67" s="40">
        <f>IFERROR(G65-E65,"n.a.")</f>
        <v>-21</v>
      </c>
      <c r="H67" s="40">
        <f>IFERROR(H65-G65,"n.a.")</f>
        <v>-15</v>
      </c>
      <c r="I67" s="41">
        <f>IFERROR(I65-H65,"n.a.")</f>
        <v>18</v>
      </c>
      <c r="J67" s="20"/>
    </row>
    <row r="68">
      <c r="A68" s="35" t="s">
        <v>357</v>
      </c>
      <c r="B68" s="45">
        <f>B57+B62+B65</f>
        <v>2552</v>
      </c>
      <c r="C68" s="45">
        <f>C57+C62+C65</f>
        <v>2372</v>
      </c>
      <c r="D68" s="45">
        <f>D57+D62+D65</f>
        <v>2662</v>
      </c>
      <c r="E68" s="45">
        <f>E57+E62+E65</f>
        <v>2700</v>
      </c>
      <c r="F68" s="45">
        <f>SUM(B68:E68)</f>
        <v>10286</v>
      </c>
      <c r="G68" s="45">
        <f>G57+G62+G65</f>
        <v>2871</v>
      </c>
      <c r="H68" s="45">
        <f>H57+H62+H65</f>
        <v>2839</v>
      </c>
      <c r="I68" s="52">
        <f>I57+I62+I65</f>
        <v>2762.741</v>
      </c>
      <c r="J68" s="20"/>
    </row>
    <row r="69">
      <c r="A69" s="23" t="s">
        <v>217</v>
      </c>
      <c r="B69" s="29" t="s">
        <v>40</v>
      </c>
      <c r="C69" s="29" t="s">
        <v>40</v>
      </c>
      <c r="D69" s="29" t="s">
        <v>40</v>
      </c>
      <c r="E69" s="29" t="s">
        <v>40</v>
      </c>
      <c r="F69" s="29" t="s">
        <v>40</v>
      </c>
      <c r="G69" s="29">
        <f>IFERROR(G68/B68-1,"n.a.")</f>
        <v>0.125</v>
      </c>
      <c r="H69" s="29">
        <f>IFERROR(H68/C68-1,"n.a.")</f>
        <v>0.19688026981450246</v>
      </c>
      <c r="I69" s="50">
        <f>IFERROR(I68/D68-1,"n.a.")</f>
        <v>0.037844102178812955</v>
      </c>
      <c r="J69" s="20"/>
    </row>
    <row r="70">
      <c r="A70" s="9" t="s">
        <v>189</v>
      </c>
      <c r="B70" s="40" t="s">
        <v>40</v>
      </c>
      <c r="C70" s="40">
        <f>IFERROR(C68-B68,"n.a.")</f>
        <v>-180</v>
      </c>
      <c r="D70" s="40">
        <f>IFERROR(D68-C68,"n.a.")</f>
        <v>290</v>
      </c>
      <c r="E70" s="40">
        <f>IFERROR(E68-D68,"n.a.")</f>
        <v>38</v>
      </c>
      <c r="F70" s="40" t="s">
        <v>40</v>
      </c>
      <c r="G70" s="40">
        <f>IFERROR(G68-E68,"n.a.")</f>
        <v>171</v>
      </c>
      <c r="H70" s="40">
        <f>IFERROR(H68-G68,"n.a.")</f>
        <v>-32</v>
      </c>
      <c r="I70" s="41">
        <f>IFERROR(I68-H68,"n.a.")</f>
        <v>-76.25900000000001</v>
      </c>
      <c r="J70" s="20"/>
    </row>
    <row r="71">
      <c r="A71" s="35" t="s">
        <v>358</v>
      </c>
      <c r="B71" s="45">
        <f>B26-B68</f>
        <v>274</v>
      </c>
      <c r="C71" s="45">
        <f>C26-C68</f>
        <v>60</v>
      </c>
      <c r="D71" s="45">
        <f>D26-D68</f>
        <v>338</v>
      </c>
      <c r="E71" s="45">
        <f>E26-E68</f>
        <v>327</v>
      </c>
      <c r="F71" s="45">
        <f>SUM(B71:E71)</f>
        <v>999</v>
      </c>
      <c r="G71" s="45">
        <f>G26-G68</f>
        <v>555</v>
      </c>
      <c r="H71" s="45">
        <f>H26-H68</f>
        <v>201</v>
      </c>
      <c r="I71" s="52">
        <f>I26-I68</f>
        <v>507.8090000000002</v>
      </c>
      <c r="J71" s="20"/>
    </row>
    <row r="72">
      <c r="A72" s="9" t="s">
        <v>272</v>
      </c>
      <c r="B72" s="40" t="s">
        <v>40</v>
      </c>
      <c r="C72" s="40" t="s">
        <v>40</v>
      </c>
      <c r="D72" s="40" t="s">
        <v>40</v>
      </c>
      <c r="E72" s="40" t="s">
        <v>40</v>
      </c>
      <c r="F72" s="40" t="s">
        <v>40</v>
      </c>
      <c r="G72" s="40">
        <f>IFERROR(G71-B71,"n.a.")</f>
        <v>281</v>
      </c>
      <c r="H72" s="40">
        <f>IFERROR(H71-C71,"n.a.")</f>
        <v>141</v>
      </c>
      <c r="I72" s="41">
        <f>IFERROR(I71-D71,"n.a.")</f>
        <v>169.8090000000002</v>
      </c>
      <c r="J72" s="20"/>
    </row>
    <row r="73">
      <c r="A73" s="9" t="s">
        <v>189</v>
      </c>
      <c r="B73" s="40" t="s">
        <v>40</v>
      </c>
      <c r="C73" s="40">
        <f>IFERROR(C71-B71,"n.a.")</f>
        <v>-214</v>
      </c>
      <c r="D73" s="40">
        <f>IFERROR(D71-C71,"n.a.")</f>
        <v>278</v>
      </c>
      <c r="E73" s="40">
        <f>IFERROR(E71-D71,"n.a.")</f>
        <v>-11</v>
      </c>
      <c r="F73" s="40" t="s">
        <v>40</v>
      </c>
      <c r="G73" s="40">
        <f>IFERROR(G71-E71,"n.a.")</f>
        <v>228</v>
      </c>
      <c r="H73" s="40">
        <f>IFERROR(H71-G71,"n.a.")</f>
        <v>-354</v>
      </c>
      <c r="I73" s="41">
        <f>IFERROR(I71-H71,"n.a.")</f>
        <v>306.8090000000002</v>
      </c>
      <c r="J73" s="20"/>
    </row>
    <row r="74">
      <c r="A74" s="23" t="s">
        <v>359</v>
      </c>
      <c r="B74" s="29">
        <f>B71/B26</f>
        <v>0.09695682944090588</v>
      </c>
      <c r="C74" s="29">
        <f>C71/C26</f>
        <v>0.024671052631578948</v>
      </c>
      <c r="D74" s="29">
        <f>D71/D26</f>
        <v>0.11266666666666666</v>
      </c>
      <c r="E74" s="29">
        <f>E71/E26</f>
        <v>0.10802775024777007</v>
      </c>
      <c r="F74" s="29">
        <f>F71/F26</f>
        <v>0.08852459016393442</v>
      </c>
      <c r="G74" s="29">
        <f>G71/G26</f>
        <v>0.16199649737302976</v>
      </c>
      <c r="H74" s="29">
        <f>H71/H26</f>
        <v>0.06611842105263158</v>
      </c>
      <c r="I74" s="50">
        <f>I71/I26</f>
        <v>0.1552671569002156</v>
      </c>
      <c r="J74" s="20"/>
    </row>
    <row r="75">
      <c r="A75" s="23" t="s">
        <v>139</v>
      </c>
      <c r="B75" s="51" t="s">
        <v>40</v>
      </c>
      <c r="C75" s="51" t="s">
        <v>40</v>
      </c>
      <c r="D75" s="51" t="s">
        <v>40</v>
      </c>
      <c r="E75" s="51" t="s">
        <v>40</v>
      </c>
      <c r="F75" s="51" t="s">
        <v>40</v>
      </c>
      <c r="G75" s="51">
        <f>IFERROR((G74-B74)*10000,"n.a.")</f>
        <v>650.3966793212388</v>
      </c>
      <c r="H75" s="51">
        <f>IFERROR((H74-C74)*10000,"n.a.")</f>
        <v>414.4736842105263</v>
      </c>
      <c r="I75" s="46">
        <f>IFERROR((I74-D74)*10000,"n.a.")</f>
        <v>426.0049023354895</v>
      </c>
      <c r="J75" s="20"/>
    </row>
    <row r="76">
      <c r="A76" s="23" t="s">
        <v>140</v>
      </c>
      <c r="B76" s="51" t="s">
        <v>40</v>
      </c>
      <c r="C76" s="51">
        <f>IFERROR((C74-B74)*10000,"n.a.")</f>
        <v>-722.8577680932693</v>
      </c>
      <c r="D76" s="51">
        <f>IFERROR((D74-C74)*10000,"n.a.")</f>
        <v>879.9561403508771</v>
      </c>
      <c r="E76" s="51">
        <f>IFERROR((E74-D74)*10000,"n.a.")</f>
        <v>-46.38916418896591</v>
      </c>
      <c r="F76" s="51" t="s">
        <v>40</v>
      </c>
      <c r="G76" s="51">
        <f>IFERROR((G74-E74)*10000,"n.a.")</f>
        <v>539.6874712525969</v>
      </c>
      <c r="H76" s="51">
        <f>IFERROR((H74-G74)*10000,"n.a.")</f>
        <v>-958.7807632039819</v>
      </c>
      <c r="I76" s="46">
        <f>IFERROR((I74-H74)*10000,"n.a.")</f>
        <v>891.4873584758403</v>
      </c>
      <c r="J76" s="20"/>
    </row>
    <row r="77" ht="26.25">
      <c r="A77" s="106" t="s">
        <v>360</v>
      </c>
      <c r="B77" s="39">
        <v>274</v>
      </c>
      <c r="C77" s="39">
        <v>61</v>
      </c>
      <c r="D77" s="39">
        <v>339</v>
      </c>
      <c r="E77" s="39">
        <v>327</v>
      </c>
      <c r="F77" s="40">
        <f>SUM(B77:E77)</f>
        <v>1001</v>
      </c>
      <c r="G77" s="39">
        <v>555</v>
      </c>
      <c r="H77" s="39">
        <v>202</v>
      </c>
      <c r="I77" s="41" t="s">
        <v>40</v>
      </c>
      <c r="J77" s="20" t="s">
        <v>342</v>
      </c>
    </row>
    <row r="78">
      <c r="A78" s="9" t="s">
        <v>222</v>
      </c>
      <c r="B78" s="33" t="b">
        <f>ABS(B71-B77)&lt;=3</f>
        <v>1</v>
      </c>
      <c r="C78" s="33" t="b">
        <f>ABS(C71-C77)&lt;=3</f>
        <v>1</v>
      </c>
      <c r="D78" s="33" t="b">
        <f>ABS(D71-D77)&lt;=3</f>
        <v>1</v>
      </c>
      <c r="E78" s="33" t="b">
        <f>ABS(E71-E77)&lt;=3</f>
        <v>1</v>
      </c>
      <c r="F78" s="33" t="b">
        <f>ABS(F71-F77)&lt;=3</f>
        <v>1</v>
      </c>
      <c r="G78" s="33" t="b">
        <f>ABS(G71-G77)&lt;=3</f>
        <v>1</v>
      </c>
      <c r="H78" s="33" t="b">
        <f>ABS(H71-H77)&lt;=3</f>
        <v>1</v>
      </c>
      <c r="I78" s="53" t="s">
        <v>40</v>
      </c>
      <c r="J78" s="20"/>
    </row>
    <row r="79">
      <c r="A79" s="9"/>
      <c r="B79" s="9"/>
      <c r="C79" s="9"/>
      <c r="D79" s="9"/>
      <c r="E79" s="9"/>
      <c r="F79" s="9"/>
      <c r="G79" s="9"/>
      <c r="H79" s="9"/>
      <c r="I79" s="9"/>
      <c r="J79" s="20"/>
    </row>
    <row r="80">
      <c r="A80" s="9"/>
      <c r="B80" s="9"/>
      <c r="C80" s="9"/>
      <c r="D80" s="9"/>
      <c r="E80" s="9"/>
      <c r="F80" s="9"/>
      <c r="G80" s="9"/>
      <c r="H80" s="9"/>
      <c r="I80" s="9"/>
      <c r="J80" s="20"/>
    </row>
    <row r="81">
      <c r="A81" s="9"/>
      <c r="B81" s="9"/>
      <c r="C81" s="9"/>
      <c r="D81" s="9"/>
      <c r="E81" s="9"/>
      <c r="F81" s="9"/>
      <c r="G81" s="9"/>
      <c r="H81" s="9"/>
      <c r="I81" s="9"/>
      <c r="J81" s="20"/>
    </row>
    <row r="82">
      <c r="A82" s="9"/>
      <c r="B82" s="9"/>
      <c r="C82" s="9"/>
      <c r="D82" s="9"/>
      <c r="E82" s="9"/>
      <c r="F82" s="9"/>
      <c r="G82" s="9"/>
      <c r="H82" s="9"/>
      <c r="I82" s="9"/>
      <c r="J82" s="9"/>
    </row>
    <row r="83">
      <c r="A83" s="9"/>
      <c r="B83" s="9"/>
      <c r="C83" s="9"/>
      <c r="D83" s="9"/>
      <c r="E83" s="9"/>
      <c r="F83" s="9"/>
      <c r="G83" s="9"/>
      <c r="H83" s="9"/>
      <c r="I83" s="9"/>
      <c r="J83" s="9"/>
    </row>
    <row r="84">
      <c r="A84" s="9"/>
      <c r="B84" s="9"/>
      <c r="C84" s="9"/>
      <c r="D84" s="9"/>
      <c r="E84" s="9"/>
      <c r="F84" s="9"/>
      <c r="G84" s="9"/>
      <c r="H84" s="9"/>
      <c r="I84" s="9"/>
      <c r="J84" s="9"/>
    </row>
    <row r="85">
      <c r="A85" s="9"/>
      <c r="B85" s="9"/>
      <c r="C85" s="9"/>
      <c r="D85" s="9"/>
      <c r="E85" s="9"/>
      <c r="F85" s="9"/>
      <c r="G85" s="9"/>
      <c r="H85" s="9"/>
      <c r="I85" s="9"/>
      <c r="J85" s="9"/>
    </row>
    <row r="86">
      <c r="A86" s="9"/>
      <c r="B86" s="9"/>
      <c r="C86" s="9"/>
      <c r="D86" s="9"/>
      <c r="E86" s="9"/>
      <c r="F86" s="9"/>
      <c r="G86" s="9"/>
      <c r="H86" s="9"/>
      <c r="I86" s="9"/>
      <c r="J86" s="9"/>
    </row>
    <row r="87">
      <c r="A87" s="9"/>
      <c r="B87" s="9"/>
      <c r="C87" s="9"/>
      <c r="D87" s="9"/>
      <c r="E87" s="9"/>
      <c r="F87" s="9"/>
      <c r="G87" s="9"/>
      <c r="H87" s="9"/>
      <c r="I87" s="9"/>
      <c r="J87" s="9"/>
    </row>
    <row r="88">
      <c r="A88" s="9"/>
      <c r="B88" s="9"/>
      <c r="C88" s="9"/>
      <c r="D88" s="9"/>
      <c r="E88" s="9"/>
      <c r="F88" s="9"/>
      <c r="G88" s="9"/>
      <c r="H88" s="9"/>
      <c r="I88" s="9"/>
      <c r="J88" s="9"/>
    </row>
    <row r="89">
      <c r="A89" s="9"/>
      <c r="B89" s="9"/>
      <c r="C89" s="9"/>
      <c r="D89" s="9"/>
      <c r="E89" s="9"/>
      <c r="F89" s="9"/>
      <c r="G89" s="9"/>
      <c r="H89" s="9"/>
      <c r="I89" s="9"/>
      <c r="J89" s="9"/>
    </row>
    <row r="90">
      <c r="A90" s="9"/>
      <c r="B90" s="9"/>
      <c r="C90" s="9"/>
      <c r="D90" s="9"/>
      <c r="E90" s="9"/>
      <c r="F90" s="9"/>
      <c r="G90" s="9"/>
      <c r="H90" s="9"/>
      <c r="I90" s="9"/>
      <c r="J90" s="9"/>
    </row>
    <row r="91">
      <c r="A91" s="9"/>
      <c r="B91" s="9"/>
      <c r="C91" s="9"/>
      <c r="D91" s="9"/>
      <c r="E91" s="9"/>
      <c r="F91" s="9"/>
      <c r="G91" s="9"/>
      <c r="H91" s="9"/>
      <c r="I91" s="9"/>
      <c r="J91" s="9"/>
    </row>
  </sheetData>
</worksheet>
</file>

<file path=xl/worksheets/sheet7.xml><?xml version="1.0" encoding="utf-8"?>
<worksheet xmlns="http://schemas.openxmlformats.org/spreadsheetml/2006/main" xmlns:r="http://schemas.openxmlformats.org/officeDocument/2006/relationships">
  <dimension ref="A1:J49"/>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361</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362</v>
      </c>
      <c r="B8" s="33"/>
      <c r="C8" s="33"/>
      <c r="D8" s="33"/>
      <c r="E8" s="33"/>
      <c r="F8" s="33"/>
      <c r="G8" s="33"/>
      <c r="H8" s="33"/>
      <c r="I8" s="53"/>
      <c r="J8" s="20"/>
    </row>
    <row r="9">
      <c r="A9" s="9" t="s">
        <v>363</v>
      </c>
      <c r="B9" s="40" t="s">
        <v>40</v>
      </c>
      <c r="C9" s="40" t="s">
        <v>40</v>
      </c>
      <c r="D9" s="40" t="s">
        <v>40</v>
      </c>
      <c r="E9" s="40" t="s">
        <v>40</v>
      </c>
      <c r="F9" s="40" t="s">
        <v>40</v>
      </c>
      <c r="G9" s="40" t="s">
        <v>40</v>
      </c>
      <c r="H9" s="40" t="s">
        <v>40</v>
      </c>
      <c r="I9" s="41" t="s">
        <v>40</v>
      </c>
      <c r="J9" s="20" t="s">
        <v>364</v>
      </c>
    </row>
    <row r="10" ht="26.25">
      <c r="A10" s="106" t="s">
        <v>365</v>
      </c>
      <c r="B10" s="40" t="s">
        <v>40</v>
      </c>
      <c r="C10" s="40" t="s">
        <v>40</v>
      </c>
      <c r="D10" s="40" t="s">
        <v>40</v>
      </c>
      <c r="E10" s="40" t="s">
        <v>40</v>
      </c>
      <c r="F10" s="40" t="s">
        <v>40</v>
      </c>
      <c r="G10" s="40" t="s">
        <v>40</v>
      </c>
      <c r="H10" s="40" t="s">
        <v>40</v>
      </c>
      <c r="I10" s="41" t="s">
        <v>40</v>
      </c>
      <c r="J10" s="20" t="s">
        <v>366</v>
      </c>
    </row>
    <row r="11">
      <c r="A11" s="23" t="s">
        <v>367</v>
      </c>
      <c r="B11" s="29" t="s">
        <v>40</v>
      </c>
      <c r="C11" s="29" t="s">
        <v>40</v>
      </c>
      <c r="D11" s="29" t="s">
        <v>40</v>
      </c>
      <c r="E11" s="29" t="s">
        <v>40</v>
      </c>
      <c r="F11" s="29" t="s">
        <v>40</v>
      </c>
      <c r="G11" s="29" t="s">
        <v>40</v>
      </c>
      <c r="H11" s="29" t="s">
        <v>40</v>
      </c>
      <c r="I11" s="48">
        <v>-0.08</v>
      </c>
      <c r="J11" s="20" t="s">
        <v>368</v>
      </c>
    </row>
    <row r="12">
      <c r="A12" s="9" t="s">
        <v>369</v>
      </c>
      <c r="B12" s="40" t="s">
        <v>40</v>
      </c>
      <c r="C12" s="40" t="s">
        <v>40</v>
      </c>
      <c r="D12" s="40" t="s">
        <v>40</v>
      </c>
      <c r="E12" s="40" t="s">
        <v>40</v>
      </c>
      <c r="F12" s="40" t="s">
        <v>40</v>
      </c>
      <c r="G12" s="40" t="s">
        <v>40</v>
      </c>
      <c r="H12" s="40" t="s">
        <v>40</v>
      </c>
      <c r="I12" s="41" t="s">
        <v>40</v>
      </c>
      <c r="J12" s="20" t="s">
        <v>364</v>
      </c>
    </row>
    <row r="13">
      <c r="A13" s="23" t="s">
        <v>370</v>
      </c>
      <c r="B13" s="29" t="s">
        <v>40</v>
      </c>
      <c r="C13" s="29" t="s">
        <v>40</v>
      </c>
      <c r="D13" s="29" t="s">
        <v>40</v>
      </c>
      <c r="E13" s="29" t="s">
        <v>40</v>
      </c>
      <c r="F13" s="29" t="s">
        <v>40</v>
      </c>
      <c r="G13" s="29" t="s">
        <v>40</v>
      </c>
      <c r="H13" s="29" t="s">
        <v>40</v>
      </c>
      <c r="I13" s="48">
        <v>0.027</v>
      </c>
      <c r="J13" s="20" t="s">
        <v>371</v>
      </c>
    </row>
    <row r="14">
      <c r="A14" s="9" t="s">
        <v>372</v>
      </c>
      <c r="B14" s="40" t="s">
        <v>40</v>
      </c>
      <c r="C14" s="40" t="s">
        <v>40</v>
      </c>
      <c r="D14" s="40" t="s">
        <v>40</v>
      </c>
      <c r="E14" s="40" t="s">
        <v>40</v>
      </c>
      <c r="F14" s="40" t="s">
        <v>40</v>
      </c>
      <c r="G14" s="40" t="s">
        <v>40</v>
      </c>
      <c r="H14" s="40" t="s">
        <v>40</v>
      </c>
      <c r="I14" s="41" t="s">
        <v>40</v>
      </c>
      <c r="J14" s="20" t="s">
        <v>373</v>
      </c>
    </row>
    <row r="15">
      <c r="A15" s="9"/>
      <c r="B15" s="9"/>
      <c r="C15" s="9"/>
      <c r="D15" s="9"/>
      <c r="E15" s="9"/>
      <c r="F15" s="9"/>
      <c r="G15" s="9"/>
      <c r="H15" s="9"/>
      <c r="I15" s="69"/>
      <c r="J15" s="20"/>
    </row>
    <row r="16">
      <c r="A16" s="35" t="s">
        <v>374</v>
      </c>
      <c r="B16" s="33"/>
      <c r="C16" s="33"/>
      <c r="D16" s="33"/>
      <c r="E16" s="33"/>
      <c r="F16" s="33"/>
      <c r="G16" s="33"/>
      <c r="H16" s="33"/>
      <c r="I16" s="53"/>
      <c r="J16" s="20"/>
    </row>
    <row r="17">
      <c r="A17" s="35" t="s">
        <v>375</v>
      </c>
      <c r="B17" s="44">
        <v>1876</v>
      </c>
      <c r="C17" s="44">
        <v>2349</v>
      </c>
      <c r="D17" s="44">
        <v>2717</v>
      </c>
      <c r="E17" s="44">
        <v>2893</v>
      </c>
      <c r="F17" s="45">
        <f>SUM(B17:E17)</f>
        <v>9835</v>
      </c>
      <c r="G17" s="44">
        <v>2331</v>
      </c>
      <c r="H17" s="44">
        <v>2413</v>
      </c>
      <c r="I17" s="52">
        <f>D17*(1+I11)*(1+I13)</f>
        <v>2567.1302800000003</v>
      </c>
      <c r="J17" s="20" t="s">
        <v>376</v>
      </c>
    </row>
    <row r="18">
      <c r="A18" s="23" t="s">
        <v>217</v>
      </c>
      <c r="B18" s="29" t="s">
        <v>40</v>
      </c>
      <c r="C18" s="29" t="s">
        <v>40</v>
      </c>
      <c r="D18" s="29" t="s">
        <v>40</v>
      </c>
      <c r="E18" s="29" t="s">
        <v>40</v>
      </c>
      <c r="F18" s="29" t="s">
        <v>40</v>
      </c>
      <c r="G18" s="29">
        <f>IFERROR(G17/B17-1,"n.a.")</f>
        <v>0.2425373134328359</v>
      </c>
      <c r="H18" s="29">
        <f>IFERROR(H17/C17-1,"n.a.")</f>
        <v>0.027245636441038723</v>
      </c>
      <c r="I18" s="50">
        <f>IFERROR(I17/D17-1,"n.a.")</f>
        <v>-0.055159999999999876</v>
      </c>
      <c r="J18" s="20"/>
    </row>
    <row r="19">
      <c r="A19" s="9" t="s">
        <v>189</v>
      </c>
      <c r="B19" s="40" t="s">
        <v>40</v>
      </c>
      <c r="C19" s="40">
        <f>IFERROR(C17-B17,"n.a.")</f>
        <v>473</v>
      </c>
      <c r="D19" s="40">
        <f>IFERROR(D17-C17,"n.a.")</f>
        <v>368</v>
      </c>
      <c r="E19" s="40">
        <f>IFERROR(E17-D17,"n.a.")</f>
        <v>176</v>
      </c>
      <c r="F19" s="40" t="s">
        <v>40</v>
      </c>
      <c r="G19" s="40">
        <f>IFERROR(G17-E17,"n.a.")</f>
        <v>-562</v>
      </c>
      <c r="H19" s="40">
        <f>IFERROR(H17-G17,"n.a.")</f>
        <v>82</v>
      </c>
      <c r="I19" s="41">
        <f>IFERROR(I17-H17,"n.a.")</f>
        <v>154.1302800000003</v>
      </c>
      <c r="J19" s="20"/>
    </row>
    <row r="20">
      <c r="A20" s="23" t="s">
        <v>96</v>
      </c>
      <c r="B20" s="29" t="s">
        <v>40</v>
      </c>
      <c r="C20" s="29">
        <f>IFERROR(C17/B17-1,"n.a.")</f>
        <v>0.25213219616204685</v>
      </c>
      <c r="D20" s="29">
        <f>IFERROR(D17/C17-1,"n.a.")</f>
        <v>0.15666240953597277</v>
      </c>
      <c r="E20" s="29">
        <f>IFERROR(E17/D17-1,"n.a.")</f>
        <v>0.06477732793522262</v>
      </c>
      <c r="F20" s="29" t="s">
        <v>40</v>
      </c>
      <c r="G20" s="29">
        <f>IFERROR(G17/E17-1,"n.a.")</f>
        <v>-0.19426201175250601</v>
      </c>
      <c r="H20" s="29">
        <f>IFERROR(H17/G17-1,"n.a.")</f>
        <v>0.03517803517803508</v>
      </c>
      <c r="I20" s="50">
        <f>IFERROR(I17/H17-1,"n.a.")</f>
        <v>0.06387496062992137</v>
      </c>
      <c r="J20" s="20"/>
    </row>
    <row r="21">
      <c r="A21" s="9" t="s">
        <v>185</v>
      </c>
      <c r="B21" s="40">
        <f>B17</f>
        <v>1876</v>
      </c>
      <c r="C21" s="40">
        <f>C17</f>
        <v>2349</v>
      </c>
      <c r="D21" s="40">
        <f>D17</f>
        <v>2717</v>
      </c>
      <c r="E21" s="40">
        <f>E17</f>
        <v>2893</v>
      </c>
      <c r="F21" s="40">
        <f>SUM(B21:E21)</f>
        <v>9835</v>
      </c>
      <c r="G21" s="40">
        <f>G17</f>
        <v>2331</v>
      </c>
      <c r="H21" s="40">
        <f>H17</f>
        <v>2413</v>
      </c>
      <c r="I21" s="41">
        <f>I17</f>
        <v>2567.1302800000003</v>
      </c>
      <c r="J21" s="20"/>
    </row>
    <row r="22">
      <c r="A22" s="23" t="s">
        <v>98</v>
      </c>
      <c r="B22" s="29" t="s">
        <v>40</v>
      </c>
      <c r="C22" s="29" t="s">
        <v>40</v>
      </c>
      <c r="D22" s="29" t="s">
        <v>40</v>
      </c>
      <c r="E22" s="29" t="s">
        <v>40</v>
      </c>
      <c r="F22" s="29" t="s">
        <v>40</v>
      </c>
      <c r="G22" s="29">
        <f>IFERROR(G21/B21-1,"n.a.")</f>
        <v>0.2425373134328359</v>
      </c>
      <c r="H22" s="29">
        <f>IFERROR(H21/C21-1,"n.a.")</f>
        <v>0.027245636441038723</v>
      </c>
      <c r="I22" s="50">
        <f>IFERROR(I21/D21-1,"n.a.")</f>
        <v>-0.055159999999999876</v>
      </c>
      <c r="J22" s="20"/>
    </row>
    <row r="23">
      <c r="A23" s="23" t="s">
        <v>99</v>
      </c>
      <c r="B23" s="29" t="s">
        <v>40</v>
      </c>
      <c r="C23" s="29" t="s">
        <v>40</v>
      </c>
      <c r="D23" s="29" t="s">
        <v>40</v>
      </c>
      <c r="E23" s="29" t="s">
        <v>40</v>
      </c>
      <c r="F23" s="29" t="s">
        <v>40</v>
      </c>
      <c r="G23" s="65">
        <v>0</v>
      </c>
      <c r="H23" s="65">
        <v>0</v>
      </c>
      <c r="I23" s="48">
        <v>0</v>
      </c>
      <c r="J23" s="20" t="s">
        <v>225</v>
      </c>
    </row>
    <row r="24">
      <c r="A24" s="23" t="s">
        <v>106</v>
      </c>
      <c r="B24" s="29" t="s">
        <v>40</v>
      </c>
      <c r="C24" s="29" t="s">
        <v>40</v>
      </c>
      <c r="D24" s="29" t="s">
        <v>40</v>
      </c>
      <c r="E24" s="29" t="s">
        <v>40</v>
      </c>
      <c r="F24" s="29" t="s">
        <v>40</v>
      </c>
      <c r="G24" s="29" t="s">
        <v>40</v>
      </c>
      <c r="H24" s="29" t="s">
        <v>40</v>
      </c>
      <c r="I24" s="50" t="s">
        <v>40</v>
      </c>
      <c r="J24" s="20" t="s">
        <v>377</v>
      </c>
    </row>
    <row r="25">
      <c r="A25" s="23" t="s">
        <v>103</v>
      </c>
      <c r="B25" s="29" t="s">
        <v>40</v>
      </c>
      <c r="C25" s="29" t="s">
        <v>40</v>
      </c>
      <c r="D25" s="29" t="s">
        <v>40</v>
      </c>
      <c r="E25" s="29" t="s">
        <v>40</v>
      </c>
      <c r="F25" s="29" t="s">
        <v>40</v>
      </c>
      <c r="G25" s="29" t="str">
        <f>IFERROR(IF(OR(ISTEXT(G22),ISTEXT(G23),ISTEXT(G24)),"n.a.",(1+G22)/((1+G23)*(1+G24))-1),"n.a.")</f>
        <v>n.a.</v>
      </c>
      <c r="H25" s="29" t="str">
        <f>IFERROR(IF(OR(ISTEXT(H22),ISTEXT(H23),ISTEXT(H24)),"n.a.",(1+H22)/((1+H23)*(1+H24))-1),"n.a.")</f>
        <v>n.a.</v>
      </c>
      <c r="I25" s="50" t="str">
        <f>IFERROR(IF(OR(ISTEXT(I22),ISTEXT(I23),ISTEXT(I24)),"n.a.",(1+I22)/((1+I23)*(1+I24))-1),"n.a.")</f>
        <v>n.a.</v>
      </c>
      <c r="J25" s="20"/>
    </row>
    <row r="26">
      <c r="A26" s="9" t="s">
        <v>239</v>
      </c>
      <c r="B26" s="39">
        <v>1463</v>
      </c>
      <c r="C26" s="39">
        <v>1708</v>
      </c>
      <c r="D26" s="39">
        <v>1777</v>
      </c>
      <c r="E26" s="39">
        <v>1874</v>
      </c>
      <c r="F26" s="40">
        <f>SUM(B26:E26)</f>
        <v>6822</v>
      </c>
      <c r="G26" s="39">
        <v>1780</v>
      </c>
      <c r="H26" s="39">
        <v>1805</v>
      </c>
      <c r="I26" s="41">
        <f>D26*(1+I27)</f>
        <v>1794.77</v>
      </c>
      <c r="J26" s="20" t="s">
        <v>225</v>
      </c>
    </row>
    <row r="27">
      <c r="A27" s="23" t="s">
        <v>150</v>
      </c>
      <c r="B27" s="29" t="s">
        <v>40</v>
      </c>
      <c r="C27" s="29" t="s">
        <v>40</v>
      </c>
      <c r="D27" s="29" t="s">
        <v>40</v>
      </c>
      <c r="E27" s="29" t="s">
        <v>40</v>
      </c>
      <c r="F27" s="29" t="s">
        <v>40</v>
      </c>
      <c r="G27" s="29">
        <f>IFERROR(G26/B26-1,"n.a.")</f>
        <v>0.21667805878332191</v>
      </c>
      <c r="H27" s="29">
        <f>IFERROR(H26/C26-1,"n.a.")</f>
        <v>0.05679156908665095</v>
      </c>
      <c r="I27" s="48">
        <v>0.01</v>
      </c>
      <c r="J27" s="20" t="s">
        <v>378</v>
      </c>
    </row>
    <row r="28">
      <c r="A28" s="9" t="s">
        <v>189</v>
      </c>
      <c r="B28" s="40" t="s">
        <v>40</v>
      </c>
      <c r="C28" s="40">
        <f>IFERROR(C26-B26,"n.a.")</f>
        <v>245</v>
      </c>
      <c r="D28" s="40">
        <f>IFERROR(D26-C26,"n.a.")</f>
        <v>69</v>
      </c>
      <c r="E28" s="40">
        <f>IFERROR(E26-D26,"n.a.")</f>
        <v>97</v>
      </c>
      <c r="F28" s="40" t="s">
        <v>40</v>
      </c>
      <c r="G28" s="40">
        <f>IFERROR(G26-E26,"n.a.")</f>
        <v>-94</v>
      </c>
      <c r="H28" s="40">
        <f>IFERROR(H26-G26,"n.a.")</f>
        <v>25</v>
      </c>
      <c r="I28" s="41">
        <f>IFERROR(I26-H26,"n.a.")</f>
        <v>-10.230000000000018</v>
      </c>
      <c r="J28" s="20"/>
    </row>
    <row r="29">
      <c r="A29" s="35" t="s">
        <v>379</v>
      </c>
      <c r="B29" s="45">
        <f>B17-B26</f>
        <v>413</v>
      </c>
      <c r="C29" s="45">
        <f>C17-C26</f>
        <v>641</v>
      </c>
      <c r="D29" s="45">
        <f>D17-D26</f>
        <v>940</v>
      </c>
      <c r="E29" s="45">
        <f>E17-E26</f>
        <v>1019</v>
      </c>
      <c r="F29" s="45">
        <f>SUM(B29:E29)</f>
        <v>3013</v>
      </c>
      <c r="G29" s="45">
        <f>G17-G26</f>
        <v>551</v>
      </c>
      <c r="H29" s="45">
        <f>H17-H26</f>
        <v>608</v>
      </c>
      <c r="I29" s="52">
        <f>I17-I26</f>
        <v>772.3602800000003</v>
      </c>
      <c r="J29" s="20"/>
    </row>
    <row r="30">
      <c r="A30" s="23" t="s">
        <v>217</v>
      </c>
      <c r="B30" s="29" t="s">
        <v>40</v>
      </c>
      <c r="C30" s="29" t="s">
        <v>40</v>
      </c>
      <c r="D30" s="29" t="s">
        <v>40</v>
      </c>
      <c r="E30" s="29" t="s">
        <v>40</v>
      </c>
      <c r="F30" s="29" t="s">
        <v>40</v>
      </c>
      <c r="G30" s="29">
        <f>IFERROR(G29/B29-1,"n.a.")</f>
        <v>0.334140435835351</v>
      </c>
      <c r="H30" s="29">
        <f>IFERROR(H29/C29-1,"n.a.")</f>
        <v>-0.05148205928237126</v>
      </c>
      <c r="I30" s="50">
        <f>IFERROR(I29/D29-1,"n.a.")</f>
        <v>-0.17834012765957408</v>
      </c>
      <c r="J30" s="20"/>
    </row>
    <row r="31">
      <c r="A31" s="9" t="s">
        <v>189</v>
      </c>
      <c r="B31" s="40" t="s">
        <v>40</v>
      </c>
      <c r="C31" s="40">
        <f>IFERROR(C29-B29,"n.a.")</f>
        <v>228</v>
      </c>
      <c r="D31" s="40">
        <f>IFERROR(D29-C29,"n.a.")</f>
        <v>299</v>
      </c>
      <c r="E31" s="40">
        <f>IFERROR(E29-D29,"n.a.")</f>
        <v>79</v>
      </c>
      <c r="F31" s="40" t="s">
        <v>40</v>
      </c>
      <c r="G31" s="40">
        <f>IFERROR(G29-E29,"n.a.")</f>
        <v>-468</v>
      </c>
      <c r="H31" s="40">
        <f>IFERROR(H29-G29,"n.a.")</f>
        <v>57</v>
      </c>
      <c r="I31" s="41">
        <f>IFERROR(I29-H29,"n.a.")</f>
        <v>164.36028000000033</v>
      </c>
      <c r="J31" s="20"/>
    </row>
    <row r="32">
      <c r="A32" s="23" t="s">
        <v>219</v>
      </c>
      <c r="B32" s="29">
        <f>B29/B17</f>
        <v>0.22014925373134328</v>
      </c>
      <c r="C32" s="29">
        <f>C29/C17</f>
        <v>0.2728820774797786</v>
      </c>
      <c r="D32" s="29">
        <f>D29/D17</f>
        <v>0.3459698196540302</v>
      </c>
      <c r="E32" s="29">
        <f>E29/E17</f>
        <v>0.3522295195298998</v>
      </c>
      <c r="F32" s="29">
        <f>F29/F17</f>
        <v>0.3063548551093035</v>
      </c>
      <c r="G32" s="29">
        <f>G29/G17</f>
        <v>0.23637923637923638</v>
      </c>
      <c r="H32" s="29">
        <f>H29/H17</f>
        <v>0.25196850393700787</v>
      </c>
      <c r="I32" s="50">
        <f>I29/I17</f>
        <v>0.3008652447510378</v>
      </c>
      <c r="J32" s="20"/>
    </row>
    <row r="33">
      <c r="A33" s="23" t="s">
        <v>139</v>
      </c>
      <c r="B33" s="51" t="s">
        <v>40</v>
      </c>
      <c r="C33" s="51" t="s">
        <v>40</v>
      </c>
      <c r="D33" s="51" t="s">
        <v>40</v>
      </c>
      <c r="E33" s="51" t="s">
        <v>40</v>
      </c>
      <c r="F33" s="51" t="s">
        <v>40</v>
      </c>
      <c r="G33" s="51">
        <f>IFERROR((G32-B32)*10000,"n.a.")</f>
        <v>162.29982647893104</v>
      </c>
      <c r="H33" s="51">
        <f>IFERROR((H32-C32)*10000,"n.a.")</f>
        <v>-209.13573542770735</v>
      </c>
      <c r="I33" s="46">
        <f>IFERROR((I32-D32)*10000,"n.a.")</f>
        <v>-451.04574902992357</v>
      </c>
      <c r="J33" s="20"/>
    </row>
    <row r="34">
      <c r="A34" s="23" t="s">
        <v>140</v>
      </c>
      <c r="B34" s="51" t="s">
        <v>40</v>
      </c>
      <c r="C34" s="51">
        <f>IFERROR((C32-B32)*10000,"n.a.")</f>
        <v>527.3282374843533</v>
      </c>
      <c r="D34" s="51">
        <f>IFERROR((D32-C32)*10000,"n.a.")</f>
        <v>730.8774217425157</v>
      </c>
      <c r="E34" s="51">
        <f>IFERROR((E32-D32)*10000,"n.a.")</f>
        <v>62.59699875869607</v>
      </c>
      <c r="F34" s="51" t="s">
        <v>40</v>
      </c>
      <c r="G34" s="51">
        <f>IFERROR((G32-E32)*10000,"n.a.")</f>
        <v>-1158.502831506634</v>
      </c>
      <c r="H34" s="51">
        <f>IFERROR((H32-G32)*10000,"n.a.")</f>
        <v>155.89267557771487</v>
      </c>
      <c r="I34" s="46">
        <f>IFERROR((I32-H32)*10000,"n.a.")</f>
        <v>488.9674081402995</v>
      </c>
      <c r="J34" s="20"/>
    </row>
    <row r="35">
      <c r="A35" s="9" t="s">
        <v>380</v>
      </c>
      <c r="B35" s="39">
        <v>413</v>
      </c>
      <c r="C35" s="39">
        <v>641</v>
      </c>
      <c r="D35" s="39">
        <v>940</v>
      </c>
      <c r="E35" s="39">
        <v>1019</v>
      </c>
      <c r="F35" s="40">
        <f>SUM(B35:E35)</f>
        <v>3013</v>
      </c>
      <c r="G35" s="39">
        <v>551</v>
      </c>
      <c r="H35" s="39">
        <v>609</v>
      </c>
      <c r="I35" s="41" t="s">
        <v>40</v>
      </c>
      <c r="J35" s="20" t="s">
        <v>225</v>
      </c>
    </row>
    <row r="36">
      <c r="A36" s="9" t="s">
        <v>222</v>
      </c>
      <c r="B36" s="33" t="b">
        <f>ABS(B29-B35)&lt;=3</f>
        <v>1</v>
      </c>
      <c r="C36" s="33" t="b">
        <f>ABS(C29-C35)&lt;=3</f>
        <v>1</v>
      </c>
      <c r="D36" s="33" t="b">
        <f>ABS(D29-D35)&lt;=3</f>
        <v>1</v>
      </c>
      <c r="E36" s="33" t="b">
        <f>ABS(E29-E35)&lt;=3</f>
        <v>1</v>
      </c>
      <c r="F36" s="33" t="b">
        <f>ABS(F29-F35)&lt;=3</f>
        <v>1</v>
      </c>
      <c r="G36" s="33" t="b">
        <f>ABS(G29-G35)&lt;=3</f>
        <v>1</v>
      </c>
      <c r="H36" s="33" t="b">
        <f>ABS(H29-H35)&lt;=3</f>
        <v>1</v>
      </c>
      <c r="I36" s="53" t="s">
        <v>40</v>
      </c>
      <c r="J36" s="20"/>
    </row>
    <row r="37">
      <c r="A37" s="9"/>
      <c r="B37" s="9"/>
      <c r="C37" s="9"/>
      <c r="D37" s="9"/>
      <c r="E37" s="9"/>
      <c r="F37" s="9"/>
      <c r="G37" s="9"/>
      <c r="H37" s="9"/>
      <c r="I37" s="9"/>
      <c r="J37" s="20"/>
    </row>
    <row r="38">
      <c r="A38" s="9"/>
      <c r="B38" s="9"/>
      <c r="C38" s="9"/>
      <c r="D38" s="9"/>
      <c r="E38" s="9"/>
      <c r="F38" s="9"/>
      <c r="G38" s="9"/>
      <c r="H38" s="9"/>
      <c r="I38" s="9"/>
      <c r="J38" s="20"/>
    </row>
    <row r="39">
      <c r="A39" s="9"/>
      <c r="B39" s="9"/>
      <c r="C39" s="9"/>
      <c r="D39" s="9"/>
      <c r="E39" s="9"/>
      <c r="F39" s="9"/>
      <c r="G39" s="9"/>
      <c r="H39" s="9"/>
      <c r="I39" s="9"/>
      <c r="J39" s="20"/>
    </row>
    <row r="40">
      <c r="A40" s="9"/>
      <c r="B40" s="9"/>
      <c r="C40" s="9"/>
      <c r="D40" s="9"/>
      <c r="E40" s="9"/>
      <c r="F40" s="9"/>
      <c r="G40" s="9"/>
      <c r="H40" s="9"/>
      <c r="I40" s="9"/>
      <c r="J40" s="9"/>
    </row>
    <row r="41">
      <c r="A41" s="9"/>
      <c r="B41" s="9"/>
      <c r="C41" s="9"/>
      <c r="D41" s="9"/>
      <c r="E41" s="9"/>
      <c r="F41" s="9"/>
      <c r="G41" s="9"/>
      <c r="H41" s="9"/>
      <c r="I41" s="9"/>
      <c r="J41" s="9"/>
    </row>
    <row r="42">
      <c r="A42" s="9"/>
      <c r="B42" s="9"/>
      <c r="C42" s="9"/>
      <c r="D42" s="9"/>
      <c r="E42" s="9"/>
      <c r="F42" s="9"/>
      <c r="G42" s="9"/>
      <c r="H42" s="9"/>
      <c r="I42" s="9"/>
      <c r="J42" s="9"/>
    </row>
    <row r="43">
      <c r="A43" s="9"/>
      <c r="B43" s="9"/>
      <c r="C43" s="9"/>
      <c r="D43" s="9"/>
      <c r="E43" s="9"/>
      <c r="F43" s="9"/>
      <c r="G43" s="9"/>
      <c r="H43" s="9"/>
      <c r="I43" s="9"/>
      <c r="J43" s="9"/>
    </row>
    <row r="44">
      <c r="A44" s="9"/>
      <c r="B44" s="9"/>
      <c r="C44" s="9"/>
      <c r="D44" s="9"/>
      <c r="E44" s="9"/>
      <c r="F44" s="9"/>
      <c r="G44" s="9"/>
      <c r="H44" s="9"/>
      <c r="I44" s="9"/>
      <c r="J44" s="9"/>
    </row>
    <row r="45">
      <c r="A45" s="9"/>
      <c r="B45" s="9"/>
      <c r="C45" s="9"/>
      <c r="D45" s="9"/>
      <c r="E45" s="9"/>
      <c r="F45" s="9"/>
      <c r="G45" s="9"/>
      <c r="H45" s="9"/>
      <c r="I45" s="9"/>
      <c r="J45" s="9"/>
    </row>
    <row r="46">
      <c r="A46" s="9"/>
      <c r="B46" s="9"/>
      <c r="C46" s="9"/>
      <c r="D46" s="9"/>
      <c r="E46" s="9"/>
      <c r="F46" s="9"/>
      <c r="G46" s="9"/>
      <c r="H46" s="9"/>
      <c r="I46" s="9"/>
      <c r="J46" s="9"/>
    </row>
    <row r="47">
      <c r="A47" s="9"/>
      <c r="B47" s="9"/>
      <c r="C47" s="9"/>
      <c r="D47" s="9"/>
      <c r="E47" s="9"/>
      <c r="F47" s="9"/>
      <c r="G47" s="9"/>
      <c r="H47" s="9"/>
      <c r="I47" s="9"/>
      <c r="J47" s="9"/>
    </row>
    <row r="48">
      <c r="A48" s="9"/>
      <c r="B48" s="9"/>
      <c r="C48" s="9"/>
      <c r="D48" s="9"/>
      <c r="E48" s="9"/>
      <c r="F48" s="9"/>
      <c r="G48" s="9"/>
      <c r="H48" s="9"/>
      <c r="I48" s="9"/>
      <c r="J48" s="9"/>
    </row>
    <row r="49">
      <c r="A49" s="9"/>
      <c r="B49" s="9"/>
      <c r="C49" s="9"/>
      <c r="D49" s="9"/>
      <c r="E49" s="9"/>
      <c r="F49" s="9"/>
      <c r="G49" s="9"/>
      <c r="H49" s="9"/>
      <c r="I49" s="9"/>
      <c r="J49" s="9"/>
    </row>
  </sheetData>
</worksheet>
</file>

<file path=xl/worksheets/sheet8.xml><?xml version="1.0" encoding="utf-8"?>
<worksheet xmlns="http://schemas.openxmlformats.org/spreadsheetml/2006/main" xmlns:r="http://schemas.openxmlformats.org/officeDocument/2006/relationships">
  <dimension ref="A1:J164"/>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381</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382</v>
      </c>
      <c r="B8" s="33"/>
      <c r="C8" s="33"/>
      <c r="D8" s="33"/>
      <c r="E8" s="33"/>
      <c r="F8" s="33"/>
      <c r="G8" s="33"/>
      <c r="H8" s="33"/>
      <c r="I8" s="53"/>
      <c r="J8" s="20"/>
    </row>
    <row r="9">
      <c r="A9" s="35" t="s">
        <v>383</v>
      </c>
      <c r="B9" s="78">
        <f>Inputs!B16</f>
        <v>29887</v>
      </c>
      <c r="C9" s="78">
        <f>Inputs!C16</f>
        <v>30313</v>
      </c>
      <c r="D9" s="78">
        <f>Inputs!D16</f>
        <v>31198</v>
      </c>
      <c r="E9" s="78">
        <f>Inputs!E16</f>
        <v>32310</v>
      </c>
      <c r="F9" s="45">
        <f>SUM(B9:E9)</f>
        <v>123708</v>
      </c>
      <c r="G9" s="78">
        <f>Inputs!G16</f>
        <v>31457</v>
      </c>
      <c r="H9" s="78">
        <f>Inputs!H16</f>
        <v>29940</v>
      </c>
      <c r="I9" s="76">
        <f>'Revenue summary'!I28</f>
        <v>29356.516542580845</v>
      </c>
      <c r="J9" s="20" t="s">
        <v>384</v>
      </c>
    </row>
    <row r="10">
      <c r="A10" s="23" t="s">
        <v>217</v>
      </c>
      <c r="B10" s="29" t="s">
        <v>40</v>
      </c>
      <c r="C10" s="29" t="s">
        <v>40</v>
      </c>
      <c r="D10" s="29" t="s">
        <v>40</v>
      </c>
      <c r="E10" s="29" t="s">
        <v>40</v>
      </c>
      <c r="F10" s="29" t="s">
        <v>40</v>
      </c>
      <c r="G10" s="29">
        <f>IFERROR(G9/B9-1,"n.a.")</f>
        <v>0.05253120085655971</v>
      </c>
      <c r="H10" s="29">
        <f>IFERROR(H9/C9-1,"n.a.")</f>
        <v>-0.012304951670900288</v>
      </c>
      <c r="I10" s="50">
        <f>IFERROR(I9/D9-1,"n.a.")</f>
        <v>-0.059025689384548885</v>
      </c>
      <c r="J10" s="20"/>
    </row>
    <row r="11">
      <c r="A11" s="23" t="s">
        <v>96</v>
      </c>
      <c r="B11" s="29" t="s">
        <v>40</v>
      </c>
      <c r="C11" s="29">
        <f>IFERROR(C9/B9-1,"n.a.")</f>
        <v>0.014253688894837246</v>
      </c>
      <c r="D11" s="29">
        <f>IFERROR(D9/C9-1,"n.a.")</f>
        <v>0.029195394715138656</v>
      </c>
      <c r="E11" s="29">
        <f>IFERROR(E9/D9-1,"n.a.")</f>
        <v>0.03564331046861979</v>
      </c>
      <c r="F11" s="29" t="s">
        <v>40</v>
      </c>
      <c r="G11" s="29">
        <f>IFERROR(G9/E9-1,"n.a.")</f>
        <v>-0.026400495202723584</v>
      </c>
      <c r="H11" s="29">
        <f>IFERROR(H9/G9-1,"n.a.")</f>
        <v>-0.048224560511173964</v>
      </c>
      <c r="I11" s="50">
        <f>IFERROR(I9/H9-1,"n.a.")</f>
        <v>-0.019488425431501533</v>
      </c>
      <c r="J11" s="20"/>
    </row>
    <row r="12">
      <c r="A12" s="23" t="s">
        <v>99</v>
      </c>
      <c r="B12" s="11" t="str">
        <f>'Revenue summary'!B119</f>
        <v>n.a.</v>
      </c>
      <c r="C12" s="11" t="str">
        <f>'Revenue summary'!C119</f>
        <v>n.a.</v>
      </c>
      <c r="D12" s="11" t="str">
        <f>'Revenue summary'!D119</f>
        <v>n.a.</v>
      </c>
      <c r="E12" s="11" t="str">
        <f>'Revenue summary'!E119</f>
        <v>n.a.</v>
      </c>
      <c r="F12" s="11" t="str">
        <f>'Revenue summary'!F119</f>
        <v>n.a.</v>
      </c>
      <c r="G12" s="11">
        <f>'Revenue summary'!G119</f>
        <v>-0.050565274519478565</v>
      </c>
      <c r="H12" s="11">
        <f>'Revenue summary'!H119</f>
        <v>-0.0563695472652207</v>
      </c>
      <c r="I12" s="58">
        <f>'Revenue summary'!I119</f>
        <v>-0.06561318033207253</v>
      </c>
      <c r="J12" s="20" t="s">
        <v>385</v>
      </c>
    </row>
    <row r="13" ht="26.25">
      <c r="A13" s="116" t="s">
        <v>386</v>
      </c>
      <c r="B13" s="11" t="str">
        <f>'Revenue summary'!B120</f>
        <v>n.a.</v>
      </c>
      <c r="C13" s="11" t="str">
        <f>'Revenue summary'!C120</f>
        <v>n.a.</v>
      </c>
      <c r="D13" s="11" t="str">
        <f>'Revenue summary'!D120</f>
        <v>n.a.</v>
      </c>
      <c r="E13" s="11" t="str">
        <f>'Revenue summary'!E120</f>
        <v>n.a.</v>
      </c>
      <c r="F13" s="11" t="str">
        <f>'Revenue summary'!F120</f>
        <v>n.a.</v>
      </c>
      <c r="G13" s="11" t="str">
        <f>'Revenue summary'!G120</f>
        <v>n.a.</v>
      </c>
      <c r="H13" s="11" t="str">
        <f>'Revenue summary'!H120</f>
        <v>n.a.</v>
      </c>
      <c r="I13" s="58" t="str">
        <f>'Revenue summary'!I120</f>
        <v>n.a.</v>
      </c>
      <c r="J13" s="20"/>
    </row>
    <row r="14">
      <c r="A14" s="23" t="s">
        <v>103</v>
      </c>
      <c r="B14" s="11" t="str">
        <f>'Revenue summary'!B121</f>
        <v>n.a.</v>
      </c>
      <c r="C14" s="11" t="str">
        <f>'Revenue summary'!C121</f>
        <v>n.a.</v>
      </c>
      <c r="D14" s="11" t="str">
        <f>'Revenue summary'!D121</f>
        <v>n.a.</v>
      </c>
      <c r="E14" s="11" t="str">
        <f>'Revenue summary'!E121</f>
        <v>n.a.</v>
      </c>
      <c r="F14" s="11" t="str">
        <f>'Revenue summary'!F121</f>
        <v>n.a.</v>
      </c>
      <c r="G14" s="11" t="str">
        <f>'Revenue summary'!G121</f>
        <v>n.a.</v>
      </c>
      <c r="H14" s="11" t="str">
        <f>'Revenue summary'!H121</f>
        <v>n.a.</v>
      </c>
      <c r="I14" s="58" t="str">
        <f>'Revenue summary'!I121</f>
        <v>n.a.</v>
      </c>
      <c r="J14" s="20"/>
    </row>
    <row r="15">
      <c r="A15" s="23" t="s">
        <v>387</v>
      </c>
      <c r="B15" s="11" t="str">
        <f>'Revenue summary'!B122</f>
        <v>n.a.</v>
      </c>
      <c r="C15" s="11" t="str">
        <f>'Revenue summary'!C122</f>
        <v>n.a.</v>
      </c>
      <c r="D15" s="11" t="str">
        <f>'Revenue summary'!D122</f>
        <v>n.a.</v>
      </c>
      <c r="E15" s="11" t="str">
        <f>'Revenue summary'!E122</f>
        <v>n.a.</v>
      </c>
      <c r="F15" s="11" t="str">
        <f>'Revenue summary'!F122</f>
        <v>n.a.</v>
      </c>
      <c r="G15" s="11">
        <f>'Revenue summary'!G122</f>
        <v>0.1085872178562457</v>
      </c>
      <c r="H15" s="11">
        <f>'Revenue summary'!H122</f>
        <v>0.04669687743397288</v>
      </c>
      <c r="I15" s="58">
        <f>'Revenue summary'!I122</f>
        <v>0.007050068353773309</v>
      </c>
      <c r="J15" s="20"/>
    </row>
    <row r="16">
      <c r="A16" s="9" t="s">
        <v>388</v>
      </c>
      <c r="B16" s="39">
        <v>8415</v>
      </c>
      <c r="C16" s="39">
        <v>7576</v>
      </c>
      <c r="D16" s="39">
        <v>8655</v>
      </c>
      <c r="E16" s="39">
        <v>10305</v>
      </c>
      <c r="F16" s="40">
        <f>SUM(B16:E16)</f>
        <v>34951</v>
      </c>
      <c r="G16" s="39">
        <v>10884</v>
      </c>
      <c r="H16" s="39">
        <v>8389</v>
      </c>
      <c r="I16" s="41">
        <f>I25-I19-I22</f>
        <v>8291.020977999999</v>
      </c>
      <c r="J16" s="20" t="s">
        <v>389</v>
      </c>
    </row>
    <row r="17">
      <c r="A17" s="9" t="s">
        <v>189</v>
      </c>
      <c r="B17" s="40" t="s">
        <v>40</v>
      </c>
      <c r="C17" s="40">
        <f>IFERROR(C16-B16,"n.a.")</f>
        <v>-839</v>
      </c>
      <c r="D17" s="40">
        <f>IFERROR(D16-C16,"n.a.")</f>
        <v>1079</v>
      </c>
      <c r="E17" s="40">
        <f>IFERROR(E16-D16,"n.a.")</f>
        <v>1650</v>
      </c>
      <c r="F17" s="40" t="s">
        <v>40</v>
      </c>
      <c r="G17" s="40">
        <f>IFERROR(G16-E16,"n.a.")</f>
        <v>579</v>
      </c>
      <c r="H17" s="40">
        <f>IFERROR(H16-G16,"n.a.")</f>
        <v>-2495</v>
      </c>
      <c r="I17" s="41">
        <f>IFERROR(I16-H16,"n.a.")</f>
        <v>-97.97902200000135</v>
      </c>
      <c r="J17" s="20"/>
    </row>
    <row r="18">
      <c r="A18" s="23" t="s">
        <v>217</v>
      </c>
      <c r="B18" s="29" t="s">
        <v>40</v>
      </c>
      <c r="C18" s="29" t="s">
        <v>40</v>
      </c>
      <c r="D18" s="29" t="s">
        <v>40</v>
      </c>
      <c r="E18" s="29" t="s">
        <v>40</v>
      </c>
      <c r="F18" s="29" t="s">
        <v>40</v>
      </c>
      <c r="G18" s="29">
        <f>IFERROR(G16/B16-1,"n.a.")</f>
        <v>0.2934046345811052</v>
      </c>
      <c r="H18" s="29">
        <f>IFERROR(H16/C16-1,"n.a.")</f>
        <v>0.10731256599788797</v>
      </c>
      <c r="I18" s="50">
        <f>IFERROR(I16/D16-1,"n.a.")</f>
        <v>-0.04205419087232831</v>
      </c>
      <c r="J18" s="20"/>
    </row>
    <row r="19">
      <c r="A19" s="9" t="s">
        <v>390</v>
      </c>
      <c r="B19" s="39">
        <v>2071</v>
      </c>
      <c r="C19" s="39">
        <v>2168</v>
      </c>
      <c r="D19" s="39">
        <v>2196</v>
      </c>
      <c r="E19" s="39">
        <v>2427</v>
      </c>
      <c r="F19" s="40">
        <f>SUM(B19:E19)</f>
        <v>8862</v>
      </c>
      <c r="G19" s="39">
        <v>2164</v>
      </c>
      <c r="H19" s="39">
        <v>2258</v>
      </c>
      <c r="I19" s="41">
        <f>I25*I26</f>
        <v>2228.9930769999996</v>
      </c>
      <c r="J19" s="20" t="s">
        <v>391</v>
      </c>
    </row>
    <row r="20">
      <c r="A20" s="9" t="s">
        <v>189</v>
      </c>
      <c r="B20" s="40" t="s">
        <v>40</v>
      </c>
      <c r="C20" s="40">
        <f>IFERROR(C19-B19,"n.a.")</f>
        <v>97</v>
      </c>
      <c r="D20" s="40">
        <f>IFERROR(D19-C19,"n.a.")</f>
        <v>28</v>
      </c>
      <c r="E20" s="40">
        <f>IFERROR(E19-D19,"n.a.")</f>
        <v>231</v>
      </c>
      <c r="F20" s="40" t="s">
        <v>40</v>
      </c>
      <c r="G20" s="40">
        <f>IFERROR(G19-E19,"n.a.")</f>
        <v>-263</v>
      </c>
      <c r="H20" s="40">
        <f>IFERROR(H19-G19,"n.a.")</f>
        <v>94</v>
      </c>
      <c r="I20" s="41">
        <f>IFERROR(I19-H19,"n.a.")</f>
        <v>-29.00692300000037</v>
      </c>
      <c r="J20" s="20"/>
    </row>
    <row r="21">
      <c r="A21" s="23" t="s">
        <v>217</v>
      </c>
      <c r="B21" s="29" t="s">
        <v>40</v>
      </c>
      <c r="C21" s="29" t="s">
        <v>40</v>
      </c>
      <c r="D21" s="29" t="s">
        <v>40</v>
      </c>
      <c r="E21" s="29" t="s">
        <v>40</v>
      </c>
      <c r="F21" s="29" t="s">
        <v>40</v>
      </c>
      <c r="G21" s="29">
        <f>IFERROR(G19/B19-1,"n.a.")</f>
        <v>0.04490584258812169</v>
      </c>
      <c r="H21" s="29">
        <f>IFERROR(H19/C19-1,"n.a.")</f>
        <v>0.04151291512915134</v>
      </c>
      <c r="I21" s="50">
        <f>IFERROR(I19/D19-1,"n.a.")</f>
        <v>0.015024169854280345</v>
      </c>
      <c r="J21" s="20"/>
    </row>
    <row r="22">
      <c r="A22" s="9" t="s">
        <v>392</v>
      </c>
      <c r="B22" s="39">
        <v>9893</v>
      </c>
      <c r="C22" s="39">
        <v>10422</v>
      </c>
      <c r="D22" s="39">
        <v>10795</v>
      </c>
      <c r="E22" s="39">
        <v>11903</v>
      </c>
      <c r="F22" s="40">
        <f>SUM(B22:E22)</f>
        <v>43013</v>
      </c>
      <c r="G22" s="39">
        <v>10408</v>
      </c>
      <c r="H22" s="39">
        <v>10445</v>
      </c>
      <c r="I22" s="41">
        <f>I25*I27</f>
        <v>10311.696944999998</v>
      </c>
      <c r="J22" s="20" t="s">
        <v>391</v>
      </c>
    </row>
    <row r="23">
      <c r="A23" s="9" t="s">
        <v>189</v>
      </c>
      <c r="B23" s="40" t="s">
        <v>40</v>
      </c>
      <c r="C23" s="40">
        <f>IFERROR(C22-B22,"n.a.")</f>
        <v>529</v>
      </c>
      <c r="D23" s="40">
        <f>IFERROR(D22-C22,"n.a.")</f>
        <v>373</v>
      </c>
      <c r="E23" s="40">
        <f>IFERROR(E22-D22,"n.a.")</f>
        <v>1108</v>
      </c>
      <c r="F23" s="40" t="s">
        <v>40</v>
      </c>
      <c r="G23" s="40">
        <f>IFERROR(G22-E22,"n.a.")</f>
        <v>-1495</v>
      </c>
      <c r="H23" s="40">
        <f>IFERROR(H22-G22,"n.a.")</f>
        <v>37</v>
      </c>
      <c r="I23" s="41">
        <f>IFERROR(I22-H22,"n.a.")</f>
        <v>-133.30305500000213</v>
      </c>
      <c r="J23" s="20"/>
    </row>
    <row r="24">
      <c r="A24" s="23" t="s">
        <v>217</v>
      </c>
      <c r="B24" s="29" t="s">
        <v>40</v>
      </c>
      <c r="C24" s="29" t="s">
        <v>40</v>
      </c>
      <c r="D24" s="29" t="s">
        <v>40</v>
      </c>
      <c r="E24" s="29" t="s">
        <v>40</v>
      </c>
      <c r="F24" s="29" t="s">
        <v>40</v>
      </c>
      <c r="G24" s="29">
        <f>IFERROR(G22/B22-1,"n.a.")</f>
        <v>0.05205701000707563</v>
      </c>
      <c r="H24" s="29">
        <f>IFERROR(H22/C22-1,"n.a.")</f>
        <v>0.0022068700825177423</v>
      </c>
      <c r="I24" s="50">
        <f>IFERROR(I22/D22-1,"n.a.")</f>
        <v>-0.04477101018990293</v>
      </c>
      <c r="J24" s="20"/>
    </row>
    <row r="25">
      <c r="A25" s="35" t="s">
        <v>393</v>
      </c>
      <c r="B25" s="45">
        <f>B16+B19+B22</f>
        <v>20379</v>
      </c>
      <c r="C25" s="45">
        <f>C16+C19+C22</f>
        <v>20166</v>
      </c>
      <c r="D25" s="45">
        <f>D16+D19+D22</f>
        <v>21646</v>
      </c>
      <c r="E25" s="45">
        <f>E16+E19+E22</f>
        <v>24635</v>
      </c>
      <c r="F25" s="45">
        <f>SUM(B25:E25)</f>
        <v>86826</v>
      </c>
      <c r="G25" s="45">
        <f>G16+G19+G22</f>
        <v>23456</v>
      </c>
      <c r="H25" s="45">
        <f>H16+H19+H22</f>
        <v>21092</v>
      </c>
      <c r="I25" s="52">
        <f>I9-I110+I79+I80+I81+I82</f>
        <v>20831.710999999996</v>
      </c>
      <c r="J25" s="20"/>
    </row>
    <row r="26">
      <c r="A26" s="23" t="s">
        <v>394</v>
      </c>
      <c r="B26" s="29">
        <f>B19/B25</f>
        <v>0.1016242210118259</v>
      </c>
      <c r="C26" s="29">
        <f>C19/C25</f>
        <v>0.10750768620450263</v>
      </c>
      <c r="D26" s="29">
        <f>D19/D25</f>
        <v>0.10145061443222766</v>
      </c>
      <c r="E26" s="29">
        <f>E19/E25</f>
        <v>0.09851836817536026</v>
      </c>
      <c r="F26" s="29">
        <f>F19/F25</f>
        <v>0.10206620136825374</v>
      </c>
      <c r="G26" s="29">
        <f>G19/G25</f>
        <v>0.09225784447476125</v>
      </c>
      <c r="H26" s="29">
        <f>H19/H25</f>
        <v>0.10705480750995638</v>
      </c>
      <c r="I26" s="48">
        <v>0.107</v>
      </c>
      <c r="J26" s="20" t="s">
        <v>395</v>
      </c>
    </row>
    <row r="27">
      <c r="A27" s="23" t="s">
        <v>396</v>
      </c>
      <c r="B27" s="29">
        <f>B22/B25</f>
        <v>0.4854507090632514</v>
      </c>
      <c r="C27" s="29">
        <f>C22/C25</f>
        <v>0.51681047307349</v>
      </c>
      <c r="D27" s="29">
        <f>D22/D25</f>
        <v>0.49870645846807726</v>
      </c>
      <c r="E27" s="29">
        <f>E22/E25</f>
        <v>0.4831743454434747</v>
      </c>
      <c r="F27" s="29">
        <f>F22/F25</f>
        <v>0.49539308502061596</v>
      </c>
      <c r="G27" s="29">
        <f>G22/G25</f>
        <v>0.4437244201909959</v>
      </c>
      <c r="H27" s="29">
        <f>H22/H25</f>
        <v>0.49521145457993554</v>
      </c>
      <c r="I27" s="48">
        <v>0.495</v>
      </c>
      <c r="J27" s="20" t="s">
        <v>395</v>
      </c>
    </row>
    <row r="28">
      <c r="A28" s="23" t="s">
        <v>397</v>
      </c>
      <c r="B28" s="51" t="s">
        <v>40</v>
      </c>
      <c r="C28" s="51" t="s">
        <v>40</v>
      </c>
      <c r="D28" s="51" t="s">
        <v>40</v>
      </c>
      <c r="E28" s="51" t="s">
        <v>40</v>
      </c>
      <c r="F28" s="51" t="s">
        <v>40</v>
      </c>
      <c r="G28" s="51">
        <f>IFERROR((G26-B26)*10000,"n.a.")</f>
        <v>-93.66376537064653</v>
      </c>
      <c r="H28" s="51">
        <f>IFERROR((H26-C26)*10000,"n.a.")</f>
        <v>-4.528786945462437</v>
      </c>
      <c r="I28" s="46">
        <f>IFERROR((I26-D26)*10000,"n.a.")</f>
        <v>55.49385567772333</v>
      </c>
      <c r="J28" s="20"/>
    </row>
    <row r="29">
      <c r="A29" s="23" t="s">
        <v>140</v>
      </c>
      <c r="B29" s="51" t="s">
        <v>40</v>
      </c>
      <c r="C29" s="51">
        <f>IFERROR((C26-B26)*10000,"n.a.")</f>
        <v>58.834651926767265</v>
      </c>
      <c r="D29" s="51">
        <f>IFERROR((D26-C26)*10000,"n.a.")</f>
        <v>-60.570717722749635</v>
      </c>
      <c r="E29" s="51">
        <f>IFERROR((E26-D26)*10000,"n.a.")</f>
        <v>-29.32246256867402</v>
      </c>
      <c r="F29" s="51" t="s">
        <v>40</v>
      </c>
      <c r="G29" s="51">
        <f>IFERROR((G26-E26)*10000,"n.a.")</f>
        <v>-62.60523700599013</v>
      </c>
      <c r="H29" s="51">
        <f>IFERROR((H26-G26)*10000,"n.a.")</f>
        <v>147.96963035195134</v>
      </c>
      <c r="I29" s="46">
        <f>IFERROR((I26-H26)*10000,"n.a.")</f>
        <v>-0.5480750995638661</v>
      </c>
      <c r="J29" s="20"/>
    </row>
    <row r="30" ht="26.25">
      <c r="A30" s="116" t="s">
        <v>398</v>
      </c>
      <c r="B30" s="51" t="s">
        <v>40</v>
      </c>
      <c r="C30" s="51" t="s">
        <v>40</v>
      </c>
      <c r="D30" s="51" t="s">
        <v>40</v>
      </c>
      <c r="E30" s="51" t="s">
        <v>40</v>
      </c>
      <c r="F30" s="51" t="s">
        <v>40</v>
      </c>
      <c r="G30" s="51">
        <f>IFERROR((G27-B27)*10000,"n.a.")</f>
        <v>-417.2628887225549</v>
      </c>
      <c r="H30" s="51">
        <f>IFERROR((H27-C27)*10000,"n.a.")</f>
        <v>-215.99018493554502</v>
      </c>
      <c r="I30" s="46">
        <f>IFERROR((I27-D27)*10000,"n.a.")</f>
        <v>-37.06458468077267</v>
      </c>
      <c r="J30" s="20"/>
    </row>
    <row r="31">
      <c r="A31" s="23" t="s">
        <v>140</v>
      </c>
      <c r="B31" s="51" t="s">
        <v>40</v>
      </c>
      <c r="C31" s="51">
        <f>IFERROR((C27-B27)*10000,"n.a.")</f>
        <v>313.59764010238655</v>
      </c>
      <c r="D31" s="51">
        <f>IFERROR((D27-C27)*10000,"n.a.")</f>
        <v>-181.04014605412777</v>
      </c>
      <c r="E31" s="51">
        <f>IFERROR((E27-D27)*10000,"n.a.")</f>
        <v>-155.32113024602558</v>
      </c>
      <c r="F31" s="51" t="s">
        <v>40</v>
      </c>
      <c r="G31" s="51">
        <f>IFERROR((G27-E27)*10000,"n.a.")</f>
        <v>-394.4992525247881</v>
      </c>
      <c r="H31" s="51">
        <f>IFERROR((H27-G27)*10000,"n.a.")</f>
        <v>514.8703438893965</v>
      </c>
      <c r="I31" s="46">
        <f>IFERROR((I27-H27)*10000,"n.a.")</f>
        <v>-2.1145457993554384</v>
      </c>
      <c r="J31" s="20"/>
    </row>
    <row r="32">
      <c r="A32" s="9" t="s">
        <v>399</v>
      </c>
      <c r="B32" s="39">
        <v>2231</v>
      </c>
      <c r="C32" s="39">
        <v>2349</v>
      </c>
      <c r="D32" s="39">
        <v>2353</v>
      </c>
      <c r="E32" s="39">
        <v>2393</v>
      </c>
      <c r="F32" s="40">
        <f>SUM(B32:E32)</f>
        <v>9326</v>
      </c>
      <c r="G32" s="39">
        <v>2333</v>
      </c>
      <c r="H32" s="39">
        <v>2391</v>
      </c>
      <c r="I32" s="73">
        <v>2410</v>
      </c>
      <c r="J32" s="20" t="s">
        <v>400</v>
      </c>
    </row>
    <row r="33">
      <c r="A33" s="9" t="s">
        <v>189</v>
      </c>
      <c r="B33" s="40" t="s">
        <v>40</v>
      </c>
      <c r="C33" s="40">
        <f>IFERROR(C32-B32,"n.a.")</f>
        <v>118</v>
      </c>
      <c r="D33" s="40">
        <f>IFERROR(D32-C32,"n.a.")</f>
        <v>4</v>
      </c>
      <c r="E33" s="40">
        <f>IFERROR(E32-D32,"n.a.")</f>
        <v>40</v>
      </c>
      <c r="F33" s="40" t="s">
        <v>40</v>
      </c>
      <c r="G33" s="40">
        <f>IFERROR(G32-E32,"n.a.")</f>
        <v>-60</v>
      </c>
      <c r="H33" s="40">
        <f>IFERROR(H32-G32,"n.a.")</f>
        <v>58</v>
      </c>
      <c r="I33" s="41">
        <f>IFERROR(I32-H32,"n.a.")</f>
        <v>19</v>
      </c>
      <c r="J33" s="20"/>
    </row>
    <row r="34">
      <c r="A34" s="23" t="s">
        <v>217</v>
      </c>
      <c r="B34" s="29" t="s">
        <v>40</v>
      </c>
      <c r="C34" s="29" t="s">
        <v>40</v>
      </c>
      <c r="D34" s="29" t="s">
        <v>40</v>
      </c>
      <c r="E34" s="29" t="s">
        <v>40</v>
      </c>
      <c r="F34" s="29" t="s">
        <v>40</v>
      </c>
      <c r="G34" s="29">
        <f>IFERROR(G32/B32-1,"n.a.")</f>
        <v>0.04571940833706867</v>
      </c>
      <c r="H34" s="29">
        <f>IFERROR(H32/C32-1,"n.a.")</f>
        <v>0.017879948914431676</v>
      </c>
      <c r="I34" s="50">
        <f>IFERROR(I32/D32-1,"n.a.")</f>
        <v>0.024224394390140347</v>
      </c>
      <c r="J34" s="20"/>
    </row>
    <row r="35">
      <c r="A35" s="9" t="s">
        <v>401</v>
      </c>
      <c r="B35" s="39">
        <v>1618</v>
      </c>
      <c r="C35" s="39">
        <v>1805</v>
      </c>
      <c r="D35" s="39">
        <v>1666</v>
      </c>
      <c r="E35" s="39">
        <v>1794</v>
      </c>
      <c r="F35" s="40">
        <f>SUM(B35:E35)</f>
        <v>6883</v>
      </c>
      <c r="G35" s="39">
        <v>1533</v>
      </c>
      <c r="H35" s="39">
        <v>1297</v>
      </c>
      <c r="I35" s="41">
        <f>I36+I38</f>
        <v>1300</v>
      </c>
      <c r="J35" s="20" t="s">
        <v>391</v>
      </c>
    </row>
    <row r="36" ht="26.25">
      <c r="A36" s="106" t="s">
        <v>402</v>
      </c>
      <c r="B36" s="39">
        <v>789</v>
      </c>
      <c r="C36" s="39">
        <v>810</v>
      </c>
      <c r="D36" s="39">
        <v>824</v>
      </c>
      <c r="E36" s="39">
        <v>838</v>
      </c>
      <c r="F36" s="40">
        <f>SUM(B36:E36)</f>
        <v>3261</v>
      </c>
      <c r="G36" s="39">
        <v>528</v>
      </c>
      <c r="H36" s="39">
        <v>525</v>
      </c>
      <c r="I36" s="73">
        <v>520</v>
      </c>
      <c r="J36" s="20" t="s">
        <v>403</v>
      </c>
    </row>
    <row r="37">
      <c r="A37" s="9" t="s">
        <v>189</v>
      </c>
      <c r="B37" s="40" t="s">
        <v>40</v>
      </c>
      <c r="C37" s="40">
        <f>IFERROR(C36-B36,"n.a.")</f>
        <v>21</v>
      </c>
      <c r="D37" s="40">
        <f>IFERROR(D36-C36,"n.a.")</f>
        <v>14</v>
      </c>
      <c r="E37" s="40">
        <f>IFERROR(E36-D36,"n.a.")</f>
        <v>14</v>
      </c>
      <c r="F37" s="40" t="s">
        <v>40</v>
      </c>
      <c r="G37" s="40">
        <f>IFERROR(G36-E36,"n.a.")</f>
        <v>-310</v>
      </c>
      <c r="H37" s="40">
        <f>IFERROR(H36-G36,"n.a.")</f>
        <v>-3</v>
      </c>
      <c r="I37" s="41">
        <f>IFERROR(I36-H36,"n.a.")</f>
        <v>-5</v>
      </c>
      <c r="J37" s="20"/>
    </row>
    <row r="38">
      <c r="A38" s="9" t="s">
        <v>404</v>
      </c>
      <c r="B38" s="40">
        <f>B35-B36</f>
        <v>829</v>
      </c>
      <c r="C38" s="40">
        <f>C35-C36</f>
        <v>995</v>
      </c>
      <c r="D38" s="40">
        <f>D35-D36</f>
        <v>842</v>
      </c>
      <c r="E38" s="40">
        <f>E35-E36</f>
        <v>956</v>
      </c>
      <c r="F38" s="40">
        <f>SUM(B38:E38)</f>
        <v>3622</v>
      </c>
      <c r="G38" s="40">
        <f>G35-G36</f>
        <v>1005</v>
      </c>
      <c r="H38" s="40">
        <f>H35-H36</f>
        <v>772</v>
      </c>
      <c r="I38" s="73">
        <v>780</v>
      </c>
      <c r="J38" s="20" t="s">
        <v>405</v>
      </c>
    </row>
    <row r="39">
      <c r="A39" s="9" t="s">
        <v>189</v>
      </c>
      <c r="B39" s="40" t="s">
        <v>40</v>
      </c>
      <c r="C39" s="40">
        <f>IFERROR(C38-B38,"n.a.")</f>
        <v>166</v>
      </c>
      <c r="D39" s="40">
        <f>IFERROR(D38-C38,"n.a.")</f>
        <v>-153</v>
      </c>
      <c r="E39" s="40">
        <f>IFERROR(E38-D38,"n.a.")</f>
        <v>114</v>
      </c>
      <c r="F39" s="40" t="s">
        <v>40</v>
      </c>
      <c r="G39" s="40">
        <f>IFERROR(G38-E38,"n.a.")</f>
        <v>49</v>
      </c>
      <c r="H39" s="40">
        <f>IFERROR(H38-G38,"n.a.")</f>
        <v>-233</v>
      </c>
      <c r="I39" s="41">
        <f>IFERROR(I38-H38,"n.a.")</f>
        <v>8</v>
      </c>
      <c r="J39" s="20"/>
    </row>
    <row r="40">
      <c r="A40" s="35" t="s">
        <v>406</v>
      </c>
      <c r="B40" s="45">
        <f>B25+B32+B35</f>
        <v>24228</v>
      </c>
      <c r="C40" s="45">
        <f>C25+C32+C35</f>
        <v>24320</v>
      </c>
      <c r="D40" s="45">
        <f>D25+D32+D35</f>
        <v>25665</v>
      </c>
      <c r="E40" s="45">
        <f>E25+E32+E35</f>
        <v>28822</v>
      </c>
      <c r="F40" s="45">
        <f>SUM(B40:E40)</f>
        <v>103035</v>
      </c>
      <c r="G40" s="45">
        <f>G25+G32+G35</f>
        <v>27322</v>
      </c>
      <c r="H40" s="45">
        <f>H25+H32+H35</f>
        <v>24780</v>
      </c>
      <c r="I40" s="52">
        <f>I25+I32+I35</f>
        <v>24541.710999999996</v>
      </c>
      <c r="J40" s="20"/>
    </row>
    <row r="41">
      <c r="A41" s="35" t="s">
        <v>407</v>
      </c>
      <c r="B41" s="45">
        <f>B9-B40</f>
        <v>5659</v>
      </c>
      <c r="C41" s="45">
        <f>C9-C40</f>
        <v>5993</v>
      </c>
      <c r="D41" s="45">
        <f>D9-D40</f>
        <v>5533</v>
      </c>
      <c r="E41" s="45">
        <f>E9-E40</f>
        <v>3488</v>
      </c>
      <c r="F41" s="45">
        <f>SUM(B41:E41)</f>
        <v>20673</v>
      </c>
      <c r="G41" s="45">
        <f>G9-G40</f>
        <v>4135</v>
      </c>
      <c r="H41" s="45">
        <f>H9-H40</f>
        <v>5160</v>
      </c>
      <c r="I41" s="52">
        <f>I9-I40</f>
        <v>4814.805542580849</v>
      </c>
      <c r="J41" s="20"/>
    </row>
    <row r="42">
      <c r="A42" s="23" t="s">
        <v>217</v>
      </c>
      <c r="B42" s="29" t="s">
        <v>40</v>
      </c>
      <c r="C42" s="29" t="s">
        <v>40</v>
      </c>
      <c r="D42" s="29" t="s">
        <v>40</v>
      </c>
      <c r="E42" s="29" t="s">
        <v>40</v>
      </c>
      <c r="F42" s="29" t="s">
        <v>40</v>
      </c>
      <c r="G42" s="29">
        <f>IFERROR(G41/B41-1,"n.a.")</f>
        <v>-0.2693055310125464</v>
      </c>
      <c r="H42" s="29">
        <f>IFERROR(H41/C41-1,"n.a.")</f>
        <v>-0.13899549474386785</v>
      </c>
      <c r="I42" s="50">
        <f>IFERROR(I41/D41-1,"n.a.")</f>
        <v>-0.12980199844915075</v>
      </c>
      <c r="J42" s="20"/>
    </row>
    <row r="43">
      <c r="A43" s="23" t="s">
        <v>408</v>
      </c>
      <c r="B43" s="29">
        <f>B41/B9</f>
        <v>0.18934653862883527</v>
      </c>
      <c r="C43" s="29">
        <f>C41/C9</f>
        <v>0.19770395539867383</v>
      </c>
      <c r="D43" s="29">
        <f>D41/D9</f>
        <v>0.17735111225078531</v>
      </c>
      <c r="E43" s="29">
        <f>E41/E9</f>
        <v>0.10795419374806561</v>
      </c>
      <c r="F43" s="29">
        <f>F41/F9</f>
        <v>0.1671112620040741</v>
      </c>
      <c r="G43" s="29">
        <f>G41/G9</f>
        <v>0.13144927996948216</v>
      </c>
      <c r="H43" s="29">
        <f>H41/H9</f>
        <v>0.17234468937875752</v>
      </c>
      <c r="I43" s="50">
        <f>I41/I9</f>
        <v>0.16401147375905795</v>
      </c>
      <c r="J43" s="20"/>
    </row>
    <row r="44">
      <c r="A44" s="23" t="s">
        <v>139</v>
      </c>
      <c r="B44" s="51" t="s">
        <v>40</v>
      </c>
      <c r="C44" s="51" t="s">
        <v>40</v>
      </c>
      <c r="D44" s="51" t="s">
        <v>40</v>
      </c>
      <c r="E44" s="51" t="s">
        <v>40</v>
      </c>
      <c r="F44" s="51" t="s">
        <v>40</v>
      </c>
      <c r="G44" s="51">
        <f>IFERROR((G43-B43)*10000,"n.a.")</f>
        <v>-578.9725865935311</v>
      </c>
      <c r="H44" s="51">
        <f>IFERROR((H43-C43)*10000,"n.a.")</f>
        <v>-253.5926601991631</v>
      </c>
      <c r="I44" s="46">
        <f>IFERROR((I43-D43)*10000,"n.a.")</f>
        <v>-133.39638491727368</v>
      </c>
      <c r="J44" s="20"/>
    </row>
    <row r="45">
      <c r="A45" s="23" t="s">
        <v>140</v>
      </c>
      <c r="B45" s="51" t="s">
        <v>40</v>
      </c>
      <c r="C45" s="51">
        <f>IFERROR((C43-B43)*10000,"n.a.")</f>
        <v>83.57416769838561</v>
      </c>
      <c r="D45" s="51">
        <f>IFERROR((D43-C43)*10000,"n.a.")</f>
        <v>-203.52843147888515</v>
      </c>
      <c r="E45" s="51">
        <f>IFERROR((E43-D43)*10000,"n.a.")</f>
        <v>-693.969185027197</v>
      </c>
      <c r="F45" s="51" t="s">
        <v>40</v>
      </c>
      <c r="G45" s="51">
        <f>IFERROR((G43-E43)*10000,"n.a.")</f>
        <v>234.9508622141655</v>
      </c>
      <c r="H45" s="51">
        <f>IFERROR((H43-G43)*10000,"n.a.")</f>
        <v>408.95409409275356</v>
      </c>
      <c r="I45" s="46">
        <f>IFERROR((I43-H43)*10000,"n.a.")</f>
        <v>-83.33215619699574</v>
      </c>
      <c r="J45" s="20"/>
    </row>
    <row r="46">
      <c r="A46" s="9" t="s">
        <v>409</v>
      </c>
      <c r="B46" s="39">
        <v>-1050</v>
      </c>
      <c r="C46" s="39">
        <v>-1105</v>
      </c>
      <c r="D46" s="39">
        <v>-1128</v>
      </c>
      <c r="E46" s="39">
        <v>-1126</v>
      </c>
      <c r="F46" s="40">
        <f>SUM(B46:E46)</f>
        <v>-4409</v>
      </c>
      <c r="G46" s="39">
        <v>-1094</v>
      </c>
      <c r="H46" s="39">
        <v>-1052</v>
      </c>
      <c r="I46" s="73">
        <v>-1020</v>
      </c>
      <c r="J46" s="20" t="s">
        <v>410</v>
      </c>
    </row>
    <row r="47">
      <c r="A47" s="9" t="s">
        <v>189</v>
      </c>
      <c r="B47" s="40" t="s">
        <v>40</v>
      </c>
      <c r="C47" s="40">
        <f>IFERROR(C46-B46,"n.a.")</f>
        <v>-55</v>
      </c>
      <c r="D47" s="40">
        <f>IFERROR(D46-C46,"n.a.")</f>
        <v>-23</v>
      </c>
      <c r="E47" s="40">
        <f>IFERROR(E46-D46,"n.a.")</f>
        <v>2</v>
      </c>
      <c r="F47" s="40" t="s">
        <v>40</v>
      </c>
      <c r="G47" s="40">
        <f>IFERROR(G46-E46,"n.a.")</f>
        <v>32</v>
      </c>
      <c r="H47" s="40">
        <f>IFERROR(H46-G46,"n.a.")</f>
        <v>42</v>
      </c>
      <c r="I47" s="41">
        <f>IFERROR(I46-H46,"n.a.")</f>
        <v>32</v>
      </c>
      <c r="J47" s="20"/>
    </row>
    <row r="48">
      <c r="A48" s="23" t="s">
        <v>217</v>
      </c>
      <c r="B48" s="29" t="s">
        <v>40</v>
      </c>
      <c r="C48" s="29" t="s">
        <v>40</v>
      </c>
      <c r="D48" s="29" t="s">
        <v>40</v>
      </c>
      <c r="E48" s="29" t="s">
        <v>40</v>
      </c>
      <c r="F48" s="29" t="s">
        <v>40</v>
      </c>
      <c r="G48" s="29">
        <f>IFERROR(G46/B46-1,"n.a.")</f>
        <v>0.04190476190476189</v>
      </c>
      <c r="H48" s="29">
        <f>IFERROR(H46/C46-1,"n.a.")</f>
        <v>-0.04796380090497743</v>
      </c>
      <c r="I48" s="50">
        <f>IFERROR(I46/D46-1,"n.a.")</f>
        <v>-0.0957446808510638</v>
      </c>
      <c r="J48" s="20"/>
    </row>
    <row r="49">
      <c r="A49" s="9" t="s">
        <v>411</v>
      </c>
      <c r="B49" s="39">
        <v>-194</v>
      </c>
      <c r="C49" s="39">
        <v>-29</v>
      </c>
      <c r="D49" s="39">
        <v>-90</v>
      </c>
      <c r="E49" s="39">
        <v>-278</v>
      </c>
      <c r="F49" s="40">
        <f>SUM(B49:E49)</f>
        <v>-591</v>
      </c>
      <c r="G49" s="39">
        <v>-391</v>
      </c>
      <c r="H49" s="39">
        <v>285</v>
      </c>
      <c r="I49" s="73">
        <v>-140</v>
      </c>
      <c r="J49" s="20" t="s">
        <v>412</v>
      </c>
    </row>
    <row r="50" ht="26.25">
      <c r="A50" s="106" t="s">
        <v>413</v>
      </c>
      <c r="B50" s="39">
        <v>-24</v>
      </c>
      <c r="C50" s="39">
        <v>136</v>
      </c>
      <c r="D50" s="39">
        <v>-60</v>
      </c>
      <c r="E50" s="39">
        <v>-72</v>
      </c>
      <c r="F50" s="40">
        <f>SUM(B50:E50)</f>
        <v>-20</v>
      </c>
      <c r="G50" s="39">
        <v>-5</v>
      </c>
      <c r="H50" s="39">
        <v>-13</v>
      </c>
      <c r="I50" s="73">
        <v>0</v>
      </c>
      <c r="J50" s="20" t="s">
        <v>391</v>
      </c>
    </row>
    <row r="51">
      <c r="A51" s="9" t="s">
        <v>414</v>
      </c>
      <c r="B51" s="39">
        <v>102</v>
      </c>
      <c r="C51" s="39">
        <v>9652</v>
      </c>
      <c r="D51" s="39">
        <v>212</v>
      </c>
      <c r="E51" s="39">
        <v>148</v>
      </c>
      <c r="F51" s="40">
        <f>SUM(B51:E51)</f>
        <v>10114</v>
      </c>
      <c r="G51" s="39">
        <v>87</v>
      </c>
      <c r="H51" s="39">
        <v>232</v>
      </c>
      <c r="I51" s="73">
        <v>160</v>
      </c>
      <c r="J51" s="20" t="s">
        <v>415</v>
      </c>
    </row>
    <row r="52" ht="26.25">
      <c r="A52" s="113" t="s">
        <v>416</v>
      </c>
      <c r="B52" s="45">
        <f>B49+B50+B51</f>
        <v>-116</v>
      </c>
      <c r="C52" s="45">
        <f>C49+C50+C51</f>
        <v>9759</v>
      </c>
      <c r="D52" s="45">
        <f>D49+D50+D51</f>
        <v>62</v>
      </c>
      <c r="E52" s="45">
        <f>E49+E50+E51</f>
        <v>-202</v>
      </c>
      <c r="F52" s="45">
        <f>SUM(B52:E52)</f>
        <v>9503</v>
      </c>
      <c r="G52" s="45">
        <f>G49+G50+G51</f>
        <v>-309</v>
      </c>
      <c r="H52" s="45">
        <f>H49+H50+H51</f>
        <v>504</v>
      </c>
      <c r="I52" s="52">
        <f>I49+I50+I51</f>
        <v>20</v>
      </c>
      <c r="J52" s="20"/>
    </row>
    <row r="53">
      <c r="A53" s="35" t="s">
        <v>417</v>
      </c>
      <c r="B53" s="45">
        <f>B41+B46+B52</f>
        <v>4493</v>
      </c>
      <c r="C53" s="45">
        <f>C41+C46+C52</f>
        <v>14647</v>
      </c>
      <c r="D53" s="45">
        <f>D41+D46+D52</f>
        <v>4467</v>
      </c>
      <c r="E53" s="45">
        <f>E41+E46+E52</f>
        <v>2160</v>
      </c>
      <c r="F53" s="45">
        <f>SUM(B53:E53)</f>
        <v>25767</v>
      </c>
      <c r="G53" s="45">
        <f>G41+G46+G52</f>
        <v>2732</v>
      </c>
      <c r="H53" s="45">
        <f>H41+H46+H52</f>
        <v>4612</v>
      </c>
      <c r="I53" s="52">
        <f>I41+I46+I52</f>
        <v>3814.805542580849</v>
      </c>
      <c r="J53" s="20"/>
    </row>
    <row r="54">
      <c r="A54" s="9" t="s">
        <v>418</v>
      </c>
      <c r="B54" s="39">
        <v>-1196</v>
      </c>
      <c r="C54" s="39">
        <v>-3603</v>
      </c>
      <c r="D54" s="39">
        <v>-1218</v>
      </c>
      <c r="E54" s="39">
        <v>-89</v>
      </c>
      <c r="F54" s="40">
        <f>SUM(B54:E54)</f>
        <v>-6106</v>
      </c>
      <c r="G54" s="39">
        <v>-706</v>
      </c>
      <c r="H54" s="39">
        <v>-1194</v>
      </c>
      <c r="I54" s="41">
        <f>-(I144-I147)</f>
        <v>-1021.3790521561825</v>
      </c>
      <c r="J54" s="20" t="s">
        <v>391</v>
      </c>
    </row>
    <row r="55">
      <c r="A55" s="23" t="s">
        <v>419</v>
      </c>
      <c r="B55" s="29">
        <f>IFERROR(-B54/B53,"n.a.")</f>
        <v>0.2661918539951035</v>
      </c>
      <c r="C55" s="29">
        <f>IFERROR(-C54/C53,"n.a.")</f>
        <v>0.24598893971461733</v>
      </c>
      <c r="D55" s="29">
        <f>IFERROR(-D54/D53,"n.a.")</f>
        <v>0.27266621893888515</v>
      </c>
      <c r="E55" s="29">
        <f>IFERROR(-E54/E53,"n.a.")</f>
        <v>0.0412037037037037</v>
      </c>
      <c r="F55" s="29">
        <f>IFERROR(-F54/F53,"n.a.")</f>
        <v>0.2369697675321147</v>
      </c>
      <c r="G55" s="29">
        <f>IFERROR(-G54/G53,"n.a.")</f>
        <v>0.25841874084919475</v>
      </c>
      <c r="H55" s="29">
        <f>IFERROR(-H54/H53,"n.a.")</f>
        <v>0.2588898525585429</v>
      </c>
      <c r="I55" s="50">
        <f>IFERROR(-I54/I53,"n.a.")</f>
        <v>0.2677407906525123</v>
      </c>
      <c r="J55" s="20"/>
    </row>
    <row r="56">
      <c r="A56" s="23" t="s">
        <v>139</v>
      </c>
      <c r="B56" s="51" t="s">
        <v>40</v>
      </c>
      <c r="C56" s="51" t="s">
        <v>40</v>
      </c>
      <c r="D56" s="51" t="s">
        <v>40</v>
      </c>
      <c r="E56" s="51" t="s">
        <v>40</v>
      </c>
      <c r="F56" s="51" t="s">
        <v>40</v>
      </c>
      <c r="G56" s="51">
        <f>IFERROR((G55-B55)*10000,"n.a.")</f>
        <v>-77.73113145908728</v>
      </c>
      <c r="H56" s="51">
        <f>IFERROR((H55-C55)*10000,"n.a.")</f>
        <v>129.00912843925582</v>
      </c>
      <c r="I56" s="46">
        <f>IFERROR((I55-D55)*10000,"n.a.")</f>
        <v>-49.25428286372879</v>
      </c>
      <c r="J56" s="20"/>
    </row>
    <row r="57">
      <c r="A57" s="23" t="s">
        <v>140</v>
      </c>
      <c r="B57" s="51" t="s">
        <v>40</v>
      </c>
      <c r="C57" s="51">
        <f>IFERROR((C55-B55)*10000,"n.a.")</f>
        <v>-202.0291428048615</v>
      </c>
      <c r="D57" s="51">
        <f>IFERROR((D55-C55)*10000,"n.a.")</f>
        <v>266.77279224267824</v>
      </c>
      <c r="E57" s="51">
        <f>IFERROR((E55-D55)*10000,"n.a.")</f>
        <v>-2314.6251523518144</v>
      </c>
      <c r="F57" s="51" t="s">
        <v>40</v>
      </c>
      <c r="G57" s="51">
        <f>IFERROR((G55-E55)*10000,"n.a.")</f>
        <v>2172.150371454911</v>
      </c>
      <c r="H57" s="51">
        <f>IFERROR((H55-G55)*10000,"n.a.")</f>
        <v>4.711117093481598</v>
      </c>
      <c r="I57" s="46">
        <f>IFERROR((I55-H55)*10000,"n.a.")</f>
        <v>88.50938093969363</v>
      </c>
      <c r="J57" s="20"/>
    </row>
    <row r="58">
      <c r="A58" s="35" t="s">
        <v>420</v>
      </c>
      <c r="B58" s="45">
        <f>B53+B54</f>
        <v>3297</v>
      </c>
      <c r="C58" s="45">
        <f>C53+C54</f>
        <v>11044</v>
      </c>
      <c r="D58" s="45">
        <f>D53+D54</f>
        <v>3249</v>
      </c>
      <c r="E58" s="45">
        <f>E53+E54</f>
        <v>2071</v>
      </c>
      <c r="F58" s="45">
        <f>SUM(B58:E58)</f>
        <v>19661</v>
      </c>
      <c r="G58" s="45">
        <f>G53+G54</f>
        <v>2026</v>
      </c>
      <c r="H58" s="45">
        <f>H53+H54</f>
        <v>3418</v>
      </c>
      <c r="I58" s="52">
        <f>I53+I54</f>
        <v>2793.4264904246666</v>
      </c>
      <c r="J58" s="20"/>
    </row>
    <row r="59">
      <c r="A59" s="9" t="s">
        <v>421</v>
      </c>
      <c r="B59" s="39">
        <v>-79</v>
      </c>
      <c r="C59" s="39">
        <v>-79</v>
      </c>
      <c r="D59" s="39">
        <v>-83</v>
      </c>
      <c r="E59" s="39">
        <v>-97</v>
      </c>
      <c r="F59" s="40">
        <f>SUM(B59:E59)</f>
        <v>-338</v>
      </c>
      <c r="G59" s="39">
        <v>-147</v>
      </c>
      <c r="H59" s="39">
        <v>-107</v>
      </c>
      <c r="I59" s="73">
        <v>-90</v>
      </c>
      <c r="J59" s="20" t="s">
        <v>422</v>
      </c>
    </row>
    <row r="60">
      <c r="A60" s="35" t="s">
        <v>423</v>
      </c>
      <c r="B60" s="45">
        <f>B58-B59</f>
        <v>3376</v>
      </c>
      <c r="C60" s="45">
        <f>C58-C59</f>
        <v>11123</v>
      </c>
      <c r="D60" s="45">
        <f>D58-D59</f>
        <v>3332</v>
      </c>
      <c r="E60" s="45">
        <f>E58-E59</f>
        <v>2168</v>
      </c>
      <c r="F60" s="45">
        <f>SUM(B60:E60)</f>
        <v>19999</v>
      </c>
      <c r="G60" s="45">
        <f>G58-G59</f>
        <v>2173</v>
      </c>
      <c r="H60" s="45">
        <f>H58-H59</f>
        <v>3525</v>
      </c>
      <c r="I60" s="52">
        <f>I58-I59</f>
        <v>2883.4264904246666</v>
      </c>
      <c r="J60" s="20"/>
    </row>
    <row r="61">
      <c r="A61" s="23" t="s">
        <v>217</v>
      </c>
      <c r="B61" s="29" t="s">
        <v>40</v>
      </c>
      <c r="C61" s="29" t="s">
        <v>40</v>
      </c>
      <c r="D61" s="29" t="s">
        <v>40</v>
      </c>
      <c r="E61" s="29" t="s">
        <v>40</v>
      </c>
      <c r="F61" s="29" t="s">
        <v>40</v>
      </c>
      <c r="G61" s="29">
        <f>IFERROR(G60/B60-1,"n.a.")</f>
        <v>-0.35633886255924174</v>
      </c>
      <c r="H61" s="29">
        <f>IFERROR(H60/C60-1,"n.a.")</f>
        <v>-0.6830890946687045</v>
      </c>
      <c r="I61" s="50">
        <f>IFERROR(I60/D60-1,"n.a.")</f>
        <v>-0.13462590323389356</v>
      </c>
      <c r="J61" s="20"/>
    </row>
    <row r="62">
      <c r="A62" s="23" t="s">
        <v>424</v>
      </c>
      <c r="B62" s="29">
        <f>B60/B9</f>
        <v>0.11295881152340483</v>
      </c>
      <c r="C62" s="29">
        <f>C60/C9</f>
        <v>0.3669382773067661</v>
      </c>
      <c r="D62" s="29">
        <f>D60/D9</f>
        <v>0.10680171805884993</v>
      </c>
      <c r="E62" s="29">
        <f>E60/E9</f>
        <v>0.06709996904982977</v>
      </c>
      <c r="F62" s="29">
        <f>F60/F9</f>
        <v>0.16166294823293562</v>
      </c>
      <c r="G62" s="29">
        <f>G60/G9</f>
        <v>0.06907842451600597</v>
      </c>
      <c r="H62" s="29">
        <f>H60/H9</f>
        <v>0.11773547094188377</v>
      </c>
      <c r="I62" s="50">
        <f>I60/I9</f>
        <v>0.09822100269431945</v>
      </c>
      <c r="J62" s="20"/>
    </row>
    <row r="63">
      <c r="A63" s="23" t="s">
        <v>139</v>
      </c>
      <c r="B63" s="51" t="s">
        <v>40</v>
      </c>
      <c r="C63" s="51" t="s">
        <v>40</v>
      </c>
      <c r="D63" s="51" t="s">
        <v>40</v>
      </c>
      <c r="E63" s="51" t="s">
        <v>40</v>
      </c>
      <c r="F63" s="51" t="s">
        <v>40</v>
      </c>
      <c r="G63" s="51">
        <f>IFERROR((G62-B62)*10000,"n.a.")</f>
        <v>-438.80387007398855</v>
      </c>
      <c r="H63" s="51">
        <f>IFERROR((H62-C62)*10000,"n.a.")</f>
        <v>-2492.0280636488233</v>
      </c>
      <c r="I63" s="46">
        <f>IFERROR((I62-D62)*10000,"n.a.")</f>
        <v>-85.80715364530478</v>
      </c>
      <c r="J63" s="20"/>
    </row>
    <row r="64">
      <c r="A64" s="23" t="s">
        <v>140</v>
      </c>
      <c r="B64" s="51" t="s">
        <v>40</v>
      </c>
      <c r="C64" s="51">
        <f>IFERROR((C62-B62)*10000,"n.a.")</f>
        <v>2539.7946578336127</v>
      </c>
      <c r="D64" s="51">
        <f>IFERROR((D62-C62)*10000,"n.a.")</f>
        <v>-2601.365592479162</v>
      </c>
      <c r="E64" s="51">
        <f>IFERROR((E62-D62)*10000,"n.a.")</f>
        <v>-397.01749009020153</v>
      </c>
      <c r="F64" s="51" t="s">
        <v>40</v>
      </c>
      <c r="G64" s="51">
        <f>IFERROR((G62-E62)*10000,"n.a.")</f>
        <v>19.784554661761987</v>
      </c>
      <c r="H64" s="51">
        <f>IFERROR((H62-G62)*10000,"n.a.")</f>
        <v>486.57046425877803</v>
      </c>
      <c r="I64" s="46">
        <f>IFERROR((I62-H62)*10000,"n.a.")</f>
        <v>-195.14468247564324</v>
      </c>
      <c r="J64" s="20"/>
    </row>
    <row r="65">
      <c r="A65" s="9" t="s">
        <v>425</v>
      </c>
      <c r="B65" s="39">
        <v>3375</v>
      </c>
      <c r="C65" s="39">
        <v>11123</v>
      </c>
      <c r="D65" s="39">
        <v>3332</v>
      </c>
      <c r="E65" s="39">
        <v>2168</v>
      </c>
      <c r="F65" s="40">
        <f>SUM(B65:E65)</f>
        <v>19998</v>
      </c>
      <c r="G65" s="39">
        <v>2174</v>
      </c>
      <c r="H65" s="39">
        <v>3526</v>
      </c>
      <c r="I65" s="41" t="s">
        <v>40</v>
      </c>
      <c r="J65" s="20" t="s">
        <v>391</v>
      </c>
    </row>
    <row r="66">
      <c r="A66" s="9" t="s">
        <v>426</v>
      </c>
      <c r="B66" s="33" t="b">
        <f>ABS(B60-B65)&lt;=3</f>
        <v>1</v>
      </c>
      <c r="C66" s="33" t="b">
        <f>ABS(C60-C65)&lt;=3</f>
        <v>1</v>
      </c>
      <c r="D66" s="33" t="b">
        <f>ABS(D60-D65)&lt;=3</f>
        <v>1</v>
      </c>
      <c r="E66" s="33" t="b">
        <f>ABS(E60-E65)&lt;=3</f>
        <v>1</v>
      </c>
      <c r="F66" s="33" t="b">
        <f>ABS(F60-F65)&lt;=3</f>
        <v>1</v>
      </c>
      <c r="G66" s="33" t="b">
        <f>ABS(G60-G65)&lt;=3</f>
        <v>1</v>
      </c>
      <c r="H66" s="33" t="b">
        <f>ABS(H60-H65)&lt;=3</f>
        <v>1</v>
      </c>
      <c r="I66" s="53" t="s">
        <v>40</v>
      </c>
      <c r="J66" s="20"/>
    </row>
    <row r="67">
      <c r="A67" s="9" t="s">
        <v>427</v>
      </c>
      <c r="B67" s="27">
        <f>'Share Count'!B12</f>
        <v>3768</v>
      </c>
      <c r="C67" s="27">
        <f>'Share Count'!C12</f>
        <v>3720</v>
      </c>
      <c r="D67" s="27">
        <f>'Share Count'!D12</f>
        <v>3679</v>
      </c>
      <c r="E67" s="27">
        <f>'Share Count'!E12</f>
        <v>3630.728260869565</v>
      </c>
      <c r="F67" s="27">
        <f>'Share Count'!F12</f>
        <v>3699</v>
      </c>
      <c r="G67" s="27">
        <f>'Share Count'!G12</f>
        <v>3597</v>
      </c>
      <c r="H67" s="27">
        <f>'Share Count'!H12</f>
        <v>3564</v>
      </c>
      <c r="I67" s="31">
        <f>'Share Count'!I12</f>
        <v>3551.1</v>
      </c>
      <c r="J67" s="20"/>
    </row>
    <row r="68">
      <c r="A68" s="9" t="s">
        <v>428</v>
      </c>
      <c r="B68" s="27">
        <f>'Share Count'!B14</f>
        <v>3784</v>
      </c>
      <c r="C68" s="27">
        <f>'Share Count'!C14</f>
        <v>3727</v>
      </c>
      <c r="D68" s="27">
        <f>'Share Count'!D14</f>
        <v>3689</v>
      </c>
      <c r="E68" s="27">
        <f>'Share Count'!E14</f>
        <v>3636</v>
      </c>
      <c r="F68" s="27">
        <f>'Share Count'!F14</f>
        <v>3709</v>
      </c>
      <c r="G68" s="27">
        <f>'Share Count'!G14</f>
        <v>3617</v>
      </c>
      <c r="H68" s="27">
        <f>'Share Count'!H14</f>
        <v>3570</v>
      </c>
      <c r="I68" s="31">
        <f>'Share Count'!I14</f>
        <v>3559.1</v>
      </c>
      <c r="J68" s="20"/>
    </row>
    <row r="69">
      <c r="A69" s="9" t="s">
        <v>429</v>
      </c>
      <c r="B69" s="49">
        <f>B60/B67</f>
        <v>0.8959660297239915</v>
      </c>
      <c r="C69" s="49">
        <f>C60/C67</f>
        <v>2.9900537634408604</v>
      </c>
      <c r="D69" s="49">
        <f>D60/D67</f>
        <v>0.9056808915466159</v>
      </c>
      <c r="E69" s="49">
        <f>E60/E67</f>
        <v>0.5971253820798917</v>
      </c>
      <c r="F69" s="49">
        <f>F60/F67</f>
        <v>5.406596377399297</v>
      </c>
      <c r="G69" s="49">
        <f>G60/G67</f>
        <v>0.6041145398943564</v>
      </c>
      <c r="H69" s="49">
        <f>H60/H67</f>
        <v>0.9890572390572391</v>
      </c>
      <c r="I69" s="72">
        <f>I60/I67</f>
        <v>0.8119812143912215</v>
      </c>
      <c r="J69" s="20"/>
    </row>
    <row r="70">
      <c r="A70" s="35" t="s">
        <v>430</v>
      </c>
      <c r="B70" s="75">
        <f>B60/B68</f>
        <v>0.8921775898520085</v>
      </c>
      <c r="C70" s="75">
        <f>C60/C68</f>
        <v>2.9844378856989535</v>
      </c>
      <c r="D70" s="75">
        <f>D60/D68</f>
        <v>0.9032258064516129</v>
      </c>
      <c r="E70" s="75">
        <f>E60/E68</f>
        <v>0.5962596259625963</v>
      </c>
      <c r="F70" s="75">
        <f>F60/F68</f>
        <v>5.392019412240496</v>
      </c>
      <c r="G70" s="75">
        <f>G60/G68</f>
        <v>0.6007741222007188</v>
      </c>
      <c r="H70" s="75">
        <f>H60/H68</f>
        <v>0.9873949579831933</v>
      </c>
      <c r="I70" s="77">
        <f>I60/I68</f>
        <v>0.8101560760935816</v>
      </c>
      <c r="J70" s="20" t="s">
        <v>431</v>
      </c>
    </row>
    <row r="71">
      <c r="A71" s="23" t="s">
        <v>217</v>
      </c>
      <c r="B71" s="29" t="s">
        <v>40</v>
      </c>
      <c r="C71" s="29" t="s">
        <v>40</v>
      </c>
      <c r="D71" s="29" t="s">
        <v>40</v>
      </c>
      <c r="E71" s="29" t="s">
        <v>40</v>
      </c>
      <c r="F71" s="29" t="s">
        <v>40</v>
      </c>
      <c r="G71" s="29">
        <f>IFERROR(G70/B70-1,"n.a.")</f>
        <v>-0.32662047440535547</v>
      </c>
      <c r="H71" s="29">
        <f>IFERROR(H70/C70-1,"n.a.")</f>
        <v>-0.6691521164790648</v>
      </c>
      <c r="I71" s="50">
        <f>IFERROR(I70/D70-1,"n.a.")</f>
        <v>-0.10304148718210604</v>
      </c>
      <c r="J71" s="20"/>
    </row>
    <row r="72">
      <c r="A72" s="9" t="s">
        <v>432</v>
      </c>
      <c r="B72" s="54">
        <f>Inputs!B14</f>
        <v>0.89</v>
      </c>
      <c r="C72" s="54">
        <f>Inputs!C14</f>
        <v>2.98</v>
      </c>
      <c r="D72" s="54">
        <f>Inputs!D14</f>
        <v>0.9</v>
      </c>
      <c r="E72" s="54">
        <f>Inputs!E14</f>
        <v>0.6</v>
      </c>
      <c r="F72" s="70">
        <v>5.39</v>
      </c>
      <c r="G72" s="54">
        <f>Inputs!G14</f>
        <v>0.6</v>
      </c>
      <c r="H72" s="54">
        <f>Inputs!H14</f>
        <v>0.99</v>
      </c>
      <c r="I72" s="72" t="s">
        <v>40</v>
      </c>
      <c r="J72" s="20" t="s">
        <v>433</v>
      </c>
    </row>
    <row r="73" ht="26.25">
      <c r="A73" s="106" t="s">
        <v>434</v>
      </c>
      <c r="B73" s="33" t="b">
        <f>ABS(B70-B72)&lt;=0.006</f>
        <v>1</v>
      </c>
      <c r="C73" s="33" t="b">
        <f>ABS(C70-C72)&lt;=0.006</f>
        <v>1</v>
      </c>
      <c r="D73" s="33" t="b">
        <f>ABS(D70-D72)&lt;=0.006</f>
        <v>1</v>
      </c>
      <c r="E73" s="33" t="b">
        <f>ABS(E70-E72)&lt;=0.006</f>
        <v>1</v>
      </c>
      <c r="F73" s="33" t="b">
        <f>ABS(F70-F72)&lt;=0.006</f>
        <v>1</v>
      </c>
      <c r="G73" s="33" t="b">
        <f>ABS(G70-G72)&lt;=0.006</f>
        <v>1</v>
      </c>
      <c r="H73" s="33" t="b">
        <f>ABS(H70-H72)&lt;=0.006</f>
        <v>1</v>
      </c>
      <c r="I73" s="53" t="s">
        <v>40</v>
      </c>
      <c r="J73" s="20" t="s">
        <v>435</v>
      </c>
    </row>
    <row r="74">
      <c r="A74" s="9" t="s">
        <v>436</v>
      </c>
      <c r="B74" s="33" t="s">
        <v>40</v>
      </c>
      <c r="C74" s="33" t="s">
        <v>40</v>
      </c>
      <c r="D74" s="33" t="s">
        <v>40</v>
      </c>
      <c r="E74" s="33" t="s">
        <v>40</v>
      </c>
      <c r="F74" s="33" t="s">
        <v>40</v>
      </c>
      <c r="G74" s="33" t="s">
        <v>40</v>
      </c>
      <c r="H74" s="33" t="s">
        <v>40</v>
      </c>
      <c r="I74" s="53" t="b">
        <f>ABS(I70-I60/I68)&lt;0.000001</f>
        <v>1</v>
      </c>
      <c r="J74" s="20"/>
    </row>
    <row r="75">
      <c r="A75" s="9"/>
      <c r="B75" s="9"/>
      <c r="C75" s="9"/>
      <c r="D75" s="9"/>
      <c r="E75" s="9"/>
      <c r="F75" s="9"/>
      <c r="G75" s="9"/>
      <c r="H75" s="9"/>
      <c r="I75" s="69"/>
      <c r="J75" s="20"/>
    </row>
    <row r="76">
      <c r="A76" s="35" t="s">
        <v>437</v>
      </c>
      <c r="B76" s="33"/>
      <c r="C76" s="33"/>
      <c r="D76" s="33"/>
      <c r="E76" s="33"/>
      <c r="F76" s="33"/>
      <c r="G76" s="33"/>
      <c r="H76" s="33"/>
      <c r="I76" s="53"/>
      <c r="J76" s="20"/>
    </row>
    <row r="77">
      <c r="A77" s="9" t="s">
        <v>407</v>
      </c>
      <c r="B77" s="40">
        <f>B41</f>
        <v>5659</v>
      </c>
      <c r="C77" s="40">
        <f>C41</f>
        <v>5993</v>
      </c>
      <c r="D77" s="40">
        <f>D41</f>
        <v>5533</v>
      </c>
      <c r="E77" s="40">
        <f>E41</f>
        <v>3488</v>
      </c>
      <c r="F77" s="40">
        <f>SUM(B77:E77)</f>
        <v>20673</v>
      </c>
      <c r="G77" s="40">
        <f>G41</f>
        <v>4135</v>
      </c>
      <c r="H77" s="40">
        <f>H41</f>
        <v>5160</v>
      </c>
      <c r="I77" s="41">
        <f>I41</f>
        <v>4814.805542580849</v>
      </c>
      <c r="J77" s="20"/>
    </row>
    <row r="78">
      <c r="A78" s="9" t="s">
        <v>438</v>
      </c>
      <c r="B78" s="40">
        <f>B32+B35</f>
        <v>3849</v>
      </c>
      <c r="C78" s="40">
        <f>C32+C35</f>
        <v>4154</v>
      </c>
      <c r="D78" s="40">
        <f>D32+D35</f>
        <v>4019</v>
      </c>
      <c r="E78" s="40">
        <f>E32+E35</f>
        <v>4187</v>
      </c>
      <c r="F78" s="40">
        <f>SUM(B78:E78)</f>
        <v>16209</v>
      </c>
      <c r="G78" s="40">
        <f>G32+G35</f>
        <v>3866</v>
      </c>
      <c r="H78" s="40">
        <f>H32+H35</f>
        <v>3688</v>
      </c>
      <c r="I78" s="41">
        <f>I32+I35</f>
        <v>3710</v>
      </c>
      <c r="J78" s="20"/>
    </row>
    <row r="79" ht="26.25">
      <c r="A79" s="106" t="s">
        <v>439</v>
      </c>
      <c r="B79" s="39">
        <v>20</v>
      </c>
      <c r="C79" s="39">
        <v>36</v>
      </c>
      <c r="D79" s="39">
        <v>26</v>
      </c>
      <c r="E79" s="39">
        <v>27</v>
      </c>
      <c r="F79" s="40">
        <f>SUM(B79:E79)</f>
        <v>109</v>
      </c>
      <c r="G79" s="39">
        <v>51</v>
      </c>
      <c r="H79" s="39">
        <v>0</v>
      </c>
      <c r="I79" s="73">
        <v>0</v>
      </c>
      <c r="J79" s="20" t="s">
        <v>391</v>
      </c>
    </row>
    <row r="80">
      <c r="A80" s="9" t="s">
        <v>440</v>
      </c>
      <c r="B80" s="39">
        <v>2</v>
      </c>
      <c r="C80" s="39">
        <v>75</v>
      </c>
      <c r="D80" s="39">
        <v>90</v>
      </c>
      <c r="E80" s="39">
        <v>208</v>
      </c>
      <c r="F80" s="40">
        <f>SUM(B80:E80)</f>
        <v>375</v>
      </c>
      <c r="G80" s="39">
        <v>0</v>
      </c>
      <c r="H80" s="39">
        <v>0</v>
      </c>
      <c r="I80" s="73">
        <v>0</v>
      </c>
      <c r="J80" s="20" t="s">
        <v>441</v>
      </c>
    </row>
    <row r="81">
      <c r="A81" s="9" t="s">
        <v>442</v>
      </c>
      <c r="B81" s="39">
        <v>3</v>
      </c>
      <c r="C81" s="39">
        <v>26</v>
      </c>
      <c r="D81" s="39">
        <v>0</v>
      </c>
      <c r="E81" s="39">
        <v>-10</v>
      </c>
      <c r="F81" s="40">
        <f>SUM(B81:E81)</f>
        <v>19</v>
      </c>
      <c r="G81" s="39">
        <v>-123</v>
      </c>
      <c r="H81" s="39">
        <v>55</v>
      </c>
      <c r="I81" s="73">
        <v>55</v>
      </c>
      <c r="J81" s="20" t="s">
        <v>443</v>
      </c>
    </row>
    <row r="82">
      <c r="A82" s="9" t="s">
        <v>444</v>
      </c>
      <c r="B82" s="39">
        <v>0</v>
      </c>
      <c r="C82" s="39">
        <v>0</v>
      </c>
      <c r="D82" s="39">
        <v>0</v>
      </c>
      <c r="E82" s="39">
        <v>0</v>
      </c>
      <c r="F82" s="40">
        <f>SUM(B82:E82)</f>
        <v>0</v>
      </c>
      <c r="G82" s="39">
        <v>0</v>
      </c>
      <c r="H82" s="39">
        <v>0</v>
      </c>
      <c r="I82" s="73">
        <v>175</v>
      </c>
      <c r="J82" s="20" t="s">
        <v>445</v>
      </c>
    </row>
    <row r="83">
      <c r="A83" s="35" t="s">
        <v>446</v>
      </c>
      <c r="B83" s="45">
        <f>B77+B78+B79+B80+B81+B82</f>
        <v>9533</v>
      </c>
      <c r="C83" s="45">
        <f>C77+C78+C79+C80+C81+C82</f>
        <v>10284</v>
      </c>
      <c r="D83" s="45">
        <f>D77+D78+D79+D80+D81+D82</f>
        <v>9668</v>
      </c>
      <c r="E83" s="45">
        <f>E77+E78+E79+E80+E81+E82</f>
        <v>7900</v>
      </c>
      <c r="F83" s="45">
        <f>SUM(B83:E83)</f>
        <v>37385</v>
      </c>
      <c r="G83" s="45">
        <f>G77+G78+G79+G80+G81+G82</f>
        <v>7929</v>
      </c>
      <c r="H83" s="45">
        <f>H77+H78+H79+H80+H81+H82</f>
        <v>8903</v>
      </c>
      <c r="I83" s="52">
        <f>I77+I78+I79+I80+I81+I82</f>
        <v>8754.805542580849</v>
      </c>
      <c r="J83" s="20" t="s">
        <v>447</v>
      </c>
    </row>
    <row r="84" ht="26.25">
      <c r="A84" s="106" t="s">
        <v>448</v>
      </c>
      <c r="B84" s="39">
        <v>9532</v>
      </c>
      <c r="C84" s="39">
        <v>10283</v>
      </c>
      <c r="D84" s="39">
        <v>9669</v>
      </c>
      <c r="E84" s="39">
        <v>7900</v>
      </c>
      <c r="F84" s="40">
        <f>SUM(B84:E84)</f>
        <v>37384</v>
      </c>
      <c r="G84" s="39">
        <v>7929</v>
      </c>
      <c r="H84" s="39">
        <v>8902</v>
      </c>
      <c r="I84" s="41" t="s">
        <v>40</v>
      </c>
      <c r="J84" s="20" t="s">
        <v>391</v>
      </c>
    </row>
    <row r="85">
      <c r="A85" s="9" t="s">
        <v>449</v>
      </c>
      <c r="B85" s="33" t="b">
        <f>ABS(B83-B84)&lt;=3</f>
        <v>1</v>
      </c>
      <c r="C85" s="33" t="b">
        <f>ABS(C83-C84)&lt;=3</f>
        <v>1</v>
      </c>
      <c r="D85" s="33" t="b">
        <f>ABS(D83-D84)&lt;=3</f>
        <v>1</v>
      </c>
      <c r="E85" s="33" t="b">
        <f>ABS(E83-E84)&lt;=3</f>
        <v>1</v>
      </c>
      <c r="F85" s="33" t="b">
        <f>ABS(F83-F84)&lt;=3</f>
        <v>1</v>
      </c>
      <c r="G85" s="33" t="b">
        <f>ABS(G83-G84)&lt;=3</f>
        <v>1</v>
      </c>
      <c r="H85" s="33" t="b">
        <f>ABS(H83-H84)&lt;=3</f>
        <v>1</v>
      </c>
      <c r="I85" s="53" t="s">
        <v>40</v>
      </c>
      <c r="J85" s="20"/>
    </row>
    <row r="86">
      <c r="A86" s="35" t="s">
        <v>450</v>
      </c>
      <c r="B86" s="33"/>
      <c r="C86" s="33"/>
      <c r="D86" s="33"/>
      <c r="E86" s="33"/>
      <c r="F86" s="33"/>
      <c r="G86" s="33"/>
      <c r="H86" s="33"/>
      <c r="I86" s="53"/>
      <c r="J86" s="20"/>
    </row>
    <row r="87">
      <c r="A87" s="9" t="s">
        <v>63</v>
      </c>
      <c r="B87" s="27">
        <f>'Segment - Residential C&amp;P'!B227</f>
        <v>6844</v>
      </c>
      <c r="C87" s="27">
        <f>'Segment - Residential C&amp;P'!C227</f>
        <v>7005</v>
      </c>
      <c r="D87" s="27">
        <f>'Segment - Residential C&amp;P'!D227</f>
        <v>6484</v>
      </c>
      <c r="E87" s="27">
        <f>'Segment - Residential C&amp;P'!E227</f>
        <v>6032</v>
      </c>
      <c r="F87" s="40">
        <f>SUM(B87:E87)</f>
        <v>26365</v>
      </c>
      <c r="G87" s="27">
        <f>'Segment - Residential C&amp;P'!G227</f>
        <v>6433</v>
      </c>
      <c r="H87" s="27">
        <f>'Segment - Residential C&amp;P'!H227</f>
        <v>6449</v>
      </c>
      <c r="I87" s="31">
        <f>'Segment - Residential C&amp;P'!I227</f>
        <v>6041.686228932846</v>
      </c>
      <c r="J87" s="20"/>
    </row>
    <row r="88">
      <c r="A88" s="9" t="s">
        <v>64</v>
      </c>
      <c r="B88" s="27">
        <f>'Segment - Business Services'!B36</f>
        <v>1422</v>
      </c>
      <c r="C88" s="27">
        <f>'Segment - Business Services'!C36</f>
        <v>1444</v>
      </c>
      <c r="D88" s="27">
        <f>'Segment - Business Services'!D36</f>
        <v>1454</v>
      </c>
      <c r="E88" s="27">
        <f>'Segment - Business Services'!E36</f>
        <v>1404</v>
      </c>
      <c r="F88" s="40">
        <f>SUM(B88:E88)</f>
        <v>5724</v>
      </c>
      <c r="G88" s="27">
        <f>'Segment - Business Services'!G36</f>
        <v>1477</v>
      </c>
      <c r="H88" s="27">
        <f>'Segment - Business Services'!H36</f>
        <v>1516</v>
      </c>
      <c r="I88" s="31">
        <f>'Segment - Business Services'!I36</f>
        <v>1488.4708836480004</v>
      </c>
      <c r="J88" s="20"/>
    </row>
    <row r="89">
      <c r="A89" s="9" t="s">
        <v>66</v>
      </c>
      <c r="B89" s="27">
        <f>'Segment - Media'!B170</f>
        <v>108</v>
      </c>
      <c r="C89" s="27">
        <f>'Segment - Media'!C170</f>
        <v>682</v>
      </c>
      <c r="D89" s="27">
        <f>'Segment - Media'!D170</f>
        <v>247</v>
      </c>
      <c r="E89" s="27">
        <f>'Segment - Media'!E170</f>
        <v>-872</v>
      </c>
      <c r="F89" s="40">
        <f>SUM(B89:E89)</f>
        <v>165</v>
      </c>
      <c r="G89" s="27">
        <f>'Segment - Media'!G170</f>
        <v>-425</v>
      </c>
      <c r="H89" s="27">
        <f>'Segment - Media'!H170</f>
        <v>708</v>
      </c>
      <c r="I89" s="31">
        <f>'Segment - Media'!I170</f>
        <v>498.4791500000001</v>
      </c>
      <c r="J89" s="20"/>
    </row>
    <row r="90">
      <c r="A90" s="9" t="s">
        <v>67</v>
      </c>
      <c r="B90" s="27">
        <f>'Segment - Studios'!B71</f>
        <v>274</v>
      </c>
      <c r="C90" s="27">
        <f>'Segment - Studios'!C71</f>
        <v>60</v>
      </c>
      <c r="D90" s="27">
        <f>'Segment - Studios'!D71</f>
        <v>338</v>
      </c>
      <c r="E90" s="27">
        <f>'Segment - Studios'!E71</f>
        <v>327</v>
      </c>
      <c r="F90" s="40">
        <f>SUM(B90:E90)</f>
        <v>999</v>
      </c>
      <c r="G90" s="27">
        <f>'Segment - Studios'!G71</f>
        <v>555</v>
      </c>
      <c r="H90" s="27">
        <f>'Segment - Studios'!H71</f>
        <v>201</v>
      </c>
      <c r="I90" s="31">
        <f>'Segment - Studios'!I71</f>
        <v>507.8090000000002</v>
      </c>
      <c r="J90" s="20"/>
    </row>
    <row r="91">
      <c r="A91" s="9" t="s">
        <v>68</v>
      </c>
      <c r="B91" s="27">
        <f>'Segment - Theme Parks'!B29</f>
        <v>413</v>
      </c>
      <c r="C91" s="27">
        <f>'Segment - Theme Parks'!C29</f>
        <v>641</v>
      </c>
      <c r="D91" s="27">
        <f>'Segment - Theme Parks'!D29</f>
        <v>940</v>
      </c>
      <c r="E91" s="27">
        <f>'Segment - Theme Parks'!E29</f>
        <v>1019</v>
      </c>
      <c r="F91" s="40">
        <f>SUM(B91:E91)</f>
        <v>3013</v>
      </c>
      <c r="G91" s="27">
        <f>'Segment - Theme Parks'!G29</f>
        <v>551</v>
      </c>
      <c r="H91" s="27">
        <f>'Segment - Theme Parks'!H29</f>
        <v>608</v>
      </c>
      <c r="I91" s="31">
        <f>'Segment - Theme Parks'!I29</f>
        <v>772.3602800000003</v>
      </c>
      <c r="J91" s="20"/>
    </row>
    <row r="92">
      <c r="A92" s="9" t="s">
        <v>451</v>
      </c>
      <c r="B92" s="39">
        <v>206</v>
      </c>
      <c r="C92" s="39">
        <v>210</v>
      </c>
      <c r="D92" s="39">
        <v>219</v>
      </c>
      <c r="E92" s="39">
        <v>257</v>
      </c>
      <c r="F92" s="40">
        <f>SUM(B92:E92)</f>
        <v>892</v>
      </c>
      <c r="G92" s="39">
        <v>223</v>
      </c>
      <c r="H92" s="39">
        <v>233</v>
      </c>
      <c r="I92" s="73">
        <v>230</v>
      </c>
      <c r="J92" s="20" t="s">
        <v>452</v>
      </c>
    </row>
    <row r="93">
      <c r="A93" s="9" t="s">
        <v>69</v>
      </c>
      <c r="B93" s="27">
        <f>'Revenue summary'!B15-B92</f>
        <v>-195</v>
      </c>
      <c r="C93" s="27">
        <f>'Revenue summary'!C15-C92</f>
        <v>-201</v>
      </c>
      <c r="D93" s="27">
        <f>'Revenue summary'!D15-D92</f>
        <v>-204</v>
      </c>
      <c r="E93" s="27">
        <f>'Revenue summary'!E15-E92</f>
        <v>-246</v>
      </c>
      <c r="F93" s="40">
        <f>SUM(B93:E93)</f>
        <v>-846</v>
      </c>
      <c r="G93" s="27">
        <f>'Revenue summary'!G15-G92</f>
        <v>-208</v>
      </c>
      <c r="H93" s="27">
        <f>'Revenue summary'!H15-H92</f>
        <v>-215</v>
      </c>
      <c r="I93" s="31">
        <f>'Revenue summary'!I15-I92</f>
        <v>-214</v>
      </c>
      <c r="J93" s="20"/>
    </row>
    <row r="94">
      <c r="A94" s="9" t="s">
        <v>453</v>
      </c>
      <c r="B94" s="39">
        <v>14</v>
      </c>
      <c r="C94" s="39">
        <v>56</v>
      </c>
      <c r="D94" s="39">
        <v>69</v>
      </c>
      <c r="E94" s="39">
        <v>47</v>
      </c>
      <c r="F94" s="40">
        <f>SUM(B94:E94)</f>
        <v>186</v>
      </c>
      <c r="G94" s="39">
        <v>-140</v>
      </c>
      <c r="H94" s="39">
        <v>25</v>
      </c>
      <c r="I94" s="73">
        <v>20</v>
      </c>
      <c r="J94" s="20" t="s">
        <v>454</v>
      </c>
    </row>
    <row r="95">
      <c r="A95" s="9" t="s">
        <v>455</v>
      </c>
      <c r="B95" s="39">
        <v>585</v>
      </c>
      <c r="C95" s="39">
        <v>609</v>
      </c>
      <c r="D95" s="39">
        <v>587</v>
      </c>
      <c r="E95" s="39">
        <v>793</v>
      </c>
      <c r="F95" s="40">
        <f>SUM(B95:E95)</f>
        <v>2574</v>
      </c>
      <c r="G95" s="39">
        <v>669</v>
      </c>
      <c r="H95" s="39">
        <v>742</v>
      </c>
      <c r="I95" s="73">
        <v>700</v>
      </c>
      <c r="J95" s="20" t="s">
        <v>456</v>
      </c>
    </row>
    <row r="96">
      <c r="A96" s="9" t="s">
        <v>108</v>
      </c>
      <c r="B96" s="27">
        <f>'Revenue summary'!B18-B95</f>
        <v>-195</v>
      </c>
      <c r="C96" s="27">
        <f>'Revenue summary'!C18-C95</f>
        <v>-287</v>
      </c>
      <c r="D96" s="27">
        <f>'Revenue summary'!D18-D95</f>
        <v>-272</v>
      </c>
      <c r="E96" s="27">
        <f>'Revenue summary'!E18-E95</f>
        <v>-414</v>
      </c>
      <c r="F96" s="40">
        <f>SUM(B96:E96)</f>
        <v>-1168</v>
      </c>
      <c r="G96" s="27">
        <f>'Revenue summary'!G18-G95</f>
        <v>-245</v>
      </c>
      <c r="H96" s="27">
        <f>'Revenue summary'!H18-H95</f>
        <v>-374</v>
      </c>
      <c r="I96" s="31">
        <f>'Revenue summary'!I18-I95</f>
        <v>-360</v>
      </c>
      <c r="J96" s="20"/>
    </row>
    <row r="97">
      <c r="A97" s="9" t="s">
        <v>457</v>
      </c>
      <c r="B97" s="39">
        <v>-1244</v>
      </c>
      <c r="C97" s="39">
        <v>-1237</v>
      </c>
      <c r="D97" s="39">
        <v>-1254</v>
      </c>
      <c r="E97" s="39">
        <v>-1315</v>
      </c>
      <c r="F97" s="40">
        <f>SUM(B97:E97)</f>
        <v>-5050</v>
      </c>
      <c r="G97" s="39">
        <v>-1404</v>
      </c>
      <c r="H97" s="39">
        <v>-1327</v>
      </c>
      <c r="I97" s="31">
        <f>'Revenue summary'!I19-I98</f>
        <v>-1300</v>
      </c>
      <c r="J97" s="20" t="s">
        <v>391</v>
      </c>
    </row>
    <row r="98">
      <c r="A98" s="9" t="s">
        <v>76</v>
      </c>
      <c r="B98" s="27">
        <f>'Revenue summary'!B19-B97</f>
        <v>13</v>
      </c>
      <c r="C98" s="27">
        <f>'Revenue summary'!C19-C97</f>
        <v>20</v>
      </c>
      <c r="D98" s="27">
        <f>'Revenue summary'!D19-D97</f>
        <v>-19</v>
      </c>
      <c r="E98" s="27">
        <f>'Revenue summary'!E19-E97</f>
        <v>0</v>
      </c>
      <c r="F98" s="40">
        <f>SUM(B98:E98)</f>
        <v>14</v>
      </c>
      <c r="G98" s="27">
        <f>'Revenue summary'!G19-G97</f>
        <v>-31</v>
      </c>
      <c r="H98" s="27">
        <f>'Revenue summary'!H19-H97</f>
        <v>3</v>
      </c>
      <c r="I98" s="73">
        <v>0</v>
      </c>
      <c r="J98" s="20" t="s">
        <v>458</v>
      </c>
    </row>
    <row r="99">
      <c r="A99" s="35" t="s">
        <v>459</v>
      </c>
      <c r="B99" s="45">
        <f>B87+B88+B89+B90+B91+B93+B94+B96+B98</f>
        <v>8698</v>
      </c>
      <c r="C99" s="45">
        <f>C87+C88+C89+C90+C91+C93+C94+C96+C98</f>
        <v>9420</v>
      </c>
      <c r="D99" s="45">
        <f>D87+D88+D89+D90+D91+D93+D94+D96+D98</f>
        <v>9037</v>
      </c>
      <c r="E99" s="45">
        <f>E87+E88+E89+E90+E91+E93+E94+E96+E98</f>
        <v>7297</v>
      </c>
      <c r="F99" s="45">
        <f>SUM(B99:E99)</f>
        <v>34452</v>
      </c>
      <c r="G99" s="45">
        <f>G87+G88+G89+G90+G91+G93+G94+G96+G98</f>
        <v>7967</v>
      </c>
      <c r="H99" s="45">
        <f>H87+H88+H89+H90+H91+H93+H94+H96+H98</f>
        <v>8921</v>
      </c>
      <c r="I99" s="52">
        <f>I87+I88+I89+I90+I91+I93+I94+I96+I98</f>
        <v>8754.805542580847</v>
      </c>
      <c r="J99" s="20"/>
    </row>
    <row r="100">
      <c r="A100" s="23" t="s">
        <v>460</v>
      </c>
      <c r="B100" s="29" t="s">
        <v>40</v>
      </c>
      <c r="C100" s="29" t="s">
        <v>40</v>
      </c>
      <c r="D100" s="29" t="s">
        <v>40</v>
      </c>
      <c r="E100" s="29" t="s">
        <v>40</v>
      </c>
      <c r="F100" s="29" t="s">
        <v>40</v>
      </c>
      <c r="G100" s="29">
        <f>IFERROR(G99/B99-1,"n.a.")</f>
        <v>-0.08404230857668427</v>
      </c>
      <c r="H100" s="29">
        <f>IFERROR(H99/C99-1,"n.a.")</f>
        <v>-0.052972399150743144</v>
      </c>
      <c r="I100" s="50">
        <f>IFERROR(I99/D99-1,"n.a.")</f>
        <v>-0.031226563839676147</v>
      </c>
      <c r="J100" s="20"/>
    </row>
    <row r="101">
      <c r="A101" s="23" t="s">
        <v>461</v>
      </c>
      <c r="B101" s="11">
        <f>B99/'Revenue summary'!B20</f>
        <v>0.31212545304482003</v>
      </c>
      <c r="C101" s="11">
        <f>C99/'Revenue summary'!C20</f>
        <v>0.3334985484670396</v>
      </c>
      <c r="D101" s="11">
        <f>D99/'Revenue summary'!D20</f>
        <v>0.31000651778669686</v>
      </c>
      <c r="E101" s="11">
        <f>E99/'Revenue summary'!E20</f>
        <v>0.2409364062603183</v>
      </c>
      <c r="F101" s="11">
        <f>F99/'Revenue summary'!F20</f>
        <v>0.29815664214625703</v>
      </c>
      <c r="G101" s="11">
        <f>G99/'Revenue summary'!G20</f>
        <v>0.2578901369242223</v>
      </c>
      <c r="H101" s="11">
        <f>H99/'Revenue summary'!H20</f>
        <v>0.30174192457297483</v>
      </c>
      <c r="I101" s="58">
        <f>I99/'Revenue summary'!I20</f>
        <v>0.29822358282469363</v>
      </c>
      <c r="J101" s="20"/>
    </row>
    <row r="102">
      <c r="A102" s="23" t="s">
        <v>139</v>
      </c>
      <c r="B102" s="51" t="s">
        <v>40</v>
      </c>
      <c r="C102" s="51" t="s">
        <v>40</v>
      </c>
      <c r="D102" s="51" t="s">
        <v>40</v>
      </c>
      <c r="E102" s="51" t="s">
        <v>40</v>
      </c>
      <c r="F102" s="51" t="s">
        <v>40</v>
      </c>
      <c r="G102" s="51">
        <f>IFERROR((G101-B101)*10000,"n.a.")</f>
        <v>-542.3531612059774</v>
      </c>
      <c r="H102" s="51">
        <f>IFERROR((H101-C101)*10000,"n.a.")</f>
        <v>-317.5662389406475</v>
      </c>
      <c r="I102" s="46">
        <f>IFERROR((I101-D101)*10000,"n.a.")</f>
        <v>-117.82934962003222</v>
      </c>
      <c r="J102" s="20"/>
    </row>
    <row r="103">
      <c r="A103" s="23" t="s">
        <v>140</v>
      </c>
      <c r="B103" s="51" t="s">
        <v>40</v>
      </c>
      <c r="C103" s="51">
        <f>IFERROR((C101-B101)*10000,"n.a.")</f>
        <v>213.73095422219546</v>
      </c>
      <c r="D103" s="51">
        <f>IFERROR((D101-C101)*10000,"n.a.")</f>
        <v>-234.92030680342722</v>
      </c>
      <c r="E103" s="51">
        <f>IFERROR((E101-D101)*10000,"n.a.")</f>
        <v>-690.7011152637857</v>
      </c>
      <c r="F103" s="51" t="s">
        <v>40</v>
      </c>
      <c r="G103" s="51">
        <f>IFERROR((G101-E101)*10000,"n.a.")</f>
        <v>169.53730663904014</v>
      </c>
      <c r="H103" s="51">
        <f>IFERROR((H101-G101)*10000,"n.a.")</f>
        <v>438.51787648752526</v>
      </c>
      <c r="I103" s="46">
        <f>IFERROR((I101-H101)*10000,"n.a.")</f>
        <v>-35.183417482811954</v>
      </c>
      <c r="J103" s="20"/>
    </row>
    <row r="104" ht="26.25">
      <c r="A104" s="106" t="s">
        <v>462</v>
      </c>
      <c r="B104" s="39">
        <v>8695</v>
      </c>
      <c r="C104" s="39">
        <v>9423</v>
      </c>
      <c r="D104" s="39">
        <v>9038</v>
      </c>
      <c r="E104" s="39">
        <v>7298</v>
      </c>
      <c r="F104" s="40">
        <f>SUM(B104:E104)</f>
        <v>34454</v>
      </c>
      <c r="G104" s="39">
        <v>7967</v>
      </c>
      <c r="H104" s="39">
        <v>8923</v>
      </c>
      <c r="I104" s="41" t="s">
        <v>40</v>
      </c>
      <c r="J104" s="20" t="s">
        <v>391</v>
      </c>
    </row>
    <row r="105">
      <c r="A105" s="9" t="s">
        <v>463</v>
      </c>
      <c r="B105" s="33" t="b">
        <f>ABS(B99-B104)&lt;=5</f>
        <v>1</v>
      </c>
      <c r="C105" s="33" t="b">
        <f>ABS(C99-C104)&lt;=5</f>
        <v>1</v>
      </c>
      <c r="D105" s="33" t="b">
        <f>ABS(D99-D104)&lt;=5</f>
        <v>1</v>
      </c>
      <c r="E105" s="33" t="b">
        <f>ABS(E99-E104)&lt;=5</f>
        <v>1</v>
      </c>
      <c r="F105" s="33" t="b">
        <f>ABS(F99-F104)&lt;=5</f>
        <v>1</v>
      </c>
      <c r="G105" s="33" t="b">
        <f>ABS(G99-G104)&lt;=5</f>
        <v>1</v>
      </c>
      <c r="H105" s="33" t="b">
        <f>ABS(H99-H104)&lt;=5</f>
        <v>1</v>
      </c>
      <c r="I105" s="53" t="s">
        <v>40</v>
      </c>
      <c r="J105" s="20"/>
    </row>
    <row r="106">
      <c r="A106" s="9" t="s">
        <v>464</v>
      </c>
      <c r="B106" s="39">
        <v>834</v>
      </c>
      <c r="C106" s="39">
        <v>789</v>
      </c>
      <c r="D106" s="39">
        <v>554</v>
      </c>
      <c r="E106" s="39">
        <v>673</v>
      </c>
      <c r="F106" s="40">
        <f>SUM(B106:E106)</f>
        <v>2850</v>
      </c>
      <c r="G106" s="39">
        <v>0</v>
      </c>
      <c r="H106" s="39">
        <v>0</v>
      </c>
      <c r="I106" s="73">
        <v>0</v>
      </c>
      <c r="J106" s="20" t="s">
        <v>391</v>
      </c>
    </row>
    <row r="107">
      <c r="A107" s="9" t="s">
        <v>86</v>
      </c>
      <c r="B107" s="39">
        <v>-3</v>
      </c>
      <c r="C107" s="39">
        <v>64</v>
      </c>
      <c r="D107" s="39">
        <v>69</v>
      </c>
      <c r="E107" s="39">
        <v>-78</v>
      </c>
      <c r="F107" s="40">
        <f>SUM(B107:E107)</f>
        <v>52</v>
      </c>
      <c r="G107" s="39">
        <v>-38</v>
      </c>
      <c r="H107" s="39">
        <v>-20</v>
      </c>
      <c r="I107" s="73">
        <v>0</v>
      </c>
      <c r="J107" s="20" t="s">
        <v>391</v>
      </c>
    </row>
    <row r="108">
      <c r="A108" s="9" t="s">
        <v>88</v>
      </c>
      <c r="B108" s="39">
        <v>6</v>
      </c>
      <c r="C108" s="39">
        <v>7</v>
      </c>
      <c r="D108" s="39">
        <v>8</v>
      </c>
      <c r="E108" s="39">
        <v>8</v>
      </c>
      <c r="F108" s="40">
        <f>SUM(B108:E108)</f>
        <v>29</v>
      </c>
      <c r="G108" s="39">
        <v>0</v>
      </c>
      <c r="H108" s="39">
        <v>0</v>
      </c>
      <c r="I108" s="73">
        <v>0</v>
      </c>
      <c r="J108" s="20" t="s">
        <v>391</v>
      </c>
    </row>
    <row r="109">
      <c r="A109" s="9" t="s">
        <v>90</v>
      </c>
      <c r="B109" s="40">
        <f>B83-(B99+B106+B107+B108)</f>
        <v>-2</v>
      </c>
      <c r="C109" s="40">
        <f>C83-(C99+C106+C107+C108)</f>
        <v>4</v>
      </c>
      <c r="D109" s="40">
        <f>D83-(D99+D106+D107+D108)</f>
        <v>0</v>
      </c>
      <c r="E109" s="40">
        <f>E83-(E99+E106+E107+E108)</f>
        <v>0</v>
      </c>
      <c r="F109" s="40">
        <f>SUM(B109:E109)</f>
        <v>2</v>
      </c>
      <c r="G109" s="40">
        <f>G83-(G99+G106+G107+G108)</f>
        <v>0</v>
      </c>
      <c r="H109" s="40">
        <f>H83-(H99+H106+H107+H108)</f>
        <v>2</v>
      </c>
      <c r="I109" s="73">
        <v>0</v>
      </c>
      <c r="J109" s="20" t="s">
        <v>465</v>
      </c>
    </row>
    <row r="110">
      <c r="A110" s="35" t="s">
        <v>466</v>
      </c>
      <c r="B110" s="45">
        <f>B99+B106+B107+B108+B109</f>
        <v>9533</v>
      </c>
      <c r="C110" s="45">
        <f>C99+C106+C107+C108+C109</f>
        <v>10284</v>
      </c>
      <c r="D110" s="45">
        <f>D99+D106+D107+D108+D109</f>
        <v>9668</v>
      </c>
      <c r="E110" s="45">
        <f>E99+E106+E107+E108+E109</f>
        <v>7900</v>
      </c>
      <c r="F110" s="45">
        <f>SUM(B110:E110)</f>
        <v>37385</v>
      </c>
      <c r="G110" s="45">
        <f>G99+G106+G107+G108+G109</f>
        <v>7929</v>
      </c>
      <c r="H110" s="45">
        <f>H99+H106+H107+H108+H109</f>
        <v>8903</v>
      </c>
      <c r="I110" s="52">
        <f>I99+I106+I107+I108+I109</f>
        <v>8754.805542580847</v>
      </c>
      <c r="J110" s="20"/>
    </row>
    <row r="111">
      <c r="A111" s="23" t="s">
        <v>217</v>
      </c>
      <c r="B111" s="29" t="s">
        <v>40</v>
      </c>
      <c r="C111" s="29" t="s">
        <v>40</v>
      </c>
      <c r="D111" s="29" t="s">
        <v>40</v>
      </c>
      <c r="E111" s="29" t="s">
        <v>40</v>
      </c>
      <c r="F111" s="29" t="s">
        <v>40</v>
      </c>
      <c r="G111" s="29">
        <f>IFERROR(G110/B110-1,"n.a.")</f>
        <v>-0.1682576313857128</v>
      </c>
      <c r="H111" s="29">
        <f>IFERROR(H110/C110-1,"n.a.")</f>
        <v>-0.13428626993387782</v>
      </c>
      <c r="I111" s="50">
        <f>IFERROR(I110/D110-1,"n.a.")</f>
        <v>-0.09445536382076469</v>
      </c>
      <c r="J111" s="20"/>
    </row>
    <row r="112">
      <c r="A112" s="23" t="s">
        <v>219</v>
      </c>
      <c r="B112" s="29">
        <f>B110/B9</f>
        <v>0.31896811322648644</v>
      </c>
      <c r="C112" s="29">
        <f>C110/C9</f>
        <v>0.33926038333388314</v>
      </c>
      <c r="D112" s="29">
        <f>D110/D9</f>
        <v>0.309891659721777</v>
      </c>
      <c r="E112" s="29">
        <f>E110/E9</f>
        <v>0.24450634478489633</v>
      </c>
      <c r="F112" s="29">
        <f>F110/F9</f>
        <v>0.3022035761632231</v>
      </c>
      <c r="G112" s="29">
        <f>G110/G9</f>
        <v>0.25205836538767207</v>
      </c>
      <c r="H112" s="29">
        <f>H110/H9</f>
        <v>0.2973613894455578</v>
      </c>
      <c r="I112" s="50">
        <f>I110/I9</f>
        <v>0.29822358282469363</v>
      </c>
      <c r="J112" s="20"/>
    </row>
    <row r="113">
      <c r="A113" s="23" t="s">
        <v>139</v>
      </c>
      <c r="B113" s="51" t="s">
        <v>40</v>
      </c>
      <c r="C113" s="51" t="s">
        <v>40</v>
      </c>
      <c r="D113" s="51" t="s">
        <v>40</v>
      </c>
      <c r="E113" s="51" t="s">
        <v>40</v>
      </c>
      <c r="F113" s="51" t="s">
        <v>40</v>
      </c>
      <c r="G113" s="51">
        <f>IFERROR((G112-B112)*10000,"n.a.")</f>
        <v>-669.0974783881437</v>
      </c>
      <c r="H113" s="51">
        <f>IFERROR((H112-C112)*10000,"n.a.")</f>
        <v>-418.98993888325356</v>
      </c>
      <c r="I113" s="46">
        <f>IFERROR((I112-D112)*10000,"n.a.")</f>
        <v>-116.6807689708338</v>
      </c>
      <c r="J113" s="20"/>
    </row>
    <row r="114">
      <c r="A114" s="23" t="s">
        <v>140</v>
      </c>
      <c r="B114" s="51" t="s">
        <v>40</v>
      </c>
      <c r="C114" s="51">
        <f>IFERROR((C112-B112)*10000,"n.a.")</f>
        <v>202.92270107396703</v>
      </c>
      <c r="D114" s="51">
        <f>IFERROR((D112-C112)*10000,"n.a.")</f>
        <v>-293.6872361210613</v>
      </c>
      <c r="E114" s="51">
        <f>IFERROR((E112-D112)*10000,"n.a.")</f>
        <v>-653.8531493688068</v>
      </c>
      <c r="F114" s="51" t="s">
        <v>40</v>
      </c>
      <c r="G114" s="51">
        <f>IFERROR((G112-E112)*10000,"n.a.")</f>
        <v>75.52020602775738</v>
      </c>
      <c r="H114" s="51">
        <f>IFERROR((H112-G112)*10000,"n.a.")</f>
        <v>453.0302405788572</v>
      </c>
      <c r="I114" s="46">
        <f>IFERROR((I112-H112)*10000,"n.a.")</f>
        <v>8.62193379135845</v>
      </c>
      <c r="J114" s="20"/>
    </row>
    <row r="115">
      <c r="A115" s="9" t="s">
        <v>467</v>
      </c>
      <c r="B115" s="117" t="b">
        <f>ABS(B109)&lt;=5</f>
        <v>1</v>
      </c>
      <c r="C115" s="117" t="b">
        <f>ABS(C109)&lt;=5</f>
        <v>1</v>
      </c>
      <c r="D115" s="117" t="b">
        <f>ABS(D109)&lt;=5</f>
        <v>1</v>
      </c>
      <c r="E115" s="117" t="b">
        <f>ABS(E109)&lt;=5</f>
        <v>1</v>
      </c>
      <c r="F115" s="117" t="b">
        <f>ABS(F109)&lt;=5</f>
        <v>1</v>
      </c>
      <c r="G115" s="117" t="b">
        <f>ABS(G109)&lt;=5</f>
        <v>1</v>
      </c>
      <c r="H115" s="117" t="b">
        <f>ABS(H109)&lt;=5</f>
        <v>1</v>
      </c>
      <c r="I115" s="53" t="b">
        <f>ABS(I110-I83)&lt;0.01</f>
        <v>1</v>
      </c>
      <c r="J115" s="20" t="s">
        <v>468</v>
      </c>
    </row>
    <row r="116">
      <c r="A116" s="9"/>
      <c r="B116" s="9"/>
      <c r="C116" s="9"/>
      <c r="D116" s="9"/>
      <c r="E116" s="9"/>
      <c r="F116" s="9"/>
      <c r="G116" s="9"/>
      <c r="H116" s="9"/>
      <c r="I116" s="69"/>
      <c r="J116" s="20"/>
    </row>
    <row r="117">
      <c r="A117" s="35" t="s">
        <v>469</v>
      </c>
      <c r="B117" s="33"/>
      <c r="C117" s="33"/>
      <c r="D117" s="33"/>
      <c r="E117" s="33"/>
      <c r="F117" s="33"/>
      <c r="G117" s="33"/>
      <c r="H117" s="33"/>
      <c r="I117" s="53"/>
      <c r="J117" s="20"/>
    </row>
    <row r="118">
      <c r="A118" s="9" t="s">
        <v>470</v>
      </c>
      <c r="B118" s="40">
        <f>B60</f>
        <v>3376</v>
      </c>
      <c r="C118" s="40">
        <f>C60</f>
        <v>11123</v>
      </c>
      <c r="D118" s="40">
        <f>D60</f>
        <v>3332</v>
      </c>
      <c r="E118" s="40">
        <f>E60</f>
        <v>2168</v>
      </c>
      <c r="F118" s="40">
        <f>SUM(B118:E118)</f>
        <v>19999</v>
      </c>
      <c r="G118" s="40">
        <f>G60</f>
        <v>2173</v>
      </c>
      <c r="H118" s="40">
        <f>H60</f>
        <v>3525</v>
      </c>
      <c r="I118" s="41">
        <f>I60</f>
        <v>2883.4264904246666</v>
      </c>
      <c r="J118" s="20"/>
    </row>
    <row r="119" ht="26.25">
      <c r="A119" s="106" t="s">
        <v>471</v>
      </c>
      <c r="B119" s="39">
        <v>606</v>
      </c>
      <c r="C119" s="39">
        <v>622</v>
      </c>
      <c r="D119" s="39">
        <v>633</v>
      </c>
      <c r="E119" s="39">
        <v>643</v>
      </c>
      <c r="F119" s="40">
        <f>SUM(B119:E119)</f>
        <v>2504</v>
      </c>
      <c r="G119" s="39">
        <v>405</v>
      </c>
      <c r="H119" s="39">
        <v>403</v>
      </c>
      <c r="I119" s="41">
        <f>I36*(1-I145)</f>
        <v>398.84000000000003</v>
      </c>
      <c r="J119" s="20" t="s">
        <v>391</v>
      </c>
    </row>
    <row r="120">
      <c r="A120" s="9" t="s">
        <v>472</v>
      </c>
      <c r="B120" s="39">
        <v>132</v>
      </c>
      <c r="C120" s="39">
        <v>-96</v>
      </c>
      <c r="D120" s="39">
        <v>43</v>
      </c>
      <c r="E120" s="39">
        <v>199</v>
      </c>
      <c r="F120" s="40">
        <f>SUM(B120:E120)</f>
        <v>278</v>
      </c>
      <c r="G120" s="39">
        <v>259</v>
      </c>
      <c r="H120" s="39">
        <v>-251</v>
      </c>
      <c r="I120" s="41">
        <f>I141*(1-I146)</f>
        <v>60.8</v>
      </c>
      <c r="J120" s="20" t="s">
        <v>473</v>
      </c>
    </row>
    <row r="121">
      <c r="A121" s="9" t="s">
        <v>474</v>
      </c>
      <c r="B121" s="39">
        <v>0</v>
      </c>
      <c r="C121" s="39">
        <v>155</v>
      </c>
      <c r="D121" s="39">
        <v>0</v>
      </c>
      <c r="E121" s="39">
        <v>0</v>
      </c>
      <c r="F121" s="40">
        <f>SUM(B121:E121)</f>
        <v>155</v>
      </c>
      <c r="G121" s="39">
        <v>130</v>
      </c>
      <c r="H121" s="39">
        <v>0</v>
      </c>
      <c r="I121" s="73">
        <v>0</v>
      </c>
      <c r="J121" s="20" t="s">
        <v>391</v>
      </c>
    </row>
    <row r="122">
      <c r="A122" s="9" t="s">
        <v>475</v>
      </c>
      <c r="B122" s="39">
        <v>17</v>
      </c>
      <c r="C122" s="39">
        <v>31</v>
      </c>
      <c r="D122" s="39">
        <v>23</v>
      </c>
      <c r="E122" s="39">
        <v>24</v>
      </c>
      <c r="F122" s="40">
        <f>SUM(B122:E122)</f>
        <v>95</v>
      </c>
      <c r="G122" s="39">
        <v>45</v>
      </c>
      <c r="H122" s="39">
        <v>0</v>
      </c>
      <c r="I122" s="124">
        <f>I79*(1-I146)</f>
        <v>0</v>
      </c>
      <c r="J122" s="20" t="s">
        <v>476</v>
      </c>
    </row>
    <row r="123">
      <c r="A123" s="9" t="s">
        <v>477</v>
      </c>
      <c r="B123" s="39">
        <v>2</v>
      </c>
      <c r="C123" s="39">
        <v>66</v>
      </c>
      <c r="D123" s="39">
        <v>79</v>
      </c>
      <c r="E123" s="39">
        <v>183</v>
      </c>
      <c r="F123" s="40">
        <f>SUM(B123:E123)</f>
        <v>330</v>
      </c>
      <c r="G123" s="39">
        <v>0</v>
      </c>
      <c r="H123" s="39">
        <v>0</v>
      </c>
      <c r="I123" s="124">
        <f>I80*(1-I146)</f>
        <v>0</v>
      </c>
      <c r="J123" s="20" t="s">
        <v>478</v>
      </c>
    </row>
    <row r="124" ht="26.25">
      <c r="A124" s="106" t="s">
        <v>479</v>
      </c>
      <c r="B124" s="39">
        <v>0</v>
      </c>
      <c r="C124" s="39">
        <v>-7072</v>
      </c>
      <c r="D124" s="39">
        <v>15</v>
      </c>
      <c r="E124" s="39">
        <v>0</v>
      </c>
      <c r="F124" s="40">
        <f>SUM(B124:E124)</f>
        <v>-7057</v>
      </c>
      <c r="G124" s="39">
        <v>0</v>
      </c>
      <c r="H124" s="39">
        <v>0</v>
      </c>
      <c r="I124" s="73">
        <v>0</v>
      </c>
      <c r="J124" s="20" t="s">
        <v>391</v>
      </c>
    </row>
    <row r="125">
      <c r="A125" s="9" t="s">
        <v>480</v>
      </c>
      <c r="B125" s="39">
        <v>0</v>
      </c>
      <c r="C125" s="39">
        <v>-177</v>
      </c>
      <c r="D125" s="39">
        <v>0</v>
      </c>
      <c r="E125" s="39">
        <v>0</v>
      </c>
      <c r="F125" s="40">
        <f>SUM(B125:E125)</f>
        <v>-177</v>
      </c>
      <c r="G125" s="39">
        <v>0</v>
      </c>
      <c r="H125" s="39">
        <v>0</v>
      </c>
      <c r="I125" s="73">
        <v>0</v>
      </c>
      <c r="J125" s="20" t="s">
        <v>391</v>
      </c>
    </row>
    <row r="126">
      <c r="A126" s="9" t="s">
        <v>481</v>
      </c>
      <c r="B126" s="39">
        <v>0</v>
      </c>
      <c r="C126" s="39">
        <v>0</v>
      </c>
      <c r="D126" s="39">
        <v>0</v>
      </c>
      <c r="E126" s="39">
        <v>-154</v>
      </c>
      <c r="F126" s="40">
        <f>SUM(B126:E126)</f>
        <v>-154</v>
      </c>
      <c r="G126" s="39">
        <v>-57</v>
      </c>
      <c r="H126" s="39">
        <v>-11</v>
      </c>
      <c r="I126" s="73">
        <v>0</v>
      </c>
      <c r="J126" s="20" t="s">
        <v>391</v>
      </c>
    </row>
    <row r="127">
      <c r="A127" s="9" t="s">
        <v>482</v>
      </c>
      <c r="B127" s="39">
        <v>0</v>
      </c>
      <c r="C127" s="39">
        <v>0</v>
      </c>
      <c r="D127" s="39">
        <v>0</v>
      </c>
      <c r="E127" s="39">
        <v>0</v>
      </c>
      <c r="F127" s="40">
        <f>SUM(B127:E127)</f>
        <v>0</v>
      </c>
      <c r="G127" s="39">
        <v>-92</v>
      </c>
      <c r="H127" s="39">
        <v>44</v>
      </c>
      <c r="I127" s="41">
        <f>I81*(1-I146)</f>
        <v>41.8</v>
      </c>
      <c r="J127" s="20" t="s">
        <v>483</v>
      </c>
    </row>
    <row r="128">
      <c r="A128" s="9" t="s">
        <v>444</v>
      </c>
      <c r="B128" s="39">
        <v>0</v>
      </c>
      <c r="C128" s="39">
        <v>0</v>
      </c>
      <c r="D128" s="39">
        <v>0</v>
      </c>
      <c r="E128" s="39">
        <v>0</v>
      </c>
      <c r="F128" s="40">
        <f>SUM(B128:E128)</f>
        <v>0</v>
      </c>
      <c r="G128" s="39">
        <v>0</v>
      </c>
      <c r="H128" s="39">
        <v>0</v>
      </c>
      <c r="I128" s="41">
        <f>I82*(1-I146)</f>
        <v>133</v>
      </c>
      <c r="J128" s="20" t="s">
        <v>484</v>
      </c>
    </row>
    <row r="129">
      <c r="A129" s="35" t="s">
        <v>485</v>
      </c>
      <c r="B129" s="45">
        <f>B118+B119+B120+B121+B122+B123+B124+B125+B126+B127+B128</f>
        <v>4133</v>
      </c>
      <c r="C129" s="45">
        <f>C118+C119+C120+C121+C122+C123+C124+C125+C126+C127+C128</f>
        <v>4652</v>
      </c>
      <c r="D129" s="45">
        <f>D118+D119+D120+D121+D122+D123+D124+D125+D126+D127+D128</f>
        <v>4125</v>
      </c>
      <c r="E129" s="45">
        <f>E118+E119+E120+E121+E122+E123+E124+E125+E126+E127+E128</f>
        <v>3063</v>
      </c>
      <c r="F129" s="45">
        <f>SUM(B129:E129)</f>
        <v>15973</v>
      </c>
      <c r="G129" s="45">
        <f>G118+G119+G120+G121+G122+G123+G124+G125+G126+G127+G128</f>
        <v>2863</v>
      </c>
      <c r="H129" s="45">
        <f>H118+H119+H120+H121+H122+H123+H124+H125+H126+H127+H128</f>
        <v>3710</v>
      </c>
      <c r="I129" s="52">
        <f>I118+I119+I120+I121+I122+I123+I124+I125+I126+I127+I128</f>
        <v>3517.866490424667</v>
      </c>
      <c r="J129" s="20"/>
    </row>
    <row r="130">
      <c r="A130" s="23" t="s">
        <v>217</v>
      </c>
      <c r="B130" s="29" t="s">
        <v>40</v>
      </c>
      <c r="C130" s="29" t="s">
        <v>40</v>
      </c>
      <c r="D130" s="29" t="s">
        <v>40</v>
      </c>
      <c r="E130" s="29" t="s">
        <v>40</v>
      </c>
      <c r="F130" s="29" t="s">
        <v>40</v>
      </c>
      <c r="G130" s="29">
        <f>IFERROR(G129/B129-1,"n.a.")</f>
        <v>-0.30728284539075734</v>
      </c>
      <c r="H130" s="29">
        <f>IFERROR(H129/C129-1,"n.a.")</f>
        <v>-0.20249355116079104</v>
      </c>
      <c r="I130" s="50">
        <f>IFERROR(I129/D129-1,"n.a.")</f>
        <v>-0.14718388110917158</v>
      </c>
      <c r="J130" s="20"/>
    </row>
    <row r="131">
      <c r="A131" s="9" t="s">
        <v>486</v>
      </c>
      <c r="B131" s="39">
        <v>4132</v>
      </c>
      <c r="C131" s="39">
        <v>4653</v>
      </c>
      <c r="D131" s="39">
        <v>4125</v>
      </c>
      <c r="E131" s="39">
        <v>3062</v>
      </c>
      <c r="F131" s="40">
        <f>SUM(B131:E131)</f>
        <v>15972</v>
      </c>
      <c r="G131" s="39">
        <v>2863</v>
      </c>
      <c r="H131" s="39">
        <v>3710</v>
      </c>
      <c r="I131" s="41" t="s">
        <v>40</v>
      </c>
      <c r="J131" s="20" t="s">
        <v>391</v>
      </c>
    </row>
    <row r="132">
      <c r="A132" s="9" t="s">
        <v>487</v>
      </c>
      <c r="B132" s="33" t="b">
        <f>ABS(B129-B131)&lt;=3</f>
        <v>1</v>
      </c>
      <c r="C132" s="33" t="b">
        <f>ABS(C129-C131)&lt;=3</f>
        <v>1</v>
      </c>
      <c r="D132" s="33" t="b">
        <f>ABS(D129-D131)&lt;=3</f>
        <v>1</v>
      </c>
      <c r="E132" s="33" t="b">
        <f>ABS(E129-E131)&lt;=3</f>
        <v>1</v>
      </c>
      <c r="F132" s="33" t="b">
        <f>ABS(F129-F131)&lt;=3</f>
        <v>1</v>
      </c>
      <c r="G132" s="33" t="b">
        <f>ABS(G129-G131)&lt;=3</f>
        <v>1</v>
      </c>
      <c r="H132" s="33" t="b">
        <f>ABS(H129-H131)&lt;=3</f>
        <v>1</v>
      </c>
      <c r="I132" s="53" t="s">
        <v>40</v>
      </c>
      <c r="J132" s="20"/>
    </row>
    <row r="133">
      <c r="A133" s="35" t="s">
        <v>488</v>
      </c>
      <c r="B133" s="75">
        <f>B129/B68</f>
        <v>1.09223044397463</v>
      </c>
      <c r="C133" s="75">
        <f>C129/C68</f>
        <v>1.248188891870137</v>
      </c>
      <c r="D133" s="75">
        <f>D129/D68</f>
        <v>1.1181892111683382</v>
      </c>
      <c r="E133" s="75">
        <f>E129/E68</f>
        <v>0.8424092409240924</v>
      </c>
      <c r="F133" s="75">
        <f>F129/F68</f>
        <v>4.306551631167431</v>
      </c>
      <c r="G133" s="75">
        <f>G129/G68</f>
        <v>0.7915399502350013</v>
      </c>
      <c r="H133" s="75">
        <f>H129/H68</f>
        <v>1.0392156862745099</v>
      </c>
      <c r="I133" s="123">
        <f>I129/I68</f>
        <v>0.9884146246030365</v>
      </c>
      <c r="J133" s="20" t="s">
        <v>489</v>
      </c>
    </row>
    <row r="134">
      <c r="A134" s="23" t="s">
        <v>217</v>
      </c>
      <c r="B134" s="29" t="s">
        <v>40</v>
      </c>
      <c r="C134" s="29" t="s">
        <v>40</v>
      </c>
      <c r="D134" s="29" t="s">
        <v>40</v>
      </c>
      <c r="E134" s="29" t="s">
        <v>40</v>
      </c>
      <c r="F134" s="29" t="s">
        <v>40</v>
      </c>
      <c r="G134" s="29">
        <f>IFERROR(G133/B133-1,"n.a.")</f>
        <v>-0.27529949874443616</v>
      </c>
      <c r="H134" s="29">
        <f>IFERROR(H133/C133-1,"n.a.")</f>
        <v>-0.167421138704837</v>
      </c>
      <c r="I134" s="50">
        <f>IFERROR(I133/D133-1,"n.a.")</f>
        <v>-0.11605780602167226</v>
      </c>
      <c r="J134" s="20"/>
    </row>
    <row r="135">
      <c r="A135" s="9" t="s">
        <v>490</v>
      </c>
      <c r="B135" s="54">
        <f>Inputs!B12</f>
        <v>1.09</v>
      </c>
      <c r="C135" s="54">
        <f>Inputs!C12</f>
        <v>1.25</v>
      </c>
      <c r="D135" s="54">
        <f>Inputs!D12</f>
        <v>1.12</v>
      </c>
      <c r="E135" s="54">
        <f>Inputs!E12</f>
        <v>0.84</v>
      </c>
      <c r="F135" s="70">
        <v>4.31</v>
      </c>
      <c r="G135" s="54">
        <f>Inputs!G12</f>
        <v>0.79</v>
      </c>
      <c r="H135" s="54">
        <f>Inputs!H12</f>
        <v>1.04</v>
      </c>
      <c r="I135" s="72" t="s">
        <v>40</v>
      </c>
      <c r="J135" s="20" t="s">
        <v>491</v>
      </c>
    </row>
    <row r="136" ht="26.25">
      <c r="A136" s="106" t="s">
        <v>492</v>
      </c>
      <c r="B136" s="33" t="b">
        <f>ABS(B133-B135)&lt;=0.006</f>
        <v>1</v>
      </c>
      <c r="C136" s="33" t="b">
        <f>ABS(C133-C135)&lt;=0.006</f>
        <v>1</v>
      </c>
      <c r="D136" s="33" t="b">
        <f>ABS(D133-D135)&lt;=0.006</f>
        <v>1</v>
      </c>
      <c r="E136" s="33" t="b">
        <f>ABS(E133-E135)&lt;=0.006</f>
        <v>1</v>
      </c>
      <c r="F136" s="33" t="b">
        <f>ABS(F133-F135)&lt;=0.006</f>
        <v>1</v>
      </c>
      <c r="G136" s="33" t="b">
        <f>ABS(G133-G135)&lt;=0.006</f>
        <v>1</v>
      </c>
      <c r="H136" s="33" t="b">
        <f>ABS(H133-H135)&lt;=0.006</f>
        <v>1</v>
      </c>
      <c r="I136" s="53" t="s">
        <v>40</v>
      </c>
      <c r="J136" s="20"/>
    </row>
    <row r="137">
      <c r="A137" s="35" t="s">
        <v>493</v>
      </c>
      <c r="B137" s="75">
        <f>B135</f>
        <v>1.09</v>
      </c>
      <c r="C137" s="75">
        <f>C135</f>
        <v>1.25</v>
      </c>
      <c r="D137" s="75">
        <f>D135</f>
        <v>1.12</v>
      </c>
      <c r="E137" s="75">
        <f>E135</f>
        <v>0.84</v>
      </c>
      <c r="F137" s="75">
        <f>F135</f>
        <v>4.31</v>
      </c>
      <c r="G137" s="75">
        <f>G135</f>
        <v>0.79</v>
      </c>
      <c r="H137" s="75">
        <f>H135</f>
        <v>1.04</v>
      </c>
      <c r="I137" s="123">
        <f>I133</f>
        <v>0.9884146246030365</v>
      </c>
      <c r="J137" s="20" t="s">
        <v>494</v>
      </c>
    </row>
    <row r="138" ht="26.25">
      <c r="A138" s="106" t="s">
        <v>495</v>
      </c>
      <c r="B138" s="54">
        <f>Inputs!B11</f>
        <v>0.99</v>
      </c>
      <c r="C138" s="54">
        <f>Inputs!C11</f>
        <v>1.18</v>
      </c>
      <c r="D138" s="54">
        <f>Inputs!D11</f>
        <v>1.1</v>
      </c>
      <c r="E138" s="54">
        <f>Inputs!E11</f>
        <v>0.76</v>
      </c>
      <c r="F138" s="49" t="s">
        <v>40</v>
      </c>
      <c r="G138" s="54">
        <f>Inputs!G11</f>
        <v>0.73</v>
      </c>
      <c r="H138" s="54">
        <f>Inputs!H11</f>
        <v>0.97</v>
      </c>
      <c r="I138" s="120">
        <f>Inputs!I11</f>
        <v>0.99</v>
      </c>
      <c r="J138" s="20"/>
    </row>
    <row r="139">
      <c r="A139" s="9" t="s">
        <v>496</v>
      </c>
      <c r="B139" s="95">
        <f>B137-B138</f>
        <v>0.10000000000000009</v>
      </c>
      <c r="C139" s="95">
        <f>C137-C138</f>
        <v>0.07000000000000006</v>
      </c>
      <c r="D139" s="95">
        <f>D137-D138</f>
        <v>0.020000000000000018</v>
      </c>
      <c r="E139" s="95">
        <f>E137-E138</f>
        <v>0.07999999999999996</v>
      </c>
      <c r="F139" s="95" t="s">
        <v>40</v>
      </c>
      <c r="G139" s="95">
        <f>G137-G138</f>
        <v>0.06000000000000005</v>
      </c>
      <c r="H139" s="95">
        <f>H137-H138</f>
        <v>0.07000000000000006</v>
      </c>
      <c r="I139" s="125">
        <f>I137-I138</f>
        <v>-0.001585375396963462</v>
      </c>
      <c r="J139" s="20"/>
    </row>
    <row r="140">
      <c r="A140" s="35" t="s">
        <v>497</v>
      </c>
      <c r="B140" s="33"/>
      <c r="C140" s="33"/>
      <c r="D140" s="33"/>
      <c r="E140" s="33"/>
      <c r="F140" s="33"/>
      <c r="G140" s="33"/>
      <c r="H140" s="33"/>
      <c r="I140" s="53"/>
      <c r="J140" s="20"/>
    </row>
    <row r="141">
      <c r="A141" s="9" t="s">
        <v>498</v>
      </c>
      <c r="B141" s="40" t="s">
        <v>40</v>
      </c>
      <c r="C141" s="40" t="s">
        <v>40</v>
      </c>
      <c r="D141" s="40" t="s">
        <v>40</v>
      </c>
      <c r="E141" s="40" t="s">
        <v>40</v>
      </c>
      <c r="F141" s="40" t="s">
        <v>40</v>
      </c>
      <c r="G141" s="40" t="s">
        <v>40</v>
      </c>
      <c r="H141" s="40" t="s">
        <v>40</v>
      </c>
      <c r="I141" s="73">
        <v>80</v>
      </c>
      <c r="J141" s="20" t="s">
        <v>499</v>
      </c>
    </row>
    <row r="142">
      <c r="A142" s="35" t="s">
        <v>500</v>
      </c>
      <c r="B142" s="45" t="s">
        <v>40</v>
      </c>
      <c r="C142" s="45" t="s">
        <v>40</v>
      </c>
      <c r="D142" s="45" t="s">
        <v>40</v>
      </c>
      <c r="E142" s="45" t="s">
        <v>40</v>
      </c>
      <c r="F142" s="45" t="s">
        <v>40</v>
      </c>
      <c r="G142" s="45" t="s">
        <v>40</v>
      </c>
      <c r="H142" s="45" t="s">
        <v>40</v>
      </c>
      <c r="I142" s="52">
        <f>I53+I36+I141+I81+I82+I79+I80</f>
        <v>4644.805542580849</v>
      </c>
      <c r="J142" s="20"/>
    </row>
    <row r="143">
      <c r="A143" s="23" t="s">
        <v>501</v>
      </c>
      <c r="B143" s="29" t="s">
        <v>40</v>
      </c>
      <c r="C143" s="29" t="s">
        <v>40</v>
      </c>
      <c r="D143" s="29" t="s">
        <v>40</v>
      </c>
      <c r="E143" s="29" t="s">
        <v>40</v>
      </c>
      <c r="F143" s="29" t="s">
        <v>40</v>
      </c>
      <c r="G143" s="29" t="s">
        <v>40</v>
      </c>
      <c r="H143" s="29" t="s">
        <v>40</v>
      </c>
      <c r="I143" s="48">
        <v>0.262</v>
      </c>
      <c r="J143" s="20" t="s">
        <v>502</v>
      </c>
    </row>
    <row r="144">
      <c r="A144" s="9" t="s">
        <v>503</v>
      </c>
      <c r="B144" s="40" t="s">
        <v>40</v>
      </c>
      <c r="C144" s="40" t="s">
        <v>40</v>
      </c>
      <c r="D144" s="40" t="s">
        <v>40</v>
      </c>
      <c r="E144" s="40" t="s">
        <v>40</v>
      </c>
      <c r="F144" s="40" t="s">
        <v>40</v>
      </c>
      <c r="G144" s="40" t="s">
        <v>40</v>
      </c>
      <c r="H144" s="40" t="s">
        <v>40</v>
      </c>
      <c r="I144" s="41">
        <f>I142*I143</f>
        <v>1216.9390521561825</v>
      </c>
      <c r="J144" s="20"/>
    </row>
    <row r="145">
      <c r="A145" s="23" t="s">
        <v>504</v>
      </c>
      <c r="B145" s="29" t="s">
        <v>40</v>
      </c>
      <c r="C145" s="29" t="s">
        <v>40</v>
      </c>
      <c r="D145" s="29" t="s">
        <v>40</v>
      </c>
      <c r="E145" s="29" t="s">
        <v>40</v>
      </c>
      <c r="F145" s="29" t="s">
        <v>40</v>
      </c>
      <c r="G145" s="29" t="s">
        <v>40</v>
      </c>
      <c r="H145" s="29" t="s">
        <v>40</v>
      </c>
      <c r="I145" s="48">
        <v>0.233</v>
      </c>
      <c r="J145" s="20" t="s">
        <v>505</v>
      </c>
    </row>
    <row r="146">
      <c r="A146" s="23" t="s">
        <v>506</v>
      </c>
      <c r="B146" s="29" t="s">
        <v>40</v>
      </c>
      <c r="C146" s="29" t="s">
        <v>40</v>
      </c>
      <c r="D146" s="29" t="s">
        <v>40</v>
      </c>
      <c r="E146" s="29" t="s">
        <v>40</v>
      </c>
      <c r="F146" s="29" t="s">
        <v>40</v>
      </c>
      <c r="G146" s="29" t="s">
        <v>40</v>
      </c>
      <c r="H146" s="29" t="s">
        <v>40</v>
      </c>
      <c r="I146" s="48">
        <v>0.24</v>
      </c>
      <c r="J146" s="20" t="s">
        <v>507</v>
      </c>
    </row>
    <row r="147">
      <c r="A147" s="9" t="s">
        <v>508</v>
      </c>
      <c r="B147" s="40" t="s">
        <v>40</v>
      </c>
      <c r="C147" s="40" t="s">
        <v>40</v>
      </c>
      <c r="D147" s="40" t="s">
        <v>40</v>
      </c>
      <c r="E147" s="40" t="s">
        <v>40</v>
      </c>
      <c r="F147" s="40" t="s">
        <v>40</v>
      </c>
      <c r="G147" s="40" t="s">
        <v>40</v>
      </c>
      <c r="H147" s="40" t="s">
        <v>40</v>
      </c>
      <c r="I147" s="41">
        <f>I36*I145+(I141+I81+I82+I79+I80)*I146</f>
        <v>195.56</v>
      </c>
      <c r="J147" s="20" t="s">
        <v>509</v>
      </c>
    </row>
    <row r="148">
      <c r="A148" s="9" t="s">
        <v>510</v>
      </c>
      <c r="B148" s="40" t="s">
        <v>40</v>
      </c>
      <c r="C148" s="40" t="s">
        <v>40</v>
      </c>
      <c r="D148" s="40" t="s">
        <v>40</v>
      </c>
      <c r="E148" s="40" t="s">
        <v>40</v>
      </c>
      <c r="F148" s="40" t="s">
        <v>40</v>
      </c>
      <c r="G148" s="40" t="s">
        <v>40</v>
      </c>
      <c r="H148" s="40" t="s">
        <v>40</v>
      </c>
      <c r="I148" s="41">
        <f>I142-I144-I59</f>
        <v>3517.866490424666</v>
      </c>
      <c r="J148" s="20"/>
    </row>
    <row r="149">
      <c r="A149" s="9" t="s">
        <v>511</v>
      </c>
      <c r="B149" s="33" t="s">
        <v>40</v>
      </c>
      <c r="C149" s="33" t="s">
        <v>40</v>
      </c>
      <c r="D149" s="33" t="s">
        <v>40</v>
      </c>
      <c r="E149" s="33" t="s">
        <v>40</v>
      </c>
      <c r="F149" s="33" t="s">
        <v>40</v>
      </c>
      <c r="G149" s="33" t="s">
        <v>40</v>
      </c>
      <c r="H149" s="33" t="s">
        <v>40</v>
      </c>
      <c r="I149" s="53" t="b">
        <f>ABS(I129-I148)&lt;0.01</f>
        <v>1</v>
      </c>
      <c r="J149" s="20" t="s">
        <v>512</v>
      </c>
    </row>
    <row r="150">
      <c r="A150" s="9" t="s">
        <v>513</v>
      </c>
      <c r="B150" s="40">
        <f>B87+B88</f>
        <v>8266</v>
      </c>
      <c r="C150" s="40">
        <f>C87+C88</f>
        <v>8449</v>
      </c>
      <c r="D150" s="40">
        <f>D87+D88</f>
        <v>7938</v>
      </c>
      <c r="E150" s="40">
        <f>E87+E88</f>
        <v>7436</v>
      </c>
      <c r="F150" s="40">
        <f>SUM(B150:E150)</f>
        <v>32089</v>
      </c>
      <c r="G150" s="40">
        <f>G87+G88</f>
        <v>7910</v>
      </c>
      <c r="H150" s="40">
        <f>H87+H88</f>
        <v>7965</v>
      </c>
      <c r="I150" s="41">
        <f>I87+I88</f>
        <v>7530.157112580846</v>
      </c>
      <c r="J150" s="20"/>
    </row>
    <row r="151">
      <c r="A151" s="23" t="s">
        <v>217</v>
      </c>
      <c r="B151" s="29" t="s">
        <v>40</v>
      </c>
      <c r="C151" s="29" t="s">
        <v>40</v>
      </c>
      <c r="D151" s="29" t="s">
        <v>40</v>
      </c>
      <c r="E151" s="29" t="s">
        <v>40</v>
      </c>
      <c r="F151" s="29" t="s">
        <v>40</v>
      </c>
      <c r="G151" s="29">
        <f>IFERROR(G150/B150-1,"n.a.")</f>
        <v>-0.04306798935398015</v>
      </c>
      <c r="H151" s="29">
        <f>IFERROR(H150/C150-1,"n.a.")</f>
        <v>-0.0572848857853</v>
      </c>
      <c r="I151" s="50">
        <f>IFERROR(I150/D150-1,"n.a.")</f>
        <v>-0.05137854464841951</v>
      </c>
      <c r="J151" s="20"/>
    </row>
    <row r="152">
      <c r="A152" s="9"/>
      <c r="B152" s="9"/>
      <c r="C152" s="9"/>
      <c r="D152" s="9"/>
      <c r="E152" s="9"/>
      <c r="F152" s="9"/>
      <c r="G152" s="9"/>
      <c r="H152" s="9"/>
      <c r="I152" s="9"/>
      <c r="J152" s="20"/>
    </row>
    <row r="153">
      <c r="A153" s="97" t="s">
        <v>514</v>
      </c>
      <c r="B153" s="9"/>
      <c r="C153" s="9"/>
      <c r="D153" s="9"/>
      <c r="E153" s="9"/>
      <c r="F153" s="9"/>
      <c r="G153" s="9"/>
      <c r="H153" s="9"/>
      <c r="I153" s="9"/>
      <c r="J153" s="94"/>
    </row>
    <row r="154">
      <c r="A154" s="98" t="s">
        <v>515</v>
      </c>
      <c r="B154" s="96" t="s">
        <v>40</v>
      </c>
      <c r="C154" s="96" t="s">
        <v>40</v>
      </c>
      <c r="D154" s="96" t="s">
        <v>40</v>
      </c>
      <c r="E154" s="96" t="s">
        <v>40</v>
      </c>
      <c r="F154" s="96" t="s">
        <v>40</v>
      </c>
      <c r="G154" s="96" t="s">
        <v>40</v>
      </c>
      <c r="H154" s="96" t="s">
        <v>40</v>
      </c>
      <c r="I154" s="96">
        <f>I129-I128</f>
        <v>3384.866490424667</v>
      </c>
      <c r="J154" s="94" t="s">
        <v>516</v>
      </c>
    </row>
    <row r="155">
      <c r="A155" s="98" t="s">
        <v>517</v>
      </c>
      <c r="B155" s="96" t="s">
        <v>40</v>
      </c>
      <c r="C155" s="96" t="s">
        <v>40</v>
      </c>
      <c r="D155" s="96" t="s">
        <v>40</v>
      </c>
      <c r="E155" s="96" t="s">
        <v>40</v>
      </c>
      <c r="F155" s="96" t="s">
        <v>40</v>
      </c>
      <c r="G155" s="96" t="s">
        <v>40</v>
      </c>
      <c r="H155" s="96" t="s">
        <v>40</v>
      </c>
      <c r="I155" s="122">
        <f>I154/I68</f>
        <v>0.9510456268226988</v>
      </c>
      <c r="J155" s="94" t="s">
        <v>518</v>
      </c>
    </row>
    <row r="156">
      <c r="A156" s="99" t="s">
        <v>519</v>
      </c>
      <c r="B156" s="96" t="s">
        <v>40</v>
      </c>
      <c r="C156" s="96" t="s">
        <v>40</v>
      </c>
      <c r="D156" s="96" t="s">
        <v>40</v>
      </c>
      <c r="E156" s="96" t="s">
        <v>40</v>
      </c>
      <c r="F156" s="96" t="s">
        <v>40</v>
      </c>
      <c r="G156" s="96" t="s">
        <v>40</v>
      </c>
      <c r="H156" s="96" t="s">
        <v>40</v>
      </c>
      <c r="I156" s="121">
        <f>I155-I133</f>
        <v>-0.037368997780337754</v>
      </c>
      <c r="J156" s="94" t="s">
        <v>520</v>
      </c>
    </row>
    <row r="157">
      <c r="A157" s="98" t="s">
        <v>521</v>
      </c>
      <c r="B157" s="96" t="s">
        <v>40</v>
      </c>
      <c r="C157" s="96" t="s">
        <v>40</v>
      </c>
      <c r="D157" s="96" t="s">
        <v>40</v>
      </c>
      <c r="E157" s="96" t="s">
        <v>40</v>
      </c>
      <c r="F157" s="96" t="s">
        <v>40</v>
      </c>
      <c r="G157" s="96" t="s">
        <v>40</v>
      </c>
      <c r="H157" s="96" t="s">
        <v>40</v>
      </c>
      <c r="I157" s="96">
        <f>I110-I82</f>
        <v>8579.805542580847</v>
      </c>
      <c r="J157" s="94" t="s">
        <v>522</v>
      </c>
    </row>
    <row r="158">
      <c r="A158" s="97" t="s">
        <v>523</v>
      </c>
      <c r="B158" s="96"/>
      <c r="C158" s="96"/>
      <c r="D158" s="96"/>
      <c r="E158" s="96"/>
      <c r="F158" s="96"/>
      <c r="G158" s="96"/>
      <c r="H158" s="96"/>
      <c r="I158" s="96"/>
      <c r="J158" s="94"/>
    </row>
    <row r="159">
      <c r="A159" s="98" t="s">
        <v>524</v>
      </c>
      <c r="B159" s="96" t="s">
        <v>40</v>
      </c>
      <c r="C159" s="96" t="s">
        <v>40</v>
      </c>
      <c r="D159" s="96" t="s">
        <v>40</v>
      </c>
      <c r="E159" s="96" t="s">
        <v>40</v>
      </c>
      <c r="F159" s="96" t="s">
        <v>40</v>
      </c>
      <c r="G159" s="96" t="s">
        <v>40</v>
      </c>
      <c r="H159" s="96" t="s">
        <v>40</v>
      </c>
      <c r="I159" s="96" t="s">
        <v>40</v>
      </c>
      <c r="J159" s="94" t="s">
        <v>525</v>
      </c>
    </row>
    <row r="160">
      <c r="A160" s="98" t="s">
        <v>526</v>
      </c>
      <c r="B160" s="96" t="s">
        <v>40</v>
      </c>
      <c r="C160" s="96" t="s">
        <v>40</v>
      </c>
      <c r="D160" s="96" t="s">
        <v>40</v>
      </c>
      <c r="E160" s="96" t="s">
        <v>40</v>
      </c>
      <c r="F160" s="96" t="s">
        <v>40</v>
      </c>
      <c r="G160" s="96" t="s">
        <v>40</v>
      </c>
      <c r="H160" s="96" t="s">
        <v>40</v>
      </c>
      <c r="I160" s="100" t="s">
        <v>40</v>
      </c>
      <c r="J160" s="94" t="s">
        <v>527</v>
      </c>
    </row>
    <row r="161">
      <c r="A161" s="9"/>
      <c r="B161" s="9"/>
      <c r="C161" s="9"/>
      <c r="D161" s="9"/>
      <c r="E161" s="9"/>
      <c r="F161" s="9"/>
      <c r="G161" s="9"/>
      <c r="H161" s="9"/>
      <c r="I161" s="9"/>
      <c r="J161" s="9"/>
    </row>
    <row r="162">
      <c r="A162" s="9"/>
      <c r="B162" s="9"/>
      <c r="C162" s="9"/>
      <c r="D162" s="9"/>
      <c r="E162" s="9"/>
      <c r="F162" s="9"/>
      <c r="G162" s="9"/>
      <c r="H162" s="9"/>
      <c r="I162" s="9"/>
      <c r="J162" s="9"/>
    </row>
    <row r="163">
      <c r="A163" s="9"/>
      <c r="B163" s="9"/>
      <c r="C163" s="9"/>
      <c r="D163" s="9"/>
      <c r="E163" s="9"/>
      <c r="F163" s="9"/>
      <c r="G163" s="9"/>
      <c r="H163" s="9"/>
      <c r="I163" s="9"/>
      <c r="J163" s="9"/>
    </row>
    <row r="164">
      <c r="A164" s="9"/>
      <c r="B164" s="9"/>
      <c r="C164" s="9"/>
      <c r="D164" s="9"/>
      <c r="E164" s="9"/>
      <c r="F164" s="9"/>
      <c r="G164" s="9"/>
      <c r="H164" s="9"/>
      <c r="I164" s="9"/>
      <c r="J164" s="9"/>
    </row>
  </sheetData>
</worksheet>
</file>

<file path=xl/worksheets/sheet9.xml><?xml version="1.0" encoding="utf-8"?>
<worksheet xmlns="http://schemas.openxmlformats.org/spreadsheetml/2006/main" xmlns:r="http://schemas.openxmlformats.org/officeDocument/2006/relationships">
  <dimension ref="A1:J66"/>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528</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529</v>
      </c>
      <c r="B8" s="33"/>
      <c r="C8" s="33"/>
      <c r="D8" s="33"/>
      <c r="E8" s="33"/>
      <c r="F8" s="33"/>
      <c r="G8" s="33"/>
      <c r="H8" s="33"/>
      <c r="I8" s="53"/>
      <c r="J8" s="20"/>
    </row>
    <row r="9">
      <c r="A9" s="9" t="s">
        <v>530</v>
      </c>
      <c r="B9" s="39">
        <v>8593</v>
      </c>
      <c r="C9" s="39">
        <v>9687</v>
      </c>
      <c r="D9" s="39">
        <v>9325</v>
      </c>
      <c r="E9" s="39">
        <v>9481</v>
      </c>
      <c r="F9" s="40">
        <f>E9</f>
        <v>9481</v>
      </c>
      <c r="G9" s="39">
        <v>9468</v>
      </c>
      <c r="H9" s="39">
        <v>7661</v>
      </c>
      <c r="I9" s="31">
        <f>'Cash Flow Statement'!I45-'Cash Flow Statement'!I46</f>
        <v>7929.4034904246655</v>
      </c>
      <c r="J9" s="20" t="s">
        <v>531</v>
      </c>
    </row>
    <row r="10">
      <c r="A10" s="9" t="s">
        <v>532</v>
      </c>
      <c r="B10" s="39">
        <v>12881</v>
      </c>
      <c r="C10" s="39">
        <v>13040</v>
      </c>
      <c r="D10" s="39">
        <v>13214</v>
      </c>
      <c r="E10" s="39">
        <v>13869</v>
      </c>
      <c r="F10" s="40">
        <f>E10</f>
        <v>13869</v>
      </c>
      <c r="G10" s="39">
        <v>14078</v>
      </c>
      <c r="H10" s="39">
        <v>13955</v>
      </c>
      <c r="I10" s="31">
        <f>H10-'Cash Flow Statement'!I15</f>
        <v>14255</v>
      </c>
      <c r="J10" s="20" t="s">
        <v>531</v>
      </c>
    </row>
    <row r="11">
      <c r="A11" s="9" t="s">
        <v>533</v>
      </c>
      <c r="B11" s="39">
        <v>5840</v>
      </c>
      <c r="C11" s="39">
        <v>6309</v>
      </c>
      <c r="D11" s="39">
        <v>6319</v>
      </c>
      <c r="E11" s="39">
        <v>6217</v>
      </c>
      <c r="F11" s="40">
        <f>E11</f>
        <v>6217</v>
      </c>
      <c r="G11" s="39">
        <v>5275</v>
      </c>
      <c r="H11" s="39">
        <v>4718</v>
      </c>
      <c r="I11" s="41">
        <f>H11</f>
        <v>4718</v>
      </c>
      <c r="J11" s="20" t="s">
        <v>531</v>
      </c>
    </row>
    <row r="12">
      <c r="A12" s="9" t="s">
        <v>534</v>
      </c>
      <c r="B12" s="40">
        <f>B14-(B9+B10+B11)</f>
        <v>0</v>
      </c>
      <c r="C12" s="40">
        <f>C14-(C9+C10+C11)</f>
        <v>0</v>
      </c>
      <c r="D12" s="40">
        <f>D14-(D9+D10+D11)</f>
        <v>-1</v>
      </c>
      <c r="E12" s="40">
        <f>E14-(E9+E10+E11)</f>
        <v>0</v>
      </c>
      <c r="F12" s="40">
        <f>E12</f>
        <v>0</v>
      </c>
      <c r="G12" s="40">
        <f>G14-(G9+G10+G11)</f>
        <v>1</v>
      </c>
      <c r="H12" s="40">
        <f>H14-(H9+H10+H11)</f>
        <v>1</v>
      </c>
      <c r="I12" s="41">
        <f>H12</f>
        <v>1</v>
      </c>
      <c r="J12" s="20" t="s">
        <v>535</v>
      </c>
    </row>
    <row r="13">
      <c r="A13" s="35" t="s">
        <v>536</v>
      </c>
      <c r="B13" s="45">
        <f>B9+B10+B11+B12</f>
        <v>27314</v>
      </c>
      <c r="C13" s="45">
        <f>C9+C10+C11+C12</f>
        <v>29036</v>
      </c>
      <c r="D13" s="45">
        <f>D9+D10+D11+D12</f>
        <v>28857</v>
      </c>
      <c r="E13" s="45">
        <f>E9+E10+E11+E12</f>
        <v>29567</v>
      </c>
      <c r="F13" s="45">
        <f>E13</f>
        <v>29567</v>
      </c>
      <c r="G13" s="45">
        <f>G9+G10+G11+G12</f>
        <v>28822</v>
      </c>
      <c r="H13" s="45">
        <f>H9+H10+H11+H12</f>
        <v>26335</v>
      </c>
      <c r="I13" s="52">
        <f>I9+I10+I11+I12</f>
        <v>26903.403490424666</v>
      </c>
      <c r="J13" s="20"/>
    </row>
    <row r="14">
      <c r="A14" s="9" t="s">
        <v>537</v>
      </c>
      <c r="B14" s="39">
        <v>27314</v>
      </c>
      <c r="C14" s="39">
        <v>29036</v>
      </c>
      <c r="D14" s="39">
        <v>28857</v>
      </c>
      <c r="E14" s="39">
        <v>29567</v>
      </c>
      <c r="F14" s="40">
        <f>E14</f>
        <v>29567</v>
      </c>
      <c r="G14" s="39">
        <v>28822</v>
      </c>
      <c r="H14" s="39">
        <v>26335</v>
      </c>
      <c r="I14" s="41" t="s">
        <v>40</v>
      </c>
      <c r="J14" s="20" t="s">
        <v>531</v>
      </c>
    </row>
    <row r="15">
      <c r="A15" s="9" t="s">
        <v>538</v>
      </c>
      <c r="B15" s="39">
        <v>12774</v>
      </c>
      <c r="C15" s="39">
        <v>12640</v>
      </c>
      <c r="D15" s="39">
        <v>12959</v>
      </c>
      <c r="E15" s="39">
        <v>12214</v>
      </c>
      <c r="F15" s="40">
        <f>E15</f>
        <v>12214</v>
      </c>
      <c r="G15" s="39">
        <v>11047</v>
      </c>
      <c r="H15" s="39">
        <v>10467</v>
      </c>
      <c r="I15" s="31">
        <f>H15-'Cash Flow Statement'!I16</f>
        <v>10767</v>
      </c>
      <c r="J15" s="20" t="s">
        <v>531</v>
      </c>
    </row>
    <row r="16">
      <c r="A16" s="9" t="s">
        <v>539</v>
      </c>
      <c r="B16" s="39">
        <v>8524</v>
      </c>
      <c r="C16" s="39">
        <v>8463</v>
      </c>
      <c r="D16" s="39">
        <v>8324</v>
      </c>
      <c r="E16" s="39">
        <v>7952</v>
      </c>
      <c r="F16" s="40">
        <f>E16</f>
        <v>7952</v>
      </c>
      <c r="G16" s="39">
        <v>7450</v>
      </c>
      <c r="H16" s="39">
        <v>7828</v>
      </c>
      <c r="I16" s="31">
        <f>H16-'Cash Flow Statement'!I13-'Cash Flow Statement'!I28-'Cash Flow Statement'!I27</f>
        <v>7838</v>
      </c>
      <c r="J16" s="20" t="s">
        <v>531</v>
      </c>
    </row>
    <row r="17">
      <c r="A17" s="9" t="s">
        <v>540</v>
      </c>
      <c r="B17" s="39">
        <v>63292</v>
      </c>
      <c r="C17" s="39">
        <v>64025</v>
      </c>
      <c r="D17" s="39">
        <v>64773</v>
      </c>
      <c r="E17" s="39">
        <v>65680</v>
      </c>
      <c r="F17" s="40">
        <f>E17</f>
        <v>65680</v>
      </c>
      <c r="G17" s="39">
        <v>65472</v>
      </c>
      <c r="H17" s="39">
        <v>66127</v>
      </c>
      <c r="I17" s="31">
        <f>H17-'Cash Flow Statement'!I23-'Cash Flow Statement'!I25-'Income Statement'!I32</f>
        <v>66810.16</v>
      </c>
      <c r="J17" s="20" t="s">
        <v>531</v>
      </c>
    </row>
    <row r="18">
      <c r="A18" s="9" t="s">
        <v>541</v>
      </c>
      <c r="B18" s="39">
        <v>59094</v>
      </c>
      <c r="C18" s="39">
        <v>61812</v>
      </c>
      <c r="D18" s="39">
        <v>61406</v>
      </c>
      <c r="E18" s="39">
        <v>61502</v>
      </c>
      <c r="F18" s="40">
        <f>E18</f>
        <v>61502</v>
      </c>
      <c r="G18" s="39">
        <v>53374</v>
      </c>
      <c r="H18" s="39">
        <v>53070</v>
      </c>
      <c r="I18" s="31">
        <f>H18-'Cash Flow Statement'!I26</f>
        <v>53070</v>
      </c>
      <c r="J18" s="20" t="s">
        <v>531</v>
      </c>
    </row>
    <row r="19">
      <c r="A19" s="9" t="s">
        <v>542</v>
      </c>
      <c r="B19" s="39">
        <v>59365</v>
      </c>
      <c r="C19" s="39">
        <v>59365</v>
      </c>
      <c r="D19" s="39">
        <v>59365</v>
      </c>
      <c r="E19" s="39">
        <v>59365</v>
      </c>
      <c r="F19" s="40">
        <f>E19</f>
        <v>59365</v>
      </c>
      <c r="G19" s="39">
        <v>59365</v>
      </c>
      <c r="H19" s="39">
        <v>59365</v>
      </c>
      <c r="I19" s="41">
        <f>H19</f>
        <v>59365</v>
      </c>
      <c r="J19" s="20" t="s">
        <v>531</v>
      </c>
    </row>
    <row r="20">
      <c r="A20" s="9" t="s">
        <v>543</v>
      </c>
      <c r="B20" s="39">
        <v>24943</v>
      </c>
      <c r="C20" s="39">
        <v>24612</v>
      </c>
      <c r="D20" s="39">
        <v>23379</v>
      </c>
      <c r="E20" s="39">
        <v>22474</v>
      </c>
      <c r="F20" s="40">
        <f>E20</f>
        <v>22474</v>
      </c>
      <c r="G20" s="39">
        <v>20418</v>
      </c>
      <c r="H20" s="39">
        <v>19687</v>
      </c>
      <c r="I20" s="31">
        <f>H20-'Cash Flow Statement'!I24-'Income Statement'!I35</f>
        <v>18987</v>
      </c>
      <c r="J20" s="20" t="s">
        <v>531</v>
      </c>
    </row>
    <row r="21">
      <c r="A21" s="9" t="s">
        <v>544</v>
      </c>
      <c r="B21" s="39">
        <v>12464</v>
      </c>
      <c r="C21" s="39">
        <v>13897</v>
      </c>
      <c r="D21" s="39">
        <v>13932</v>
      </c>
      <c r="E21" s="39">
        <v>13877</v>
      </c>
      <c r="F21" s="40">
        <f>E21</f>
        <v>13877</v>
      </c>
      <c r="G21" s="39">
        <v>14054</v>
      </c>
      <c r="H21" s="39">
        <v>14669</v>
      </c>
      <c r="I21" s="31">
        <f>H21-'Cash Flow Statement'!I29</f>
        <v>14619</v>
      </c>
      <c r="J21" s="20" t="s">
        <v>531</v>
      </c>
    </row>
    <row r="22">
      <c r="A22" s="35" t="s">
        <v>545</v>
      </c>
      <c r="B22" s="45">
        <f>B13+SUM(B15:B21)</f>
        <v>267770</v>
      </c>
      <c r="C22" s="45">
        <f>C13+SUM(C15:C21)</f>
        <v>273850</v>
      </c>
      <c r="D22" s="45">
        <f>D13+SUM(D15:D21)</f>
        <v>272995</v>
      </c>
      <c r="E22" s="45">
        <f>E13+SUM(E15:E21)</f>
        <v>272631</v>
      </c>
      <c r="F22" s="45">
        <f>E22</f>
        <v>272631</v>
      </c>
      <c r="G22" s="45">
        <f>G13+SUM(G15:G21)</f>
        <v>260002</v>
      </c>
      <c r="H22" s="45">
        <f>H13+SUM(H15:H21)</f>
        <v>257548</v>
      </c>
      <c r="I22" s="52">
        <f>I13+SUM(I15:I21)</f>
        <v>258359.56349042465</v>
      </c>
      <c r="J22" s="20"/>
    </row>
    <row r="23">
      <c r="A23" s="9" t="s">
        <v>546</v>
      </c>
      <c r="B23" s="39">
        <v>267770</v>
      </c>
      <c r="C23" s="39">
        <v>273850</v>
      </c>
      <c r="D23" s="39">
        <v>272995</v>
      </c>
      <c r="E23" s="39">
        <v>272631</v>
      </c>
      <c r="F23" s="40">
        <f>E23</f>
        <v>272631</v>
      </c>
      <c r="G23" s="39">
        <v>260002</v>
      </c>
      <c r="H23" s="39">
        <v>257548</v>
      </c>
      <c r="I23" s="41" t="s">
        <v>40</v>
      </c>
      <c r="J23" s="20" t="s">
        <v>531</v>
      </c>
    </row>
    <row r="24">
      <c r="A24" s="9" t="s">
        <v>547</v>
      </c>
      <c r="B24" s="33" t="b">
        <f>ABS(B22-B23)&lt;0.5</f>
        <v>1</v>
      </c>
      <c r="C24" s="33" t="b">
        <f>ABS(C22-C23)&lt;0.5</f>
        <v>1</v>
      </c>
      <c r="D24" s="33" t="b">
        <f>ABS(D22-D23)&lt;0.5</f>
        <v>1</v>
      </c>
      <c r="E24" s="33" t="b">
        <f>ABS(E22-E23)&lt;0.5</f>
        <v>1</v>
      </c>
      <c r="F24" s="33" t="b">
        <f>ABS(F22-F23)&lt;0.5</f>
        <v>1</v>
      </c>
      <c r="G24" s="33" t="b">
        <f>ABS(G22-G23)&lt;0.5</f>
        <v>1</v>
      </c>
      <c r="H24" s="33" t="b">
        <f>ABS(H22-H23)&lt;0.5</f>
        <v>1</v>
      </c>
      <c r="I24" s="53" t="s">
        <v>40</v>
      </c>
      <c r="J24" s="20"/>
    </row>
    <row r="25">
      <c r="A25" s="35" t="s">
        <v>548</v>
      </c>
      <c r="B25" s="33"/>
      <c r="C25" s="33"/>
      <c r="D25" s="33"/>
      <c r="E25" s="33"/>
      <c r="F25" s="33"/>
      <c r="G25" s="33"/>
      <c r="H25" s="33"/>
      <c r="I25" s="53"/>
      <c r="J25" s="20"/>
    </row>
    <row r="26">
      <c r="A26" s="9" t="s">
        <v>549</v>
      </c>
      <c r="B26" s="39">
        <v>11545</v>
      </c>
      <c r="C26" s="39">
        <v>11826</v>
      </c>
      <c r="D26" s="39">
        <v>11689</v>
      </c>
      <c r="E26" s="39">
        <v>11058</v>
      </c>
      <c r="F26" s="40">
        <f>E26</f>
        <v>11058</v>
      </c>
      <c r="G26" s="39">
        <v>11977</v>
      </c>
      <c r="H26" s="39">
        <v>11864</v>
      </c>
      <c r="I26" s="31">
        <f>H26+'Cash Flow Statement'!I17</f>
        <v>11864</v>
      </c>
      <c r="J26" s="20" t="s">
        <v>531</v>
      </c>
    </row>
    <row r="27">
      <c r="A27" s="9" t="s">
        <v>550</v>
      </c>
      <c r="B27" s="39">
        <v>3766</v>
      </c>
      <c r="C27" s="39">
        <v>4031</v>
      </c>
      <c r="D27" s="39">
        <v>4218</v>
      </c>
      <c r="E27" s="39">
        <v>4097</v>
      </c>
      <c r="F27" s="40">
        <f>E27</f>
        <v>4097</v>
      </c>
      <c r="G27" s="39">
        <v>4006</v>
      </c>
      <c r="H27" s="39">
        <v>3787</v>
      </c>
      <c r="I27" s="41">
        <f>H27</f>
        <v>3787</v>
      </c>
      <c r="J27" s="20" t="s">
        <v>531</v>
      </c>
    </row>
    <row r="28" ht="26.25">
      <c r="A28" s="106" t="s">
        <v>551</v>
      </c>
      <c r="B28" s="39">
        <v>11000</v>
      </c>
      <c r="C28" s="39">
        <v>10215</v>
      </c>
      <c r="D28" s="39">
        <v>10942</v>
      </c>
      <c r="E28" s="39">
        <v>12410</v>
      </c>
      <c r="F28" s="40">
        <f>E28</f>
        <v>12410</v>
      </c>
      <c r="G28" s="39">
        <v>11932</v>
      </c>
      <c r="H28" s="39">
        <v>11325</v>
      </c>
      <c r="I28" s="31">
        <f>H28+'Cash Flow Statement'!I18</f>
        <v>11575</v>
      </c>
      <c r="J28" s="20" t="s">
        <v>531</v>
      </c>
    </row>
    <row r="29">
      <c r="A29" s="9" t="s">
        <v>552</v>
      </c>
      <c r="B29" s="39">
        <v>6848</v>
      </c>
      <c r="C29" s="39">
        <v>5720</v>
      </c>
      <c r="D29" s="39">
        <v>5852</v>
      </c>
      <c r="E29" s="39">
        <v>5958</v>
      </c>
      <c r="F29" s="40">
        <f>E29</f>
        <v>5958</v>
      </c>
      <c r="G29" s="39">
        <v>5394</v>
      </c>
      <c r="H29" s="39">
        <v>6117</v>
      </c>
      <c r="I29" s="41">
        <f>H29+'Cash Flow Statement'!I34</f>
        <v>4117</v>
      </c>
      <c r="J29" s="20" t="s">
        <v>553</v>
      </c>
    </row>
    <row r="30">
      <c r="A30" s="9" t="s">
        <v>554</v>
      </c>
      <c r="B30" s="39">
        <v>9167</v>
      </c>
      <c r="C30" s="39">
        <v>0</v>
      </c>
      <c r="D30" s="39">
        <v>0</v>
      </c>
      <c r="E30" s="39">
        <v>0</v>
      </c>
      <c r="F30" s="40">
        <f>E30</f>
        <v>0</v>
      </c>
      <c r="G30" s="39">
        <v>0</v>
      </c>
      <c r="H30" s="39">
        <v>0</v>
      </c>
      <c r="I30" s="73">
        <v>0</v>
      </c>
      <c r="J30" s="20" t="s">
        <v>531</v>
      </c>
    </row>
    <row r="31">
      <c r="A31" s="9" t="s">
        <v>534</v>
      </c>
      <c r="B31" s="40">
        <f>B33-SUM(B26:B30)</f>
        <v>-1</v>
      </c>
      <c r="C31" s="40">
        <f>C33-SUM(C26:C30)</f>
        <v>0</v>
      </c>
      <c r="D31" s="40">
        <f>D33-SUM(D26:D30)</f>
        <v>1</v>
      </c>
      <c r="E31" s="40">
        <f>E33-SUM(E26:E30)</f>
        <v>1</v>
      </c>
      <c r="F31" s="40">
        <f>E31</f>
        <v>1</v>
      </c>
      <c r="G31" s="40">
        <f>G33-SUM(G26:G30)</f>
        <v>-1</v>
      </c>
      <c r="H31" s="40">
        <f>H33-SUM(H26:H30)</f>
        <v>0</v>
      </c>
      <c r="I31" s="41">
        <f>H31</f>
        <v>0</v>
      </c>
      <c r="J31" s="20" t="s">
        <v>535</v>
      </c>
    </row>
    <row r="32">
      <c r="A32" s="35" t="s">
        <v>555</v>
      </c>
      <c r="B32" s="45">
        <f>SUM(B26:B30)+B31</f>
        <v>42325</v>
      </c>
      <c r="C32" s="45">
        <f>SUM(C26:C30)+C31</f>
        <v>31792</v>
      </c>
      <c r="D32" s="45">
        <f>SUM(D26:D30)+D31</f>
        <v>32702</v>
      </c>
      <c r="E32" s="45">
        <f>SUM(E26:E30)+E31</f>
        <v>33524</v>
      </c>
      <c r="F32" s="45">
        <f>E32</f>
        <v>33524</v>
      </c>
      <c r="G32" s="45">
        <f>SUM(G26:G30)+G31</f>
        <v>33308</v>
      </c>
      <c r="H32" s="45">
        <f>SUM(H26:H30)+H31</f>
        <v>33093</v>
      </c>
      <c r="I32" s="52">
        <f>SUM(I26:I30)+I31</f>
        <v>31343</v>
      </c>
      <c r="J32" s="20"/>
    </row>
    <row r="33" ht="26.25">
      <c r="A33" s="106" t="s">
        <v>556</v>
      </c>
      <c r="B33" s="39">
        <v>42325</v>
      </c>
      <c r="C33" s="39">
        <v>31792</v>
      </c>
      <c r="D33" s="39">
        <v>32702</v>
      </c>
      <c r="E33" s="39">
        <v>33524</v>
      </c>
      <c r="F33" s="40">
        <f>E33</f>
        <v>33524</v>
      </c>
      <c r="G33" s="39">
        <v>33308</v>
      </c>
      <c r="H33" s="39">
        <v>33093</v>
      </c>
      <c r="I33" s="41" t="s">
        <v>40</v>
      </c>
      <c r="J33" s="20" t="s">
        <v>531</v>
      </c>
    </row>
    <row r="34">
      <c r="A34" s="9" t="s">
        <v>557</v>
      </c>
      <c r="B34" s="39">
        <v>92274</v>
      </c>
      <c r="C34" s="39">
        <v>95808</v>
      </c>
      <c r="D34" s="39">
        <v>93211</v>
      </c>
      <c r="E34" s="39">
        <v>92979</v>
      </c>
      <c r="F34" s="40">
        <f>E34</f>
        <v>92979</v>
      </c>
      <c r="G34" s="39">
        <v>89218</v>
      </c>
      <c r="H34" s="39">
        <v>84264</v>
      </c>
      <c r="I34" s="31">
        <f>H34+'Cash Flow Statement'!I33+'Cash Flow Statement'!I12</f>
        <v>84384</v>
      </c>
      <c r="J34" s="20" t="s">
        <v>558</v>
      </c>
    </row>
    <row r="35">
      <c r="A35" s="9" t="s">
        <v>559</v>
      </c>
      <c r="B35" s="39">
        <v>25136</v>
      </c>
      <c r="C35" s="39">
        <v>27692</v>
      </c>
      <c r="D35" s="39">
        <v>28357</v>
      </c>
      <c r="E35" s="39">
        <v>27788</v>
      </c>
      <c r="F35" s="40">
        <f>E35</f>
        <v>27788</v>
      </c>
      <c r="G35" s="39">
        <v>28227</v>
      </c>
      <c r="H35" s="39">
        <v>28940</v>
      </c>
      <c r="I35" s="31">
        <f>H35+'Cash Flow Statement'!I14</f>
        <v>29540</v>
      </c>
      <c r="J35" s="20" t="s">
        <v>531</v>
      </c>
    </row>
    <row r="36">
      <c r="A36" s="9" t="s">
        <v>560</v>
      </c>
      <c r="B36" s="39">
        <v>20735</v>
      </c>
      <c r="C36" s="39">
        <v>21100</v>
      </c>
      <c r="D36" s="39">
        <v>21089</v>
      </c>
      <c r="E36" s="39">
        <v>20965</v>
      </c>
      <c r="F36" s="40">
        <f>E36</f>
        <v>20965</v>
      </c>
      <c r="G36" s="39">
        <v>20708</v>
      </c>
      <c r="H36" s="39">
        <v>21296</v>
      </c>
      <c r="I36" s="31">
        <f>H36+'Cash Flow Statement'!I38</f>
        <v>21246</v>
      </c>
      <c r="J36" s="20" t="s">
        <v>531</v>
      </c>
    </row>
    <row r="37">
      <c r="A37" s="35" t="s">
        <v>561</v>
      </c>
      <c r="B37" s="45">
        <f>B32+B34+B35+B36</f>
        <v>180470</v>
      </c>
      <c r="C37" s="45">
        <f>C32+C34+C35+C36</f>
        <v>176392</v>
      </c>
      <c r="D37" s="45">
        <f>D32+D34+D35+D36</f>
        <v>175359</v>
      </c>
      <c r="E37" s="45">
        <f>E32+E34+E35+E36</f>
        <v>175256</v>
      </c>
      <c r="F37" s="45">
        <f>E37</f>
        <v>175256</v>
      </c>
      <c r="G37" s="45">
        <f>G32+G34+G35+G36</f>
        <v>171461</v>
      </c>
      <c r="H37" s="45">
        <f>H32+H34+H35+H36</f>
        <v>167593</v>
      </c>
      <c r="I37" s="52">
        <f>I32+I34+I35+I36</f>
        <v>166513</v>
      </c>
      <c r="J37" s="20"/>
    </row>
    <row r="38">
      <c r="A38" s="9" t="s">
        <v>562</v>
      </c>
      <c r="B38" s="39">
        <v>244</v>
      </c>
      <c r="C38" s="39">
        <v>231</v>
      </c>
      <c r="D38" s="39">
        <v>220</v>
      </c>
      <c r="E38" s="39">
        <v>224</v>
      </c>
      <c r="F38" s="40">
        <f>E38</f>
        <v>224</v>
      </c>
      <c r="G38" s="39">
        <v>205</v>
      </c>
      <c r="H38" s="39">
        <v>185</v>
      </c>
      <c r="I38" s="41">
        <f>H38</f>
        <v>185</v>
      </c>
      <c r="J38" s="20" t="s">
        <v>531</v>
      </c>
    </row>
    <row r="39" ht="26.25">
      <c r="A39" s="106" t="s">
        <v>563</v>
      </c>
      <c r="B39" s="39">
        <v>86638</v>
      </c>
      <c r="C39" s="39">
        <v>96851</v>
      </c>
      <c r="D39" s="39">
        <v>97081</v>
      </c>
      <c r="E39" s="39">
        <v>96903</v>
      </c>
      <c r="F39" s="40">
        <f>E39</f>
        <v>96903</v>
      </c>
      <c r="G39" s="39">
        <v>88274</v>
      </c>
      <c r="H39" s="39">
        <v>89763</v>
      </c>
      <c r="I39" s="31">
        <f>H39+'Income Statement'!I60+'Cash Flow Statement'!I11+'Cash Flow Statement'!I35+'Cash Flow Statement'!I36+'Cash Flow Statement'!I37+'Cash Flow Statement'!I41</f>
        <v>91744.56349042467</v>
      </c>
      <c r="J39" s="20" t="s">
        <v>531</v>
      </c>
    </row>
    <row r="40">
      <c r="A40" s="9" t="s">
        <v>564</v>
      </c>
      <c r="B40" s="39">
        <v>418</v>
      </c>
      <c r="C40" s="39">
        <v>376</v>
      </c>
      <c r="D40" s="39">
        <v>335</v>
      </c>
      <c r="E40" s="39">
        <v>249</v>
      </c>
      <c r="F40" s="40">
        <f>E40</f>
        <v>249</v>
      </c>
      <c r="G40" s="39">
        <v>61</v>
      </c>
      <c r="H40" s="39">
        <v>7</v>
      </c>
      <c r="I40" s="31">
        <f>H40+'Income Statement'!I59</f>
        <v>-83</v>
      </c>
      <c r="J40" s="20" t="s">
        <v>531</v>
      </c>
    </row>
    <row r="41">
      <c r="A41" s="9" t="s">
        <v>534</v>
      </c>
      <c r="B41" s="40">
        <f>B43-(B39+B40)</f>
        <v>0</v>
      </c>
      <c r="C41" s="40">
        <f>C43-(C39+C40)</f>
        <v>1</v>
      </c>
      <c r="D41" s="40">
        <f>D43-(D39+D40)</f>
        <v>0</v>
      </c>
      <c r="E41" s="40">
        <f>E43-(E39+E40)</f>
        <v>-1</v>
      </c>
      <c r="F41" s="40">
        <f>E41</f>
        <v>-1</v>
      </c>
      <c r="G41" s="40">
        <f>G43-(G39+G40)</f>
        <v>0</v>
      </c>
      <c r="H41" s="40">
        <f>H43-(H39+H40)</f>
        <v>0</v>
      </c>
      <c r="I41" s="41">
        <f>H41</f>
        <v>0</v>
      </c>
      <c r="J41" s="20" t="s">
        <v>565</v>
      </c>
    </row>
    <row r="42">
      <c r="A42" s="35" t="s">
        <v>566</v>
      </c>
      <c r="B42" s="45">
        <f>B39+B40+B41</f>
        <v>87056</v>
      </c>
      <c r="C42" s="45">
        <f>C39+C40+C41</f>
        <v>97228</v>
      </c>
      <c r="D42" s="45">
        <f>D39+D40+D41</f>
        <v>97416</v>
      </c>
      <c r="E42" s="45">
        <f>E39+E40+E41</f>
        <v>97151</v>
      </c>
      <c r="F42" s="45">
        <f>E42</f>
        <v>97151</v>
      </c>
      <c r="G42" s="45">
        <f>G39+G40+G41</f>
        <v>88335</v>
      </c>
      <c r="H42" s="45">
        <f>H39+H40+H41</f>
        <v>89770</v>
      </c>
      <c r="I42" s="52">
        <f>I39+I40+I41</f>
        <v>91661.56349042467</v>
      </c>
      <c r="J42" s="20"/>
    </row>
    <row r="43">
      <c r="A43" s="9" t="s">
        <v>567</v>
      </c>
      <c r="B43" s="39">
        <v>87056</v>
      </c>
      <c r="C43" s="39">
        <v>97228</v>
      </c>
      <c r="D43" s="39">
        <v>97416</v>
      </c>
      <c r="E43" s="39">
        <v>97151</v>
      </c>
      <c r="F43" s="40">
        <f>E43</f>
        <v>97151</v>
      </c>
      <c r="G43" s="39">
        <v>88335</v>
      </c>
      <c r="H43" s="39">
        <v>89770</v>
      </c>
      <c r="I43" s="41" t="s">
        <v>40</v>
      </c>
      <c r="J43" s="20" t="s">
        <v>531</v>
      </c>
    </row>
    <row r="44">
      <c r="A44" s="9" t="s">
        <v>534</v>
      </c>
      <c r="B44" s="40">
        <f>B23-(B37+B38+B42)</f>
        <v>0</v>
      </c>
      <c r="C44" s="40">
        <f>C23-(C37+C38+C42)</f>
        <v>-1</v>
      </c>
      <c r="D44" s="40">
        <f>D23-(D37+D38+D42)</f>
        <v>0</v>
      </c>
      <c r="E44" s="40">
        <f>E23-(E37+E38+E42)</f>
        <v>0</v>
      </c>
      <c r="F44" s="40">
        <f>E44</f>
        <v>0</v>
      </c>
      <c r="G44" s="40">
        <f>G23-(G37+G38+G42)</f>
        <v>1</v>
      </c>
      <c r="H44" s="40">
        <f>H23-(H37+H38+H42)</f>
        <v>0</v>
      </c>
      <c r="I44" s="41">
        <f>H44</f>
        <v>0</v>
      </c>
      <c r="J44" s="20" t="s">
        <v>568</v>
      </c>
    </row>
    <row r="45">
      <c r="A45" s="35" t="s">
        <v>569</v>
      </c>
      <c r="B45" s="45">
        <f>B37+B38+B42+B44</f>
        <v>267770</v>
      </c>
      <c r="C45" s="45">
        <f>C37+C38+C42+C44</f>
        <v>273850</v>
      </c>
      <c r="D45" s="45">
        <f>D37+D38+D42+D44</f>
        <v>272995</v>
      </c>
      <c r="E45" s="45">
        <f>E37+E38+E42+E44</f>
        <v>272631</v>
      </c>
      <c r="F45" s="45">
        <f>E45</f>
        <v>272631</v>
      </c>
      <c r="G45" s="45">
        <f>G37+G38+G42+G44</f>
        <v>260002</v>
      </c>
      <c r="H45" s="45">
        <f>H37+H38+H42+H44</f>
        <v>257548</v>
      </c>
      <c r="I45" s="52">
        <f>I37+I38+I42+I44</f>
        <v>258359.56349042465</v>
      </c>
      <c r="J45" s="20"/>
    </row>
    <row r="46" ht="26.25">
      <c r="A46" s="106" t="s">
        <v>570</v>
      </c>
      <c r="B46" s="33" t="b">
        <f>ABS(B22-B45)&lt;0.5</f>
        <v>1</v>
      </c>
      <c r="C46" s="33" t="b">
        <f>ABS(C22-C45)&lt;0.5</f>
        <v>1</v>
      </c>
      <c r="D46" s="33" t="b">
        <f>ABS(D22-D45)&lt;0.5</f>
        <v>1</v>
      </c>
      <c r="E46" s="33" t="b">
        <f>ABS(E22-E45)&lt;0.5</f>
        <v>1</v>
      </c>
      <c r="F46" s="33" t="b">
        <f>ABS(F22-F45)&lt;0.5</f>
        <v>1</v>
      </c>
      <c r="G46" s="33" t="b">
        <f>ABS(G22-G45)&lt;0.5</f>
        <v>1</v>
      </c>
      <c r="H46" s="33" t="b">
        <f>ABS(H22-H45)&lt;0.5</f>
        <v>1</v>
      </c>
      <c r="I46" s="53" t="b">
        <f>ABS(I22-I45)&lt;0.5</f>
        <v>1</v>
      </c>
      <c r="J46" s="20" t="s">
        <v>571</v>
      </c>
    </row>
    <row r="47">
      <c r="A47" s="9" t="s">
        <v>572</v>
      </c>
      <c r="B47" s="40">
        <f>B22-B45</f>
        <v>0</v>
      </c>
      <c r="C47" s="40">
        <f>C22-C45</f>
        <v>0</v>
      </c>
      <c r="D47" s="40">
        <f>D22-D45</f>
        <v>0</v>
      </c>
      <c r="E47" s="40">
        <f>E22-E45</f>
        <v>0</v>
      </c>
      <c r="F47" s="40">
        <f>E47</f>
        <v>0</v>
      </c>
      <c r="G47" s="40">
        <f>G22-G45</f>
        <v>0</v>
      </c>
      <c r="H47" s="40">
        <f>H22-H45</f>
        <v>0</v>
      </c>
      <c r="I47" s="41">
        <f>I22-I45</f>
        <v>0</v>
      </c>
      <c r="J47" s="20"/>
    </row>
    <row r="48">
      <c r="A48" s="35" t="s">
        <v>573</v>
      </c>
      <c r="B48" s="33"/>
      <c r="C48" s="33"/>
      <c r="D48" s="33"/>
      <c r="E48" s="33"/>
      <c r="F48" s="33"/>
      <c r="G48" s="33"/>
      <c r="H48" s="33"/>
      <c r="I48" s="53"/>
      <c r="J48" s="20"/>
    </row>
    <row r="49">
      <c r="A49" s="35" t="s">
        <v>574</v>
      </c>
      <c r="B49" s="45">
        <f>B29+B34</f>
        <v>99122</v>
      </c>
      <c r="C49" s="45">
        <f>C29+C34</f>
        <v>101528</v>
      </c>
      <c r="D49" s="45">
        <f>D29+D34</f>
        <v>99063</v>
      </c>
      <c r="E49" s="45">
        <f>E29+E34</f>
        <v>98937</v>
      </c>
      <c r="F49" s="45">
        <f>E49</f>
        <v>98937</v>
      </c>
      <c r="G49" s="45">
        <f>G29+G34</f>
        <v>94612</v>
      </c>
      <c r="H49" s="45">
        <f>H29+H34</f>
        <v>90381</v>
      </c>
      <c r="I49" s="52">
        <f>I29+I34</f>
        <v>88501</v>
      </c>
      <c r="J49" s="20"/>
    </row>
    <row r="50">
      <c r="A50" s="9" t="s">
        <v>575</v>
      </c>
      <c r="B50" s="40">
        <f>B49-B9</f>
        <v>90529</v>
      </c>
      <c r="C50" s="40">
        <f>C49-C9</f>
        <v>91841</v>
      </c>
      <c r="D50" s="40">
        <f>D49-D9</f>
        <v>89738</v>
      </c>
      <c r="E50" s="40">
        <f>E49-E9</f>
        <v>89456</v>
      </c>
      <c r="F50" s="40">
        <f>E50</f>
        <v>89456</v>
      </c>
      <c r="G50" s="40">
        <f>G49-G9</f>
        <v>85144</v>
      </c>
      <c r="H50" s="40">
        <f>H49-H9</f>
        <v>82720</v>
      </c>
      <c r="I50" s="41">
        <f>I49-I9</f>
        <v>80571.59650957533</v>
      </c>
      <c r="J50" s="20"/>
    </row>
    <row r="51" ht="26.25">
      <c r="A51" s="106" t="s">
        <v>576</v>
      </c>
      <c r="B51" s="81">
        <f>B50/('Income Statement'!B110*4)</f>
        <v>2.3740952480855975</v>
      </c>
      <c r="C51" s="81">
        <f>C50/('Income Statement'!C110*4)</f>
        <v>2.232618630882925</v>
      </c>
      <c r="D51" s="81">
        <f>D50/('Income Statement'!D110*4)</f>
        <v>2.3204902772031444</v>
      </c>
      <c r="E51" s="81">
        <f>E50/('Income Statement'!E110*4)</f>
        <v>2.8308860759493673</v>
      </c>
      <c r="F51" s="81">
        <f>F50/('Income Statement'!F110*1)</f>
        <v>2.392831349471713</v>
      </c>
      <c r="G51" s="81">
        <f>G50/('Income Statement'!G110*4)</f>
        <v>2.684575608525665</v>
      </c>
      <c r="H51" s="81">
        <f>H50/('Income Statement'!H110*4)</f>
        <v>2.3228125351005278</v>
      </c>
      <c r="I51" s="90">
        <f>I50/('Income Statement'!I110*4)</f>
        <v>2.3007820138807866</v>
      </c>
      <c r="J51" s="20"/>
    </row>
    <row r="52">
      <c r="A52" s="9" t="s">
        <v>577</v>
      </c>
      <c r="B52" s="80" t="s">
        <v>40</v>
      </c>
      <c r="C52" s="80" t="s">
        <v>40</v>
      </c>
      <c r="D52" s="80" t="s">
        <v>40</v>
      </c>
      <c r="E52" s="80" t="s">
        <v>40</v>
      </c>
      <c r="F52" s="80" t="s">
        <v>40</v>
      </c>
      <c r="G52" s="80">
        <f>IFERROR(G51-B51,"n.a.")</f>
        <v>0.31048036044006766</v>
      </c>
      <c r="H52" s="80">
        <f>IFERROR(H51-C51,"n.a.")</f>
        <v>0.09019390421760276</v>
      </c>
      <c r="I52" s="91">
        <f>IFERROR(I51-D51,"n.a.")</f>
        <v>-0.019708263322357755</v>
      </c>
      <c r="J52" s="20"/>
    </row>
    <row r="53">
      <c r="A53" s="9" t="s">
        <v>578</v>
      </c>
      <c r="B53" s="80" t="s">
        <v>40</v>
      </c>
      <c r="C53" s="80">
        <f>IFERROR(C51-B51,"n.a.")</f>
        <v>-0.14147661720267246</v>
      </c>
      <c r="D53" s="80">
        <f>IFERROR(D51-C51,"n.a.")</f>
        <v>0.08787164632021938</v>
      </c>
      <c r="E53" s="80">
        <f>IFERROR(E51-D51,"n.a.")</f>
        <v>0.5103957987462229</v>
      </c>
      <c r="F53" s="80" t="s">
        <v>40</v>
      </c>
      <c r="G53" s="80">
        <f>IFERROR(G51-E51,"n.a.")</f>
        <v>-0.14631046742370213</v>
      </c>
      <c r="H53" s="80">
        <f>IFERROR(H51-G51,"n.a.")</f>
        <v>-0.36176307342513736</v>
      </c>
      <c r="I53" s="91">
        <f>IFERROR(I51-H51,"n.a.")</f>
        <v>-0.02203052121974114</v>
      </c>
      <c r="J53" s="20"/>
    </row>
    <row r="54">
      <c r="A54" s="9"/>
      <c r="B54" s="9"/>
      <c r="C54" s="9"/>
      <c r="D54" s="9"/>
      <c r="E54" s="9"/>
      <c r="F54" s="9"/>
      <c r="G54" s="9"/>
      <c r="H54" s="9"/>
      <c r="I54" s="9"/>
      <c r="J54" s="20"/>
    </row>
    <row r="55">
      <c r="A55" s="9"/>
      <c r="B55" s="9"/>
      <c r="C55" s="9"/>
      <c r="D55" s="9"/>
      <c r="E55" s="9"/>
      <c r="F55" s="9"/>
      <c r="G55" s="9"/>
      <c r="H55" s="9"/>
      <c r="I55" s="9"/>
      <c r="J55" s="20"/>
    </row>
    <row r="56">
      <c r="A56" s="9"/>
      <c r="B56" s="9"/>
      <c r="C56" s="9"/>
      <c r="D56" s="9"/>
      <c r="E56" s="9"/>
      <c r="F56" s="9"/>
      <c r="G56" s="9"/>
      <c r="H56" s="9"/>
      <c r="I56" s="9"/>
      <c r="J56" s="20"/>
    </row>
    <row r="57">
      <c r="A57" s="9"/>
      <c r="B57" s="9"/>
      <c r="C57" s="9"/>
      <c r="D57" s="9"/>
      <c r="E57" s="9"/>
      <c r="F57" s="9"/>
      <c r="G57" s="9"/>
      <c r="H57" s="9"/>
      <c r="I57" s="9"/>
      <c r="J57" s="9"/>
    </row>
    <row r="58">
      <c r="A58" s="9"/>
      <c r="B58" s="9"/>
      <c r="C58" s="9"/>
      <c r="D58" s="9"/>
      <c r="E58" s="9"/>
      <c r="F58" s="9"/>
      <c r="G58" s="9"/>
      <c r="H58" s="9"/>
      <c r="I58" s="9"/>
      <c r="J58" s="9"/>
    </row>
    <row r="59">
      <c r="A59" s="9"/>
      <c r="B59" s="9"/>
      <c r="C59" s="9"/>
      <c r="D59" s="9"/>
      <c r="E59" s="9"/>
      <c r="F59" s="9"/>
      <c r="G59" s="9"/>
      <c r="H59" s="9"/>
      <c r="I59" s="9"/>
      <c r="J59" s="9"/>
    </row>
    <row r="60">
      <c r="A60" s="9"/>
      <c r="B60" s="9"/>
      <c r="C60" s="9"/>
      <c r="D60" s="9"/>
      <c r="E60" s="9"/>
      <c r="F60" s="9"/>
      <c r="G60" s="9"/>
      <c r="H60" s="9"/>
      <c r="I60" s="9"/>
      <c r="J60" s="9"/>
    </row>
    <row r="61">
      <c r="A61" s="9"/>
      <c r="B61" s="9"/>
      <c r="C61" s="9"/>
      <c r="D61" s="9"/>
      <c r="E61" s="9"/>
      <c r="F61" s="9"/>
      <c r="G61" s="9"/>
      <c r="H61" s="9"/>
      <c r="I61" s="9"/>
      <c r="J61" s="9"/>
    </row>
    <row r="62">
      <c r="A62" s="9"/>
      <c r="B62" s="9"/>
      <c r="C62" s="9"/>
      <c r="D62" s="9"/>
      <c r="E62" s="9"/>
      <c r="F62" s="9"/>
      <c r="G62" s="9"/>
      <c r="H62" s="9"/>
      <c r="I62" s="9"/>
      <c r="J62" s="9"/>
    </row>
    <row r="63">
      <c r="A63" s="9"/>
      <c r="B63" s="9"/>
      <c r="C63" s="9"/>
      <c r="D63" s="9"/>
      <c r="E63" s="9"/>
      <c r="F63" s="9"/>
      <c r="G63" s="9"/>
      <c r="H63" s="9"/>
      <c r="I63" s="9"/>
      <c r="J63" s="9"/>
    </row>
    <row r="64">
      <c r="A64" s="9"/>
      <c r="B64" s="9"/>
      <c r="C64" s="9"/>
      <c r="D64" s="9"/>
      <c r="E64" s="9"/>
      <c r="F64" s="9"/>
      <c r="G64" s="9"/>
      <c r="H64" s="9"/>
      <c r="I64" s="9"/>
      <c r="J64" s="9"/>
    </row>
    <row r="65">
      <c r="A65" s="9"/>
      <c r="B65" s="9"/>
      <c r="C65" s="9"/>
      <c r="D65" s="9"/>
      <c r="E65" s="9"/>
      <c r="F65" s="9"/>
      <c r="G65" s="9"/>
      <c r="H65" s="9"/>
      <c r="I65" s="9"/>
      <c r="J65" s="9"/>
    </row>
    <row r="66">
      <c r="A66" s="9"/>
      <c r="B66" s="9"/>
      <c r="C66" s="9"/>
      <c r="D66" s="9"/>
      <c r="E66" s="9"/>
      <c r="F66" s="9"/>
      <c r="G66" s="9"/>
      <c r="H66" s="9"/>
      <c r="I66" s="9"/>
      <c r="J66" s="9"/>
    </row>
  </sheetData>
</worksheet>
</file>

<file path=xl/worksheets/sheet10.xml><?xml version="1.0" encoding="utf-8"?>
<worksheet xmlns="http://schemas.openxmlformats.org/spreadsheetml/2006/main" xmlns:r="http://schemas.openxmlformats.org/officeDocument/2006/relationships">
  <dimension ref="A1:J123"/>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579</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580</v>
      </c>
      <c r="B8" s="33"/>
      <c r="C8" s="33"/>
      <c r="D8" s="33"/>
      <c r="E8" s="33"/>
      <c r="F8" s="33"/>
      <c r="G8" s="33"/>
      <c r="H8" s="33"/>
      <c r="I8" s="53"/>
      <c r="J8" s="20"/>
    </row>
    <row r="9">
      <c r="A9" s="9" t="s">
        <v>420</v>
      </c>
      <c r="B9" s="40">
        <f>B83</f>
        <v>3296</v>
      </c>
      <c r="C9" s="40">
        <f>C83-B83</f>
        <v>11044</v>
      </c>
      <c r="D9" s="40">
        <f>D83-C83</f>
        <v>3250</v>
      </c>
      <c r="E9" s="40">
        <f>E83-D83</f>
        <v>2070</v>
      </c>
      <c r="F9" s="40">
        <f>SUM(B9:E9)</f>
        <v>19660</v>
      </c>
      <c r="G9" s="40">
        <f>G83</f>
        <v>2027</v>
      </c>
      <c r="H9" s="40">
        <f>H83-G83</f>
        <v>3418</v>
      </c>
      <c r="I9" s="31">
        <f>'Income Statement'!I58</f>
        <v>2793.4264904246666</v>
      </c>
      <c r="J9" s="20"/>
    </row>
    <row r="10">
      <c r="A10" s="9" t="s">
        <v>438</v>
      </c>
      <c r="B10" s="40">
        <f>B84</f>
        <v>3849</v>
      </c>
      <c r="C10" s="40">
        <f>C84-B84</f>
        <v>4154</v>
      </c>
      <c r="D10" s="40">
        <f>D84-C84</f>
        <v>4020</v>
      </c>
      <c r="E10" s="40">
        <f>E84-D84</f>
        <v>4187</v>
      </c>
      <c r="F10" s="40">
        <f>SUM(B10:E10)</f>
        <v>16210</v>
      </c>
      <c r="G10" s="40">
        <f>G84</f>
        <v>3865</v>
      </c>
      <c r="H10" s="40">
        <f>H84-G84</f>
        <v>3688</v>
      </c>
      <c r="I10" s="31">
        <f>'Income Statement'!I32+'Income Statement'!I35</f>
        <v>3710</v>
      </c>
      <c r="J10" s="20"/>
    </row>
    <row r="11">
      <c r="A11" s="9" t="s">
        <v>581</v>
      </c>
      <c r="B11" s="40">
        <f>B85</f>
        <v>382</v>
      </c>
      <c r="C11" s="40">
        <f>C85-B85</f>
        <v>321</v>
      </c>
      <c r="D11" s="40">
        <f>D85-C85</f>
        <v>311</v>
      </c>
      <c r="E11" s="40">
        <f>E85-D85</f>
        <v>274</v>
      </c>
      <c r="F11" s="40">
        <f>SUM(B11:E11)</f>
        <v>1288</v>
      </c>
      <c r="G11" s="40">
        <f>G85</f>
        <v>427</v>
      </c>
      <c r="H11" s="40">
        <f>H85-G85</f>
        <v>359</v>
      </c>
      <c r="I11" s="73">
        <v>320</v>
      </c>
      <c r="J11" s="20" t="s">
        <v>582</v>
      </c>
    </row>
    <row r="12" ht="26.25">
      <c r="A12" s="106" t="s">
        <v>583</v>
      </c>
      <c r="B12" s="40">
        <f>B86</f>
        <v>130</v>
      </c>
      <c r="C12" s="40">
        <f>C86-B86</f>
        <v>123</v>
      </c>
      <c r="D12" s="40">
        <f>D86-C86</f>
        <v>106</v>
      </c>
      <c r="E12" s="40">
        <f>E86-D86</f>
        <v>129</v>
      </c>
      <c r="F12" s="40">
        <f>SUM(B12:E12)</f>
        <v>488</v>
      </c>
      <c r="G12" s="40">
        <f>G86</f>
        <v>134</v>
      </c>
      <c r="H12" s="40">
        <f>H86-G86</f>
        <v>119</v>
      </c>
      <c r="I12" s="73">
        <v>120</v>
      </c>
      <c r="J12" s="20" t="s">
        <v>584</v>
      </c>
    </row>
    <row r="13" ht="26.25">
      <c r="A13" s="106" t="s">
        <v>585</v>
      </c>
      <c r="B13" s="40">
        <f>B87</f>
        <v>231</v>
      </c>
      <c r="C13" s="40">
        <f>C87-B87</f>
        <v>-9621</v>
      </c>
      <c r="D13" s="40">
        <f>D87-C87</f>
        <v>108</v>
      </c>
      <c r="E13" s="40">
        <f>E87-D87</f>
        <v>429</v>
      </c>
      <c r="F13" s="40">
        <f>SUM(B13:E13)</f>
        <v>-8853</v>
      </c>
      <c r="G13" s="40">
        <f>G87</f>
        <v>263</v>
      </c>
      <c r="H13" s="40">
        <f>H87-G87</f>
        <v>-347</v>
      </c>
      <c r="I13" s="31">
        <f>-('Income Statement'!I49+'Income Statement'!I50)</f>
        <v>140</v>
      </c>
      <c r="J13" s="20"/>
    </row>
    <row r="14">
      <c r="A14" s="9" t="s">
        <v>559</v>
      </c>
      <c r="B14" s="40">
        <f>B88</f>
        <v>-43</v>
      </c>
      <c r="C14" s="40">
        <f>C88-B88</f>
        <v>2599</v>
      </c>
      <c r="D14" s="40">
        <f>D88-C88</f>
        <v>694</v>
      </c>
      <c r="E14" s="40">
        <f>E88-D88</f>
        <v>-576</v>
      </c>
      <c r="F14" s="40">
        <f>SUM(B14:E14)</f>
        <v>2674</v>
      </c>
      <c r="G14" s="40">
        <f>G88</f>
        <v>730</v>
      </c>
      <c r="H14" s="40">
        <f>H88-G88</f>
        <v>697</v>
      </c>
      <c r="I14" s="73">
        <v>600</v>
      </c>
      <c r="J14" s="20" t="s">
        <v>586</v>
      </c>
    </row>
    <row r="15" ht="26.25">
      <c r="A15" s="106" t="s">
        <v>587</v>
      </c>
      <c r="B15" s="40">
        <f>B89</f>
        <v>935</v>
      </c>
      <c r="C15" s="40">
        <f>C89-B89</f>
        <v>88</v>
      </c>
      <c r="D15" s="40">
        <f>D89-C89</f>
        <v>-307</v>
      </c>
      <c r="E15" s="40">
        <f>E89-D89</f>
        <v>-851</v>
      </c>
      <c r="F15" s="40">
        <f>SUM(B15:E15)</f>
        <v>-135</v>
      </c>
      <c r="G15" s="40">
        <f>G89</f>
        <v>-1376</v>
      </c>
      <c r="H15" s="40">
        <f>H89-G89</f>
        <v>38</v>
      </c>
      <c r="I15" s="73">
        <v>-300</v>
      </c>
      <c r="J15" s="20" t="s">
        <v>588</v>
      </c>
    </row>
    <row r="16">
      <c r="A16" s="9" t="s">
        <v>589</v>
      </c>
      <c r="B16" s="40">
        <f>B90</f>
        <v>-123</v>
      </c>
      <c r="C16" s="40">
        <f>C90-B90</f>
        <v>311</v>
      </c>
      <c r="D16" s="40">
        <f>D90-C90</f>
        <v>-356</v>
      </c>
      <c r="E16" s="40">
        <f>E90-D90</f>
        <v>506</v>
      </c>
      <c r="F16" s="40">
        <f>SUM(B16:E16)</f>
        <v>338</v>
      </c>
      <c r="G16" s="40">
        <f>G90</f>
        <v>375</v>
      </c>
      <c r="H16" s="40">
        <f>H90-G90</f>
        <v>498</v>
      </c>
      <c r="I16" s="73">
        <v>-300</v>
      </c>
      <c r="J16" s="20" t="s">
        <v>588</v>
      </c>
    </row>
    <row r="17">
      <c r="A17" s="9" t="s">
        <v>549</v>
      </c>
      <c r="B17" s="40">
        <f>B91</f>
        <v>-35</v>
      </c>
      <c r="C17" s="40">
        <f>C91-B91</f>
        <v>69</v>
      </c>
      <c r="D17" s="40">
        <f>D91-C91</f>
        <v>-169</v>
      </c>
      <c r="E17" s="40">
        <f>E91-D91</f>
        <v>115</v>
      </c>
      <c r="F17" s="40">
        <f>SUM(B17:E17)</f>
        <v>-20</v>
      </c>
      <c r="G17" s="40">
        <f>G91</f>
        <v>1119</v>
      </c>
      <c r="H17" s="40">
        <f>H91-G91</f>
        <v>-161</v>
      </c>
      <c r="I17" s="73">
        <v>0</v>
      </c>
      <c r="J17" s="20"/>
    </row>
    <row r="18" ht="26.25">
      <c r="A18" s="106" t="s">
        <v>590</v>
      </c>
      <c r="B18" s="40">
        <f>B92</f>
        <v>-327</v>
      </c>
      <c r="C18" s="40">
        <f>C92-B92</f>
        <v>-1275</v>
      </c>
      <c r="D18" s="40">
        <f>D92-C92</f>
        <v>1036</v>
      </c>
      <c r="E18" s="40">
        <f>E92-D92</f>
        <v>2560</v>
      </c>
      <c r="F18" s="40">
        <f>SUM(B18:E18)</f>
        <v>1994</v>
      </c>
      <c r="G18" s="40">
        <f>G92</f>
        <v>-673</v>
      </c>
      <c r="H18" s="40">
        <f>H92-G92</f>
        <v>-218</v>
      </c>
      <c r="I18" s="73">
        <v>250</v>
      </c>
      <c r="J18" s="20" t="s">
        <v>591</v>
      </c>
    </row>
    <row r="19">
      <c r="A19" s="9" t="s">
        <v>592</v>
      </c>
      <c r="B19" s="40">
        <f>B107-SUM(B9:B18)</f>
        <v>-1</v>
      </c>
      <c r="C19" s="40">
        <f>(C107-B107)-SUM(C9:C18)</f>
        <v>2</v>
      </c>
      <c r="D19" s="40">
        <f>(D107-C107)-SUM(D9:D18)</f>
        <v>0</v>
      </c>
      <c r="E19" s="40">
        <f>(E107-D107)-SUM(E9:E18)</f>
        <v>-2</v>
      </c>
      <c r="F19" s="40">
        <f>SUM(B19:E19)</f>
        <v>-1</v>
      </c>
      <c r="G19" s="40">
        <f>G107-SUM(G9:G18)</f>
        <v>0</v>
      </c>
      <c r="H19" s="40">
        <f>(H107-G107)-SUM(H9:H18)</f>
        <v>1</v>
      </c>
      <c r="I19" s="73">
        <v>0</v>
      </c>
      <c r="J19" s="20"/>
    </row>
    <row r="20">
      <c r="A20" s="35" t="s">
        <v>593</v>
      </c>
      <c r="B20" s="45">
        <f>SUM(B9:B19)</f>
        <v>8294</v>
      </c>
      <c r="C20" s="45">
        <f>SUM(C9:C19)</f>
        <v>7815</v>
      </c>
      <c r="D20" s="45">
        <f>SUM(D9:D19)</f>
        <v>8693</v>
      </c>
      <c r="E20" s="45">
        <f>SUM(E9:E19)</f>
        <v>8841</v>
      </c>
      <c r="F20" s="45">
        <f>SUM(B20:E20)</f>
        <v>33643</v>
      </c>
      <c r="G20" s="45">
        <f>SUM(G9:G19)</f>
        <v>6891</v>
      </c>
      <c r="H20" s="45">
        <f>SUM(H9:H19)</f>
        <v>8092</v>
      </c>
      <c r="I20" s="52">
        <f>SUM(I9:I19)</f>
        <v>7333.426490424667</v>
      </c>
      <c r="J20" s="20"/>
    </row>
    <row r="21">
      <c r="A21" s="23" t="s">
        <v>217</v>
      </c>
      <c r="B21" s="29" t="s">
        <v>40</v>
      </c>
      <c r="C21" s="29" t="s">
        <v>40</v>
      </c>
      <c r="D21" s="29" t="s">
        <v>40</v>
      </c>
      <c r="E21" s="29" t="s">
        <v>40</v>
      </c>
      <c r="F21" s="29" t="s">
        <v>40</v>
      </c>
      <c r="G21" s="29">
        <f>IFERROR(G20/B20-1,"n.a.")</f>
        <v>-0.16915842777911738</v>
      </c>
      <c r="H21" s="29">
        <f>IFERROR(H20/C20-1,"n.a.")</f>
        <v>0.03544465770953287</v>
      </c>
      <c r="I21" s="50">
        <f>IFERROR(I20/D20-1,"n.a.")</f>
        <v>-0.1563986551909966</v>
      </c>
      <c r="J21" s="20"/>
    </row>
    <row r="22">
      <c r="A22" s="35" t="s">
        <v>594</v>
      </c>
      <c r="B22" s="33"/>
      <c r="C22" s="33"/>
      <c r="D22" s="33"/>
      <c r="E22" s="33"/>
      <c r="F22" s="33"/>
      <c r="G22" s="33"/>
      <c r="H22" s="33"/>
      <c r="I22" s="53"/>
      <c r="J22" s="20"/>
    </row>
    <row r="23">
      <c r="A23" s="9" t="s">
        <v>595</v>
      </c>
      <c r="B23" s="40">
        <f>B93</f>
        <v>-2252</v>
      </c>
      <c r="C23" s="40">
        <f>C93-B93</f>
        <v>-2678</v>
      </c>
      <c r="D23" s="40">
        <f>D93-C93</f>
        <v>-3071</v>
      </c>
      <c r="E23" s="40">
        <f>E93-D93</f>
        <v>-3749</v>
      </c>
      <c r="F23" s="40">
        <f>SUM(B23:E23)</f>
        <v>-11750</v>
      </c>
      <c r="G23" s="40">
        <f>G93</f>
        <v>-2351</v>
      </c>
      <c r="H23" s="40">
        <f>H93-G93</f>
        <v>-2902</v>
      </c>
      <c r="I23" s="41">
        <f>-I76</f>
        <v>-3093.1600000000003</v>
      </c>
      <c r="J23" s="20"/>
    </row>
    <row r="24">
      <c r="A24" s="9" t="s">
        <v>596</v>
      </c>
      <c r="B24" s="40">
        <f>B94</f>
        <v>-622</v>
      </c>
      <c r="C24" s="40">
        <f>C94-B94</f>
        <v>-635</v>
      </c>
      <c r="D24" s="40">
        <f>D94-C94</f>
        <v>-677</v>
      </c>
      <c r="E24" s="40">
        <f>E94-D94</f>
        <v>-724</v>
      </c>
      <c r="F24" s="40">
        <f>SUM(B24:E24)</f>
        <v>-2658</v>
      </c>
      <c r="G24" s="40">
        <f>G94</f>
        <v>-639</v>
      </c>
      <c r="H24" s="40">
        <f>H94-G94</f>
        <v>-587</v>
      </c>
      <c r="I24" s="73">
        <v>-600</v>
      </c>
      <c r="J24" s="20"/>
    </row>
    <row r="25" ht="26.25">
      <c r="A25" s="106" t="s">
        <v>597</v>
      </c>
      <c r="B25" s="40">
        <f>B95</f>
        <v>-2</v>
      </c>
      <c r="C25" s="40">
        <f>C95-B95</f>
        <v>-1</v>
      </c>
      <c r="D25" s="40">
        <f>D95-C95</f>
        <v>0</v>
      </c>
      <c r="E25" s="40">
        <f>E95-D95</f>
        <v>-8</v>
      </c>
      <c r="F25" s="40">
        <f>SUM(B25:E25)</f>
        <v>-11</v>
      </c>
      <c r="G25" s="40">
        <f>G95</f>
        <v>0</v>
      </c>
      <c r="H25" s="40">
        <f>H95-G95</f>
        <v>0</v>
      </c>
      <c r="I25" s="73">
        <v>0</v>
      </c>
      <c r="J25" s="20"/>
    </row>
    <row r="26">
      <c r="A26" s="9" t="s">
        <v>598</v>
      </c>
      <c r="B26" s="40">
        <f>B96</f>
        <v>0</v>
      </c>
      <c r="C26" s="40">
        <f>C96-B96</f>
        <v>-1279</v>
      </c>
      <c r="D26" s="40">
        <f>D96-C96</f>
        <v>0</v>
      </c>
      <c r="E26" s="40">
        <f>E96-D96</f>
        <v>-27</v>
      </c>
      <c r="F26" s="40">
        <f>SUM(B26:E26)</f>
        <v>-1306</v>
      </c>
      <c r="G26" s="40">
        <f>G96</f>
        <v>0</v>
      </c>
      <c r="H26" s="40">
        <f>H96-G96</f>
        <v>0</v>
      </c>
      <c r="I26" s="73">
        <v>0</v>
      </c>
      <c r="J26" s="20"/>
    </row>
    <row r="27" ht="26.25">
      <c r="A27" s="106" t="s">
        <v>599</v>
      </c>
      <c r="B27" s="40">
        <f>B97</f>
        <v>43</v>
      </c>
      <c r="C27" s="40">
        <f>C97-B97</f>
        <v>616</v>
      </c>
      <c r="D27" s="40">
        <f>D97-C97</f>
        <v>-15</v>
      </c>
      <c r="E27" s="40">
        <f>E97-D97</f>
        <v>26</v>
      </c>
      <c r="F27" s="40">
        <f>SUM(B27:E27)</f>
        <v>670</v>
      </c>
      <c r="G27" s="40">
        <f>G97</f>
        <v>32</v>
      </c>
      <c r="H27" s="40">
        <f>H97-G97</f>
        <v>74</v>
      </c>
      <c r="I27" s="73">
        <v>50</v>
      </c>
      <c r="J27" s="20"/>
    </row>
    <row r="28">
      <c r="A28" s="9" t="s">
        <v>600</v>
      </c>
      <c r="B28" s="40">
        <f>B98</f>
        <v>-145</v>
      </c>
      <c r="C28" s="40">
        <f>C98-B98</f>
        <v>-987</v>
      </c>
      <c r="D28" s="40">
        <f>D98-C98</f>
        <v>-94</v>
      </c>
      <c r="E28" s="40">
        <f>E98-D98</f>
        <v>-76</v>
      </c>
      <c r="F28" s="40">
        <f>SUM(B28:E28)</f>
        <v>-1302</v>
      </c>
      <c r="G28" s="40">
        <f>G98</f>
        <v>-237</v>
      </c>
      <c r="H28" s="40">
        <f>H98-G98</f>
        <v>-248</v>
      </c>
      <c r="I28" s="73">
        <v>-200</v>
      </c>
      <c r="J28" s="20"/>
    </row>
    <row r="29">
      <c r="A29" s="9" t="s">
        <v>601</v>
      </c>
      <c r="B29" s="40">
        <f>B99</f>
        <v>19</v>
      </c>
      <c r="C29" s="40">
        <f>C99-B99</f>
        <v>20</v>
      </c>
      <c r="D29" s="40">
        <f>D99-C99</f>
        <v>41</v>
      </c>
      <c r="E29" s="40">
        <f>E99-D99</f>
        <v>119</v>
      </c>
      <c r="F29" s="40">
        <f>SUM(B29:E29)</f>
        <v>199</v>
      </c>
      <c r="G29" s="40">
        <f>G99</f>
        <v>276</v>
      </c>
      <c r="H29" s="40">
        <f>H99-G99</f>
        <v>91</v>
      </c>
      <c r="I29" s="73">
        <v>50</v>
      </c>
      <c r="J29" s="20"/>
    </row>
    <row r="30">
      <c r="A30" s="9" t="s">
        <v>592</v>
      </c>
      <c r="B30" s="40">
        <f>B108-SUM(B23:B29)</f>
        <v>1</v>
      </c>
      <c r="C30" s="40">
        <f>(C108-B108)-SUM(C23:C29)</f>
        <v>-1</v>
      </c>
      <c r="D30" s="40">
        <f>(D108-C108)-SUM(D23:D29)</f>
        <v>-1</v>
      </c>
      <c r="E30" s="40">
        <f>(E108-D108)-SUM(E23:E29)</f>
        <v>2</v>
      </c>
      <c r="F30" s="40">
        <f>SUM(B30:E30)</f>
        <v>1</v>
      </c>
      <c r="G30" s="40">
        <f>G108-SUM(G23:G29)</f>
        <v>0</v>
      </c>
      <c r="H30" s="40">
        <f>(H108-G108)-SUM(H23:H29)</f>
        <v>0</v>
      </c>
      <c r="I30" s="73">
        <v>0</v>
      </c>
      <c r="J30" s="20"/>
    </row>
    <row r="31" ht="26.25">
      <c r="A31" s="113" t="s">
        <v>602</v>
      </c>
      <c r="B31" s="45">
        <f>SUM(B23:B30)</f>
        <v>-2958</v>
      </c>
      <c r="C31" s="45">
        <f>SUM(C23:C30)</f>
        <v>-4945</v>
      </c>
      <c r="D31" s="45">
        <f>SUM(D23:D30)</f>
        <v>-3817</v>
      </c>
      <c r="E31" s="45">
        <f>SUM(E23:E30)</f>
        <v>-4437</v>
      </c>
      <c r="F31" s="45">
        <f>SUM(B31:E31)</f>
        <v>-16157</v>
      </c>
      <c r="G31" s="45">
        <f>SUM(G23:G30)</f>
        <v>-2919</v>
      </c>
      <c r="H31" s="45">
        <f>SUM(H23:H30)</f>
        <v>-3572</v>
      </c>
      <c r="I31" s="52">
        <f>SUM(I23:I30)</f>
        <v>-3793.1600000000003</v>
      </c>
      <c r="J31" s="20"/>
    </row>
    <row r="32">
      <c r="A32" s="35" t="s">
        <v>603</v>
      </c>
      <c r="B32" s="33"/>
      <c r="C32" s="33"/>
      <c r="D32" s="33"/>
      <c r="E32" s="33"/>
      <c r="F32" s="33"/>
      <c r="G32" s="33"/>
      <c r="H32" s="33"/>
      <c r="I32" s="53"/>
      <c r="J32" s="20"/>
    </row>
    <row r="33">
      <c r="A33" s="9" t="s">
        <v>604</v>
      </c>
      <c r="B33" s="40">
        <f>B100</f>
        <v>0</v>
      </c>
      <c r="C33" s="40">
        <f>C100-B100</f>
        <v>2494</v>
      </c>
      <c r="D33" s="40">
        <f>D100-C100</f>
        <v>0</v>
      </c>
      <c r="E33" s="40">
        <f>E100-D100</f>
        <v>1000</v>
      </c>
      <c r="F33" s="40">
        <f>SUM(B33:E33)</f>
        <v>3494</v>
      </c>
      <c r="G33" s="40">
        <f>G100</f>
        <v>1990</v>
      </c>
      <c r="H33" s="40">
        <f>H100-G100</f>
        <v>0</v>
      </c>
      <c r="I33" s="73">
        <v>0</v>
      </c>
      <c r="J33" s="20"/>
    </row>
    <row r="34">
      <c r="A34" s="9" t="s">
        <v>605</v>
      </c>
      <c r="B34" s="40">
        <f>B101</f>
        <v>-636</v>
      </c>
      <c r="C34" s="40">
        <f>C101-B101</f>
        <v>-1220</v>
      </c>
      <c r="D34" s="40">
        <f>D101-C101</f>
        <v>-2510</v>
      </c>
      <c r="E34" s="40">
        <f>E101-D101</f>
        <v>-1374</v>
      </c>
      <c r="F34" s="40">
        <f>SUM(B34:E34)</f>
        <v>-5740</v>
      </c>
      <c r="G34" s="40">
        <f>G101</f>
        <v>-3182</v>
      </c>
      <c r="H34" s="40">
        <f>H101-G101</f>
        <v>-4162</v>
      </c>
      <c r="I34" s="73">
        <v>-2000</v>
      </c>
      <c r="J34" s="20" t="s">
        <v>606</v>
      </c>
    </row>
    <row r="35">
      <c r="A35" s="9" t="s">
        <v>607</v>
      </c>
      <c r="B35" s="40">
        <f>B102</f>
        <v>-2240</v>
      </c>
      <c r="C35" s="40">
        <f>C102-B102</f>
        <v>-1826</v>
      </c>
      <c r="D35" s="40">
        <f>D102-C102</f>
        <v>-1552</v>
      </c>
      <c r="E35" s="40">
        <f>E102-D102</f>
        <v>-1537</v>
      </c>
      <c r="F35" s="40">
        <f>SUM(B35:E35)</f>
        <v>-7155</v>
      </c>
      <c r="G35" s="40">
        <f>G102</f>
        <v>-1502</v>
      </c>
      <c r="H35" s="40">
        <f>H102-G102</f>
        <v>-1005</v>
      </c>
      <c r="I35" s="73">
        <v>-50</v>
      </c>
      <c r="J35" s="20" t="s">
        <v>608</v>
      </c>
    </row>
    <row r="36">
      <c r="A36" s="9" t="s">
        <v>609</v>
      </c>
      <c r="B36" s="40">
        <f>B103</f>
        <v>-1224</v>
      </c>
      <c r="C36" s="40">
        <f>C103-B103</f>
        <v>-1238</v>
      </c>
      <c r="D36" s="40">
        <f>D103-C103</f>
        <v>-1223</v>
      </c>
      <c r="E36" s="40">
        <f>E103-D103</f>
        <v>-1209</v>
      </c>
      <c r="F36" s="40">
        <f>SUM(B36:E36)</f>
        <v>-4894</v>
      </c>
      <c r="G36" s="40">
        <f>G103</f>
        <v>-1248</v>
      </c>
      <c r="H36" s="40">
        <f>H103-G103</f>
        <v>-1184</v>
      </c>
      <c r="I36" s="31">
        <f>-'Share Count'!I26*'Share Count'!I12</f>
        <v>-1171.863</v>
      </c>
      <c r="J36" s="20" t="s">
        <v>610</v>
      </c>
    </row>
    <row r="37">
      <c r="A37" s="9" t="s">
        <v>611</v>
      </c>
      <c r="B37" s="40">
        <f>B104</f>
        <v>0</v>
      </c>
      <c r="C37" s="40">
        <f>C104-B104</f>
        <v>0</v>
      </c>
      <c r="D37" s="40">
        <f>D104-C104</f>
        <v>0</v>
      </c>
      <c r="E37" s="40">
        <f>E104-D104</f>
        <v>0</v>
      </c>
      <c r="F37" s="40">
        <f>SUM(B37:E37)</f>
        <v>0</v>
      </c>
      <c r="G37" s="40">
        <f>G104</f>
        <v>-750</v>
      </c>
      <c r="H37" s="40">
        <f>H104-G104</f>
        <v>0</v>
      </c>
      <c r="I37" s="73">
        <v>0</v>
      </c>
      <c r="J37" s="20"/>
    </row>
    <row r="38">
      <c r="A38" s="9" t="s">
        <v>612</v>
      </c>
      <c r="B38" s="40">
        <f>B105</f>
        <v>24</v>
      </c>
      <c r="C38" s="40">
        <f>C105-B105</f>
        <v>-15</v>
      </c>
      <c r="D38" s="40">
        <f>D105-C105</f>
        <v>42</v>
      </c>
      <c r="E38" s="40">
        <f>E105-D105</f>
        <v>-101</v>
      </c>
      <c r="F38" s="40">
        <f>SUM(B38:E38)</f>
        <v>-50</v>
      </c>
      <c r="G38" s="40">
        <f>G105</f>
        <v>-316</v>
      </c>
      <c r="H38" s="40">
        <f>H105-G105</f>
        <v>46</v>
      </c>
      <c r="I38" s="73">
        <v>-50</v>
      </c>
      <c r="J38" s="20"/>
    </row>
    <row r="39">
      <c r="A39" s="9" t="s">
        <v>592</v>
      </c>
      <c r="B39" s="40">
        <f>B109-SUM(B33:B38)</f>
        <v>1</v>
      </c>
      <c r="C39" s="40">
        <f>(C109-B109)-SUM(C33:C38)</f>
        <v>-1</v>
      </c>
      <c r="D39" s="40">
        <f>(D109-C109)-SUM(D33:D38)</f>
        <v>0</v>
      </c>
      <c r="E39" s="40">
        <f>(E109-D109)-SUM(E33:E38)</f>
        <v>-1</v>
      </c>
      <c r="F39" s="40">
        <f>SUM(B39:E39)</f>
        <v>-1</v>
      </c>
      <c r="G39" s="40">
        <f>G109-SUM(G33:G38)</f>
        <v>0</v>
      </c>
      <c r="H39" s="40">
        <f>(H109-G109)-SUM(H33:H38)</f>
        <v>0</v>
      </c>
      <c r="I39" s="73">
        <v>0</v>
      </c>
      <c r="J39" s="20"/>
    </row>
    <row r="40" ht="26.25">
      <c r="A40" s="113" t="s">
        <v>613</v>
      </c>
      <c r="B40" s="45">
        <f>SUM(B33:B39)</f>
        <v>-4075</v>
      </c>
      <c r="C40" s="45">
        <f>SUM(C33:C39)</f>
        <v>-1806</v>
      </c>
      <c r="D40" s="45">
        <f>SUM(D33:D39)</f>
        <v>-5243</v>
      </c>
      <c r="E40" s="45">
        <f>SUM(E33:E39)</f>
        <v>-3222</v>
      </c>
      <c r="F40" s="45">
        <f>SUM(B40:E40)</f>
        <v>-14346</v>
      </c>
      <c r="G40" s="45">
        <f>SUM(G33:G39)</f>
        <v>-5008</v>
      </c>
      <c r="H40" s="45">
        <f>SUM(H33:H39)</f>
        <v>-6305</v>
      </c>
      <c r="I40" s="52">
        <f>SUM(I33:I39)</f>
        <v>-3271.8630000000003</v>
      </c>
      <c r="J40" s="20"/>
    </row>
    <row r="41">
      <c r="A41" s="9" t="s">
        <v>614</v>
      </c>
      <c r="B41" s="40">
        <f>B106</f>
        <v>14</v>
      </c>
      <c r="C41" s="40">
        <f>C106-B106</f>
        <v>32</v>
      </c>
      <c r="D41" s="40">
        <f>D106-C106</f>
        <v>-11</v>
      </c>
      <c r="E41" s="40">
        <f>E106-D106</f>
        <v>7</v>
      </c>
      <c r="F41" s="40">
        <f>SUM(B41:E41)</f>
        <v>42</v>
      </c>
      <c r="G41" s="40">
        <f>G106</f>
        <v>-6</v>
      </c>
      <c r="H41" s="40">
        <f>H106-G106</f>
        <v>2</v>
      </c>
      <c r="I41" s="73">
        <v>0</v>
      </c>
      <c r="J41" s="20"/>
    </row>
    <row r="42">
      <c r="A42" s="9" t="s">
        <v>615</v>
      </c>
      <c r="B42" s="40">
        <f>B110-(B20+B31+B40+B41)</f>
        <v>0</v>
      </c>
      <c r="C42" s="40">
        <f>(C110-B110)-(C20+C31+C40+C41)</f>
        <v>0</v>
      </c>
      <c r="D42" s="40">
        <f>(D110-C110)-(D20+D31+D40+D41)</f>
        <v>1</v>
      </c>
      <c r="E42" s="40">
        <f>(E110-D110)-(E20+E31+E40+E41)</f>
        <v>-1</v>
      </c>
      <c r="F42" s="40">
        <f>SUM(B42:E42)</f>
        <v>0</v>
      </c>
      <c r="G42" s="40">
        <f>G110-(G20+G31+G40+G41)</f>
        <v>0</v>
      </c>
      <c r="H42" s="40">
        <f>(H110-G110)-(H20+H31+H40+H41)</f>
        <v>1</v>
      </c>
      <c r="I42" s="73">
        <v>0</v>
      </c>
      <c r="J42" s="20"/>
    </row>
    <row r="43">
      <c r="A43" s="35" t="s">
        <v>616</v>
      </c>
      <c r="B43" s="45">
        <f>B20+B31+B40+B41+B42</f>
        <v>1275</v>
      </c>
      <c r="C43" s="45">
        <f>C20+C31+C40+C41+C42</f>
        <v>1096</v>
      </c>
      <c r="D43" s="45">
        <f>D20+D31+D40+D41+D42</f>
        <v>-377</v>
      </c>
      <c r="E43" s="45">
        <f>E20+E31+E40+E41+E42</f>
        <v>1188</v>
      </c>
      <c r="F43" s="45">
        <f>SUM(B43:E43)</f>
        <v>3182</v>
      </c>
      <c r="G43" s="45">
        <f>G20+G31+G40+G41+G42</f>
        <v>-1042</v>
      </c>
      <c r="H43" s="45">
        <f>H20+H31+H40+H41+H42</f>
        <v>-1782</v>
      </c>
      <c r="I43" s="52">
        <f>I20+I31+I40+I41+I42</f>
        <v>268.40349042466596</v>
      </c>
      <c r="J43" s="20" t="s">
        <v>617</v>
      </c>
    </row>
    <row r="44">
      <c r="A44" s="9" t="s">
        <v>618</v>
      </c>
      <c r="B44" s="39">
        <v>7377</v>
      </c>
      <c r="C44" s="40">
        <f>B45</f>
        <v>8652</v>
      </c>
      <c r="D44" s="40">
        <f>C45</f>
        <v>9748</v>
      </c>
      <c r="E44" s="40">
        <f>D45</f>
        <v>9371</v>
      </c>
      <c r="F44" s="40">
        <f>B44</f>
        <v>7377</v>
      </c>
      <c r="G44" s="40">
        <f>E45</f>
        <v>10559</v>
      </c>
      <c r="H44" s="40">
        <f>G45</f>
        <v>9517</v>
      </c>
      <c r="I44" s="41">
        <f>H45</f>
        <v>7735</v>
      </c>
      <c r="J44" s="20" t="s">
        <v>619</v>
      </c>
    </row>
    <row r="45">
      <c r="A45" s="35" t="s">
        <v>620</v>
      </c>
      <c r="B45" s="45">
        <f>B44+B43</f>
        <v>8652</v>
      </c>
      <c r="C45" s="45">
        <f>C44+C43</f>
        <v>9748</v>
      </c>
      <c r="D45" s="45">
        <f>D44+D43</f>
        <v>9371</v>
      </c>
      <c r="E45" s="45">
        <f>E44+E43</f>
        <v>10559</v>
      </c>
      <c r="F45" s="45">
        <f>F44+F43</f>
        <v>10559</v>
      </c>
      <c r="G45" s="45">
        <f>G44+G43</f>
        <v>9517</v>
      </c>
      <c r="H45" s="45">
        <f>H44+H43</f>
        <v>7735</v>
      </c>
      <c r="I45" s="52">
        <f>I44+I43</f>
        <v>8003.4034904246655</v>
      </c>
      <c r="J45" s="20"/>
    </row>
    <row r="46" ht="26.25">
      <c r="A46" s="106" t="s">
        <v>621</v>
      </c>
      <c r="B46" s="27">
        <f>B45-'Balance Sheet'!B9</f>
        <v>59</v>
      </c>
      <c r="C46" s="27">
        <f>C45-'Balance Sheet'!C9</f>
        <v>61</v>
      </c>
      <c r="D46" s="27">
        <f>D45-'Balance Sheet'!D9</f>
        <v>46</v>
      </c>
      <c r="E46" s="27">
        <f>E45-'Balance Sheet'!E9</f>
        <v>1078</v>
      </c>
      <c r="F46" s="40">
        <f>E46</f>
        <v>1078</v>
      </c>
      <c r="G46" s="27">
        <f>G45-'Balance Sheet'!G9</f>
        <v>49</v>
      </c>
      <c r="H46" s="27">
        <f>H45-'Balance Sheet'!H9</f>
        <v>74</v>
      </c>
      <c r="I46" s="41">
        <f>H46</f>
        <v>74</v>
      </c>
      <c r="J46" s="20" t="s">
        <v>622</v>
      </c>
    </row>
    <row r="47">
      <c r="A47" s="35" t="s">
        <v>530</v>
      </c>
      <c r="B47" s="45">
        <f>B45-B46</f>
        <v>8593</v>
      </c>
      <c r="C47" s="45">
        <f>C45-C46</f>
        <v>9687</v>
      </c>
      <c r="D47" s="45">
        <f>D45-D46</f>
        <v>9325</v>
      </c>
      <c r="E47" s="45">
        <f>E45-E46</f>
        <v>9481</v>
      </c>
      <c r="F47" s="45">
        <f>E47</f>
        <v>9481</v>
      </c>
      <c r="G47" s="45">
        <f>G45-G46</f>
        <v>9468</v>
      </c>
      <c r="H47" s="45">
        <f>H45-H46</f>
        <v>7661</v>
      </c>
      <c r="I47" s="52">
        <f>I45-I46</f>
        <v>7929.4034904246655</v>
      </c>
      <c r="J47" s="20" t="s">
        <v>623</v>
      </c>
    </row>
    <row r="48">
      <c r="A48" s="9" t="s">
        <v>624</v>
      </c>
      <c r="B48" s="57" t="b">
        <f>ABS(B47-'Balance Sheet'!B9)&lt;0.5</f>
        <v>1</v>
      </c>
      <c r="C48" s="57" t="b">
        <f>ABS(C47-'Balance Sheet'!C9)&lt;0.5</f>
        <v>1</v>
      </c>
      <c r="D48" s="57" t="b">
        <f>ABS(D47-'Balance Sheet'!D9)&lt;0.5</f>
        <v>1</v>
      </c>
      <c r="E48" s="57" t="b">
        <f>ABS(E47-'Balance Sheet'!E9)&lt;0.5</f>
        <v>1</v>
      </c>
      <c r="F48" s="57" t="b">
        <f>ABS(F47-'Balance Sheet'!F9)&lt;0.5</f>
        <v>1</v>
      </c>
      <c r="G48" s="57" t="b">
        <f>ABS(G47-'Balance Sheet'!G9)&lt;0.5</f>
        <v>1</v>
      </c>
      <c r="H48" s="57" t="b">
        <f>ABS(H47-'Balance Sheet'!H9)&lt;0.5</f>
        <v>1</v>
      </c>
      <c r="I48" s="79" t="b">
        <f>ABS(I47-'Balance Sheet'!I9)&lt;0.5</f>
        <v>1</v>
      </c>
      <c r="J48" s="20" t="s">
        <v>625</v>
      </c>
    </row>
    <row r="49">
      <c r="A49" s="9" t="s">
        <v>626</v>
      </c>
      <c r="B49" s="33" t="b">
        <f>ABS(B45-B50)&lt;0.5</f>
        <v>1</v>
      </c>
      <c r="C49" s="33" t="b">
        <f>ABS(C45-C50)&lt;0.5</f>
        <v>1</v>
      </c>
      <c r="D49" s="33" t="b">
        <f>ABS(D45-D50)&lt;0.5</f>
        <v>1</v>
      </c>
      <c r="E49" s="33" t="b">
        <f>ABS(E45-E50)&lt;0.5</f>
        <v>1</v>
      </c>
      <c r="F49" s="33" t="b">
        <f>ABS(F45-F50)&lt;0.5</f>
        <v>1</v>
      </c>
      <c r="G49" s="33" t="b">
        <f>ABS(G45-G50)&lt;0.5</f>
        <v>1</v>
      </c>
      <c r="H49" s="33" t="b">
        <f>ABS(H45-H50)&lt;0.5</f>
        <v>1</v>
      </c>
      <c r="I49" s="53" t="s">
        <v>40</v>
      </c>
      <c r="J49" s="20"/>
    </row>
    <row r="50">
      <c r="A50" s="9" t="s">
        <v>627</v>
      </c>
      <c r="B50" s="39">
        <v>8652</v>
      </c>
      <c r="C50" s="39">
        <v>9748</v>
      </c>
      <c r="D50" s="39">
        <v>9371</v>
      </c>
      <c r="E50" s="39">
        <v>10559</v>
      </c>
      <c r="F50" s="39">
        <v>10559</v>
      </c>
      <c r="G50" s="39">
        <v>9517</v>
      </c>
      <c r="H50" s="39">
        <v>7735</v>
      </c>
      <c r="I50" s="41" t="s">
        <v>40</v>
      </c>
      <c r="J50" s="20" t="s">
        <v>619</v>
      </c>
    </row>
    <row r="51">
      <c r="A51" s="9" t="s">
        <v>628</v>
      </c>
      <c r="B51" s="33" t="b">
        <f>ABS(SUM(B20:B20)-B107)&lt;0.5</f>
        <v>1</v>
      </c>
      <c r="C51" s="33" t="b">
        <f>ABS(SUM(B20:C20)-C107)&lt;0.5</f>
        <v>1</v>
      </c>
      <c r="D51" s="33" t="b">
        <f>ABS(SUM(B20:D20)-D107)&lt;0.5</f>
        <v>1</v>
      </c>
      <c r="E51" s="33" t="b">
        <f>ABS(SUM(B20:E20)-E107)&lt;0.5</f>
        <v>1</v>
      </c>
      <c r="F51" s="33" t="b">
        <f>ABS(F20-F107)&lt;0.5</f>
        <v>1</v>
      </c>
      <c r="G51" s="33" t="b">
        <f>ABS(SUM(G20:G20)-G107)&lt;0.5</f>
        <v>1</v>
      </c>
      <c r="H51" s="33" t="b">
        <f>ABS(SUM(G20:H20)-H107)&lt;0.5</f>
        <v>1</v>
      </c>
      <c r="I51" s="53" t="s">
        <v>40</v>
      </c>
      <c r="J51" s="20" t="s">
        <v>629</v>
      </c>
    </row>
    <row r="52">
      <c r="A52" s="9"/>
      <c r="B52" s="9"/>
      <c r="C52" s="9"/>
      <c r="D52" s="9"/>
      <c r="E52" s="9"/>
      <c r="F52" s="9"/>
      <c r="G52" s="9"/>
      <c r="H52" s="9"/>
      <c r="I52" s="69"/>
      <c r="J52" s="20"/>
    </row>
    <row r="53">
      <c r="A53" s="35" t="s">
        <v>630</v>
      </c>
      <c r="B53" s="33"/>
      <c r="C53" s="33"/>
      <c r="D53" s="33"/>
      <c r="E53" s="33"/>
      <c r="F53" s="33"/>
      <c r="G53" s="33"/>
      <c r="H53" s="33"/>
      <c r="I53" s="53"/>
      <c r="J53" s="20"/>
    </row>
    <row r="54">
      <c r="A54" s="35" t="s">
        <v>630</v>
      </c>
      <c r="B54" s="45">
        <f>B20+B23+B24</f>
        <v>5420</v>
      </c>
      <c r="C54" s="45">
        <f>C20+C23+C24</f>
        <v>4502</v>
      </c>
      <c r="D54" s="45">
        <f>D20+D23+D24</f>
        <v>4945</v>
      </c>
      <c r="E54" s="45">
        <f>E20+E23+E24</f>
        <v>4368</v>
      </c>
      <c r="F54" s="45">
        <f>SUM(B54:E54)</f>
        <v>19235</v>
      </c>
      <c r="G54" s="45">
        <f>G20+G23+G24</f>
        <v>3901</v>
      </c>
      <c r="H54" s="45">
        <f>H20+H23+H24</f>
        <v>4603</v>
      </c>
      <c r="I54" s="52">
        <f>I20+I23+I24</f>
        <v>3640.2664904246667</v>
      </c>
      <c r="J54" s="20"/>
    </row>
    <row r="55">
      <c r="A55" s="23" t="s">
        <v>217</v>
      </c>
      <c r="B55" s="29" t="s">
        <v>40</v>
      </c>
      <c r="C55" s="29" t="s">
        <v>40</v>
      </c>
      <c r="D55" s="29" t="s">
        <v>40</v>
      </c>
      <c r="E55" s="29" t="s">
        <v>40</v>
      </c>
      <c r="F55" s="29" t="s">
        <v>40</v>
      </c>
      <c r="G55" s="29">
        <f>IFERROR(G54/B54-1,"n.a.")</f>
        <v>-0.28025830258302586</v>
      </c>
      <c r="H55" s="29">
        <f>IFERROR(H54/C54-1,"n.a.")</f>
        <v>0.022434473567303437</v>
      </c>
      <c r="I55" s="50">
        <f>IFERROR(I54/D54-1,"n.a.")</f>
        <v>-0.2638490413701382</v>
      </c>
      <c r="J55" s="20"/>
    </row>
    <row r="56">
      <c r="A56" s="9" t="s">
        <v>631</v>
      </c>
      <c r="B56" s="39">
        <v>5421</v>
      </c>
      <c r="C56" s="39">
        <v>4501</v>
      </c>
      <c r="D56" s="39">
        <v>4945</v>
      </c>
      <c r="E56" s="39">
        <v>4369</v>
      </c>
      <c r="F56" s="40">
        <f>SUM(B56:E56)</f>
        <v>19236</v>
      </c>
      <c r="G56" s="39">
        <v>3901</v>
      </c>
      <c r="H56" s="39">
        <v>4604</v>
      </c>
      <c r="I56" s="41" t="s">
        <v>40</v>
      </c>
      <c r="J56" s="20" t="s">
        <v>619</v>
      </c>
    </row>
    <row r="57">
      <c r="A57" s="9" t="s">
        <v>449</v>
      </c>
      <c r="B57" s="33" t="b">
        <f>ABS(B54-B56)&lt;=3</f>
        <v>1</v>
      </c>
      <c r="C57" s="33" t="b">
        <f>ABS(C54-C56)&lt;=3</f>
        <v>1</v>
      </c>
      <c r="D57" s="33" t="b">
        <f>ABS(D54-D56)&lt;=3</f>
        <v>1</v>
      </c>
      <c r="E57" s="33" t="b">
        <f>ABS(E54-E56)&lt;=3</f>
        <v>1</v>
      </c>
      <c r="F57" s="33" t="b">
        <f>ABS(F54-F56)&lt;=3</f>
        <v>1</v>
      </c>
      <c r="G57" s="33" t="b">
        <f>ABS(G54-G56)&lt;=3</f>
        <v>1</v>
      </c>
      <c r="H57" s="33" t="b">
        <f>ABS(H54-H56)&lt;=3</f>
        <v>1</v>
      </c>
      <c r="I57" s="53" t="s">
        <v>40</v>
      </c>
      <c r="J57" s="20"/>
    </row>
    <row r="58">
      <c r="A58" s="23" t="s">
        <v>632</v>
      </c>
      <c r="B58" s="11">
        <f>B54/'Income Statement'!B9</f>
        <v>0.18134975072774115</v>
      </c>
      <c r="C58" s="11">
        <f>C54/'Income Statement'!C9</f>
        <v>0.14851713786164353</v>
      </c>
      <c r="D58" s="11">
        <f>D54/'Income Statement'!D9</f>
        <v>0.15850375024040003</v>
      </c>
      <c r="E58" s="11">
        <f>E54/'Income Statement'!E9</f>
        <v>0.1351903435468895</v>
      </c>
      <c r="F58" s="11">
        <f>F54/'Income Statement'!F9</f>
        <v>0.1554871148187668</v>
      </c>
      <c r="G58" s="11">
        <f>G54/'Income Statement'!G9</f>
        <v>0.12401055408970976</v>
      </c>
      <c r="H58" s="11">
        <f>H54/'Income Statement'!H9</f>
        <v>0.15374081496325986</v>
      </c>
      <c r="I58" s="58">
        <f>I54/'Income Statement'!I9</f>
        <v>0.12400199067026761</v>
      </c>
      <c r="J58" s="20"/>
    </row>
    <row r="59">
      <c r="A59" s="23" t="s">
        <v>139</v>
      </c>
      <c r="B59" s="51" t="s">
        <v>40</v>
      </c>
      <c r="C59" s="51" t="s">
        <v>40</v>
      </c>
      <c r="D59" s="51" t="s">
        <v>40</v>
      </c>
      <c r="E59" s="51" t="s">
        <v>40</v>
      </c>
      <c r="F59" s="51" t="s">
        <v>40</v>
      </c>
      <c r="G59" s="51">
        <f>IFERROR((G58-B58)*10000,"n.a.")</f>
        <v>-573.3919663803139</v>
      </c>
      <c r="H59" s="51">
        <f>IFERROR((H58-C58)*10000,"n.a.")</f>
        <v>52.23677101616337</v>
      </c>
      <c r="I59" s="46">
        <f>IFERROR((I58-D58)*10000,"n.a.")</f>
        <v>-345.0175957013242</v>
      </c>
      <c r="J59" s="20"/>
    </row>
    <row r="60">
      <c r="A60" s="23" t="s">
        <v>140</v>
      </c>
      <c r="B60" s="51" t="s">
        <v>40</v>
      </c>
      <c r="C60" s="51">
        <f>IFERROR((C58-B58)*10000,"n.a.")</f>
        <v>-328.3261286609762</v>
      </c>
      <c r="D60" s="51">
        <f>IFERROR((D58-C58)*10000,"n.a.")</f>
        <v>99.86612378756504</v>
      </c>
      <c r="E60" s="51">
        <f>IFERROR((E58-D58)*10000,"n.a.")</f>
        <v>-233.13406693510535</v>
      </c>
      <c r="F60" s="51" t="s">
        <v>40</v>
      </c>
      <c r="G60" s="51">
        <f>IFERROR((G58-E58)*10000,"n.a.")</f>
        <v>-111.79789457179734</v>
      </c>
      <c r="H60" s="51">
        <f>IFERROR((H58-G58)*10000,"n.a.")</f>
        <v>297.302608735501</v>
      </c>
      <c r="I60" s="46">
        <f>IFERROR((I58-H58)*10000,"n.a.")</f>
        <v>-297.3882429299225</v>
      </c>
      <c r="J60" s="20"/>
    </row>
    <row r="61">
      <c r="A61" s="9"/>
      <c r="B61" s="9"/>
      <c r="C61" s="9"/>
      <c r="D61" s="9"/>
      <c r="E61" s="9"/>
      <c r="F61" s="9"/>
      <c r="G61" s="9"/>
      <c r="H61" s="9"/>
      <c r="I61" s="69"/>
      <c r="J61" s="20"/>
    </row>
    <row r="62">
      <c r="A62" s="35" t="s">
        <v>633</v>
      </c>
      <c r="B62" s="33"/>
      <c r="C62" s="33"/>
      <c r="D62" s="33"/>
      <c r="E62" s="33"/>
      <c r="F62" s="33"/>
      <c r="G62" s="33"/>
      <c r="H62" s="33"/>
      <c r="I62" s="53"/>
      <c r="J62" s="20"/>
    </row>
    <row r="63">
      <c r="A63" s="9" t="s">
        <v>634</v>
      </c>
      <c r="B63" s="39">
        <v>407</v>
      </c>
      <c r="C63" s="39">
        <v>507</v>
      </c>
      <c r="D63" s="39">
        <v>613</v>
      </c>
      <c r="E63" s="39">
        <v>666</v>
      </c>
      <c r="F63" s="40">
        <f>SUM(B63:E63)</f>
        <v>2193</v>
      </c>
      <c r="G63" s="39">
        <v>515</v>
      </c>
      <c r="H63" s="39">
        <v>677</v>
      </c>
      <c r="I63" s="41">
        <f>D63*(1+I64)</f>
        <v>674.3000000000001</v>
      </c>
      <c r="J63" s="20" t="s">
        <v>619</v>
      </c>
    </row>
    <row r="64">
      <c r="A64" s="23" t="s">
        <v>294</v>
      </c>
      <c r="B64" s="29" t="s">
        <v>40</v>
      </c>
      <c r="C64" s="29" t="s">
        <v>40</v>
      </c>
      <c r="D64" s="29" t="s">
        <v>40</v>
      </c>
      <c r="E64" s="29" t="s">
        <v>40</v>
      </c>
      <c r="F64" s="29" t="s">
        <v>40</v>
      </c>
      <c r="G64" s="29">
        <f>IFERROR(G63/B63-1,"n.a.")</f>
        <v>0.26535626535626533</v>
      </c>
      <c r="H64" s="29">
        <f>IFERROR(H63/C63-1,"n.a.")</f>
        <v>0.3353057199211045</v>
      </c>
      <c r="I64" s="48">
        <v>0.1</v>
      </c>
      <c r="J64" s="20" t="s">
        <v>635</v>
      </c>
    </row>
    <row r="65">
      <c r="A65" s="9" t="s">
        <v>636</v>
      </c>
      <c r="B65" s="39">
        <v>595</v>
      </c>
      <c r="C65" s="39">
        <v>642</v>
      </c>
      <c r="D65" s="39">
        <v>868</v>
      </c>
      <c r="E65" s="39">
        <v>1051</v>
      </c>
      <c r="F65" s="40">
        <f>SUM(B65:E65)</f>
        <v>3156</v>
      </c>
      <c r="G65" s="39">
        <v>683</v>
      </c>
      <c r="H65" s="39">
        <v>897</v>
      </c>
      <c r="I65" s="41">
        <f>D65*(1+I66)</f>
        <v>972.1600000000001</v>
      </c>
      <c r="J65" s="20" t="s">
        <v>619</v>
      </c>
    </row>
    <row r="66">
      <c r="A66" s="23" t="s">
        <v>294</v>
      </c>
      <c r="B66" s="29" t="s">
        <v>40</v>
      </c>
      <c r="C66" s="29" t="s">
        <v>40</v>
      </c>
      <c r="D66" s="29" t="s">
        <v>40</v>
      </c>
      <c r="E66" s="29" t="s">
        <v>40</v>
      </c>
      <c r="F66" s="29" t="s">
        <v>40</v>
      </c>
      <c r="G66" s="29">
        <f>IFERROR(G65/B65-1,"n.a.")</f>
        <v>0.14789915966386546</v>
      </c>
      <c r="H66" s="29">
        <f>IFERROR(H65/C65-1,"n.a.")</f>
        <v>0.3971962616822431</v>
      </c>
      <c r="I66" s="48">
        <v>0.12</v>
      </c>
      <c r="J66" s="20"/>
    </row>
    <row r="67">
      <c r="A67" s="9" t="s">
        <v>637</v>
      </c>
      <c r="B67" s="39">
        <v>560</v>
      </c>
      <c r="C67" s="39">
        <v>670</v>
      </c>
      <c r="D67" s="39">
        <v>704</v>
      </c>
      <c r="E67" s="39">
        <v>756</v>
      </c>
      <c r="F67" s="40">
        <f>SUM(B67:E67)</f>
        <v>2690</v>
      </c>
      <c r="G67" s="39">
        <v>547</v>
      </c>
      <c r="H67" s="39">
        <v>607</v>
      </c>
      <c r="I67" s="41">
        <f>D67*(1+I68)</f>
        <v>668.8</v>
      </c>
      <c r="J67" s="20" t="s">
        <v>619</v>
      </c>
    </row>
    <row r="68">
      <c r="A68" s="23" t="s">
        <v>294</v>
      </c>
      <c r="B68" s="29" t="s">
        <v>40</v>
      </c>
      <c r="C68" s="29" t="s">
        <v>40</v>
      </c>
      <c r="D68" s="29" t="s">
        <v>40</v>
      </c>
      <c r="E68" s="29" t="s">
        <v>40</v>
      </c>
      <c r="F68" s="29" t="s">
        <v>40</v>
      </c>
      <c r="G68" s="29">
        <f>IFERROR(G67/B67-1,"n.a.")</f>
        <v>-0.023214285714285743</v>
      </c>
      <c r="H68" s="29">
        <f>IFERROR(H67/C67-1,"n.a.")</f>
        <v>-0.09402985074626868</v>
      </c>
      <c r="I68" s="48">
        <v>-0.05</v>
      </c>
      <c r="J68" s="20"/>
    </row>
    <row r="69">
      <c r="A69" s="9" t="s">
        <v>638</v>
      </c>
      <c r="B69" s="39">
        <v>68</v>
      </c>
      <c r="C69" s="39">
        <v>95</v>
      </c>
      <c r="D69" s="39">
        <v>141</v>
      </c>
      <c r="E69" s="39">
        <v>382</v>
      </c>
      <c r="F69" s="40">
        <f>SUM(B69:E69)</f>
        <v>686</v>
      </c>
      <c r="G69" s="39">
        <v>103</v>
      </c>
      <c r="H69" s="39">
        <v>113</v>
      </c>
      <c r="I69" s="41">
        <f>D69*(1+I70)</f>
        <v>141</v>
      </c>
      <c r="J69" s="20" t="s">
        <v>619</v>
      </c>
    </row>
    <row r="70">
      <c r="A70" s="23" t="s">
        <v>294</v>
      </c>
      <c r="B70" s="29" t="s">
        <v>40</v>
      </c>
      <c r="C70" s="29" t="s">
        <v>40</v>
      </c>
      <c r="D70" s="29" t="s">
        <v>40</v>
      </c>
      <c r="E70" s="29" t="s">
        <v>40</v>
      </c>
      <c r="F70" s="29" t="s">
        <v>40</v>
      </c>
      <c r="G70" s="29">
        <f>IFERROR(G69/B69-1,"n.a.")</f>
        <v>0.5147058823529411</v>
      </c>
      <c r="H70" s="29">
        <f>IFERROR(H69/C69-1,"n.a.")</f>
        <v>0.18947368421052624</v>
      </c>
      <c r="I70" s="48">
        <v>0</v>
      </c>
      <c r="J70" s="20"/>
    </row>
    <row r="71">
      <c r="A71" s="35" t="s">
        <v>639</v>
      </c>
      <c r="B71" s="45">
        <f>B63+B65+B67+B69</f>
        <v>1630</v>
      </c>
      <c r="C71" s="45">
        <f>C63+C65+C67+C69</f>
        <v>1914</v>
      </c>
      <c r="D71" s="45">
        <f>D63+D65+D67+D69</f>
        <v>2326</v>
      </c>
      <c r="E71" s="45">
        <f>E63+E65+E67+E69</f>
        <v>2855</v>
      </c>
      <c r="F71" s="45">
        <f>SUM(B71:E71)</f>
        <v>8725</v>
      </c>
      <c r="G71" s="45">
        <f>G63+G65+G67+G69</f>
        <v>1848</v>
      </c>
      <c r="H71" s="45">
        <f>H63+H65+H67+H69</f>
        <v>2294</v>
      </c>
      <c r="I71" s="52">
        <f>I63+I65+I67+I69</f>
        <v>2456.26</v>
      </c>
      <c r="J71" s="20"/>
    </row>
    <row r="72">
      <c r="A72" s="9" t="s">
        <v>640</v>
      </c>
      <c r="B72" s="39">
        <v>1629</v>
      </c>
      <c r="C72" s="39">
        <v>1914</v>
      </c>
      <c r="D72" s="39">
        <v>2326</v>
      </c>
      <c r="E72" s="39">
        <v>2854</v>
      </c>
      <c r="F72" s="40">
        <f>SUM(B72:E72)</f>
        <v>8723</v>
      </c>
      <c r="G72" s="39">
        <v>1848</v>
      </c>
      <c r="H72" s="39">
        <v>2295</v>
      </c>
      <c r="I72" s="41" t="s">
        <v>40</v>
      </c>
      <c r="J72" s="20" t="s">
        <v>619</v>
      </c>
    </row>
    <row r="73">
      <c r="A73" s="9" t="s">
        <v>641</v>
      </c>
      <c r="B73" s="39">
        <v>602</v>
      </c>
      <c r="C73" s="39">
        <v>734</v>
      </c>
      <c r="D73" s="39">
        <v>714</v>
      </c>
      <c r="E73" s="39">
        <v>844</v>
      </c>
      <c r="F73" s="40">
        <f>SUM(B73:E73)</f>
        <v>2894</v>
      </c>
      <c r="G73" s="39">
        <v>481</v>
      </c>
      <c r="H73" s="39">
        <v>584</v>
      </c>
      <c r="I73" s="41">
        <f>D73*(1+I74)</f>
        <v>606.9</v>
      </c>
      <c r="J73" s="20" t="s">
        <v>619</v>
      </c>
    </row>
    <row r="74">
      <c r="A74" s="23" t="s">
        <v>150</v>
      </c>
      <c r="B74" s="29" t="s">
        <v>40</v>
      </c>
      <c r="C74" s="29" t="s">
        <v>40</v>
      </c>
      <c r="D74" s="29" t="s">
        <v>40</v>
      </c>
      <c r="E74" s="29" t="s">
        <v>40</v>
      </c>
      <c r="F74" s="29" t="s">
        <v>40</v>
      </c>
      <c r="G74" s="29">
        <f>IFERROR(G73/B73-1,"n.a.")</f>
        <v>-0.20099667774086383</v>
      </c>
      <c r="H74" s="29">
        <f>IFERROR(H73/C73-1,"n.a.")</f>
        <v>-0.20435967302452318</v>
      </c>
      <c r="I74" s="48">
        <v>-0.15</v>
      </c>
      <c r="J74" s="20" t="s">
        <v>642</v>
      </c>
    </row>
    <row r="75">
      <c r="A75" s="9" t="s">
        <v>643</v>
      </c>
      <c r="B75" s="40">
        <f>-B23-B72-B73</f>
        <v>21</v>
      </c>
      <c r="C75" s="40">
        <f>-C23-C72-C73</f>
        <v>30</v>
      </c>
      <c r="D75" s="40">
        <f>-D23-D72-D73</f>
        <v>31</v>
      </c>
      <c r="E75" s="40">
        <f>-E23-E72-E73</f>
        <v>51</v>
      </c>
      <c r="F75" s="40">
        <f>SUM(B75:E75)</f>
        <v>133</v>
      </c>
      <c r="G75" s="40">
        <f>-G23-G72-G73</f>
        <v>22</v>
      </c>
      <c r="H75" s="40">
        <f>-H23-H72-H73</f>
        <v>23</v>
      </c>
      <c r="I75" s="73">
        <v>30</v>
      </c>
      <c r="J75" s="20" t="s">
        <v>644</v>
      </c>
    </row>
    <row r="76">
      <c r="A76" s="35" t="s">
        <v>645</v>
      </c>
      <c r="B76" s="45">
        <f>IF(ISNUMBER(B72),B72,B71)+B73+B75</f>
        <v>2252</v>
      </c>
      <c r="C76" s="45">
        <f>IF(ISNUMBER(C72),C72,C71)+C73+C75</f>
        <v>2678</v>
      </c>
      <c r="D76" s="45">
        <f>IF(ISNUMBER(D72),D72,D71)+D73+D75</f>
        <v>3071</v>
      </c>
      <c r="E76" s="45">
        <f>IF(ISNUMBER(E72),E72,E71)+E73+E75</f>
        <v>3749</v>
      </c>
      <c r="F76" s="45">
        <f>SUM(B76:E76)</f>
        <v>11750</v>
      </c>
      <c r="G76" s="45">
        <f>IF(ISNUMBER(G72),G72,G71)+G73+G75</f>
        <v>2351</v>
      </c>
      <c r="H76" s="45">
        <f>IF(ISNUMBER(H72),H72,H71)+H73+H75</f>
        <v>2902</v>
      </c>
      <c r="I76" s="52">
        <f>IF(ISNUMBER(I72),I72,I71)+I73+I75</f>
        <v>3093.1600000000003</v>
      </c>
      <c r="J76" s="20"/>
    </row>
    <row r="77">
      <c r="A77" s="23" t="s">
        <v>217</v>
      </c>
      <c r="B77" s="29" t="s">
        <v>40</v>
      </c>
      <c r="C77" s="29" t="s">
        <v>40</v>
      </c>
      <c r="D77" s="29" t="s">
        <v>40</v>
      </c>
      <c r="E77" s="29" t="s">
        <v>40</v>
      </c>
      <c r="F77" s="29" t="s">
        <v>40</v>
      </c>
      <c r="G77" s="29">
        <f>IFERROR(G76/B76-1,"n.a.")</f>
        <v>0.043960923623445725</v>
      </c>
      <c r="H77" s="29">
        <f>IFERROR(H76/C76-1,"n.a.")</f>
        <v>0.08364451082897695</v>
      </c>
      <c r="I77" s="50">
        <f>IFERROR(I76/D76-1,"n.a.")</f>
        <v>0.007215890589384655</v>
      </c>
      <c r="J77" s="20"/>
    </row>
    <row r="78">
      <c r="A78" s="23" t="s">
        <v>646</v>
      </c>
      <c r="B78" s="11">
        <f>B76/'Income Statement'!B9</f>
        <v>0.07535048683374042</v>
      </c>
      <c r="C78" s="11">
        <f>C76/'Income Statement'!C9</f>
        <v>0.08834493451654406</v>
      </c>
      <c r="D78" s="11">
        <f>D76/'Income Statement'!D9</f>
        <v>0.09843579716648503</v>
      </c>
      <c r="E78" s="11">
        <f>E76/'Income Statement'!E9</f>
        <v>0.11603218817703498</v>
      </c>
      <c r="F78" s="11">
        <f>F76/'Income Statement'!F9</f>
        <v>0.09498173117340834</v>
      </c>
      <c r="G78" s="11">
        <f>G76/'Income Statement'!G9</f>
        <v>0.07473694249292685</v>
      </c>
      <c r="H78" s="11">
        <f>H76/'Income Statement'!H9</f>
        <v>0.09692718770875083</v>
      </c>
      <c r="I78" s="58">
        <f>I76/'Income Statement'!I9</f>
        <v>0.10536536225316291</v>
      </c>
      <c r="J78" s="20"/>
    </row>
    <row r="79">
      <c r="A79" s="23" t="s">
        <v>139</v>
      </c>
      <c r="B79" s="51" t="s">
        <v>40</v>
      </c>
      <c r="C79" s="51" t="s">
        <v>40</v>
      </c>
      <c r="D79" s="51" t="s">
        <v>40</v>
      </c>
      <c r="E79" s="51" t="s">
        <v>40</v>
      </c>
      <c r="F79" s="51" t="s">
        <v>40</v>
      </c>
      <c r="G79" s="51">
        <f>IFERROR((G78-B78)*10000,"n.a.")</f>
        <v>-6.135443408135655</v>
      </c>
      <c r="H79" s="51">
        <f>IFERROR((H78-C78)*10000,"n.a.")</f>
        <v>85.82253192206777</v>
      </c>
      <c r="I79" s="46">
        <f>IFERROR((I78-D78)*10000,"n.a.")</f>
        <v>69.29565086677886</v>
      </c>
      <c r="J79" s="20"/>
    </row>
    <row r="80">
      <c r="A80" s="23" t="s">
        <v>140</v>
      </c>
      <c r="B80" s="51" t="s">
        <v>40</v>
      </c>
      <c r="C80" s="51">
        <f>IFERROR((C78-B78)*10000,"n.a.")</f>
        <v>129.9444768280364</v>
      </c>
      <c r="D80" s="51">
        <f>IFERROR((D78-C78)*10000,"n.a.")</f>
        <v>100.90862649940968</v>
      </c>
      <c r="E80" s="51">
        <f>IFERROR((E78-D78)*10000,"n.a.")</f>
        <v>175.96391010549954</v>
      </c>
      <c r="F80" s="51" t="s">
        <v>40</v>
      </c>
      <c r="G80" s="51">
        <f>IFERROR((G78-E78)*10000,"n.a.")</f>
        <v>-412.95245684108124</v>
      </c>
      <c r="H80" s="51">
        <f>IFERROR((H78-G78)*10000,"n.a.")</f>
        <v>221.9024521582398</v>
      </c>
      <c r="I80" s="46">
        <f>IFERROR((I78-H78)*10000,"n.a.")</f>
        <v>84.38174544412078</v>
      </c>
      <c r="J80" s="20"/>
    </row>
    <row r="81">
      <c r="A81" s="9"/>
      <c r="B81" s="9"/>
      <c r="C81" s="9"/>
      <c r="D81" s="9"/>
      <c r="E81" s="9"/>
      <c r="F81" s="9"/>
      <c r="G81" s="9"/>
      <c r="H81" s="9"/>
      <c r="I81" s="69"/>
      <c r="J81" s="20"/>
    </row>
    <row r="82">
      <c r="A82" s="35" t="s">
        <v>647</v>
      </c>
      <c r="B82" s="33"/>
      <c r="C82" s="33"/>
      <c r="D82" s="33"/>
      <c r="E82" s="33"/>
      <c r="F82" s="33"/>
      <c r="G82" s="33"/>
      <c r="H82" s="33"/>
      <c r="I82" s="53"/>
      <c r="J82" s="20"/>
    </row>
    <row r="83">
      <c r="A83" s="9" t="s">
        <v>648</v>
      </c>
      <c r="B83" s="39">
        <v>3296</v>
      </c>
      <c r="C83" s="39">
        <v>14340</v>
      </c>
      <c r="D83" s="39">
        <v>17590</v>
      </c>
      <c r="E83" s="39">
        <v>19660</v>
      </c>
      <c r="F83" s="39">
        <v>19660</v>
      </c>
      <c r="G83" s="39">
        <v>2027</v>
      </c>
      <c r="H83" s="39">
        <v>5445</v>
      </c>
      <c r="I83" s="41" t="s">
        <v>40</v>
      </c>
      <c r="J83" s="20" t="s">
        <v>619</v>
      </c>
    </row>
    <row r="84">
      <c r="A84" s="9" t="s">
        <v>649</v>
      </c>
      <c r="B84" s="39">
        <v>3849</v>
      </c>
      <c r="C84" s="39">
        <v>8003</v>
      </c>
      <c r="D84" s="39">
        <v>12023</v>
      </c>
      <c r="E84" s="39">
        <v>16210</v>
      </c>
      <c r="F84" s="39">
        <v>16210</v>
      </c>
      <c r="G84" s="39">
        <v>3865</v>
      </c>
      <c r="H84" s="39">
        <v>7553</v>
      </c>
      <c r="I84" s="41" t="s">
        <v>40</v>
      </c>
      <c r="J84" s="20" t="s">
        <v>619</v>
      </c>
    </row>
    <row r="85">
      <c r="A85" s="9" t="s">
        <v>650</v>
      </c>
      <c r="B85" s="39">
        <v>382</v>
      </c>
      <c r="C85" s="39">
        <v>703</v>
      </c>
      <c r="D85" s="39">
        <v>1014</v>
      </c>
      <c r="E85" s="39">
        <v>1288</v>
      </c>
      <c r="F85" s="39">
        <v>1288</v>
      </c>
      <c r="G85" s="39">
        <v>427</v>
      </c>
      <c r="H85" s="39">
        <v>786</v>
      </c>
      <c r="I85" s="41" t="s">
        <v>40</v>
      </c>
      <c r="J85" s="20" t="s">
        <v>619</v>
      </c>
    </row>
    <row r="86">
      <c r="A86" s="9" t="s">
        <v>651</v>
      </c>
      <c r="B86" s="39">
        <v>130</v>
      </c>
      <c r="C86" s="39">
        <v>253</v>
      </c>
      <c r="D86" s="39">
        <v>359</v>
      </c>
      <c r="E86" s="39">
        <v>488</v>
      </c>
      <c r="F86" s="39">
        <v>488</v>
      </c>
      <c r="G86" s="39">
        <v>134</v>
      </c>
      <c r="H86" s="39">
        <v>253</v>
      </c>
      <c r="I86" s="41" t="s">
        <v>40</v>
      </c>
      <c r="J86" s="20" t="s">
        <v>619</v>
      </c>
    </row>
    <row r="87">
      <c r="A87" s="9" t="s">
        <v>652</v>
      </c>
      <c r="B87" s="39">
        <v>231</v>
      </c>
      <c r="C87" s="39">
        <v>-9390</v>
      </c>
      <c r="D87" s="39">
        <v>-9282</v>
      </c>
      <c r="E87" s="39">
        <v>-8853</v>
      </c>
      <c r="F87" s="39">
        <v>-8853</v>
      </c>
      <c r="G87" s="39">
        <v>263</v>
      </c>
      <c r="H87" s="39">
        <v>-84</v>
      </c>
      <c r="I87" s="41" t="s">
        <v>40</v>
      </c>
      <c r="J87" s="20" t="s">
        <v>619</v>
      </c>
    </row>
    <row r="88">
      <c r="A88" s="9" t="s">
        <v>653</v>
      </c>
      <c r="B88" s="39">
        <v>-43</v>
      </c>
      <c r="C88" s="39">
        <v>2556</v>
      </c>
      <c r="D88" s="39">
        <v>3250</v>
      </c>
      <c r="E88" s="39">
        <v>2674</v>
      </c>
      <c r="F88" s="39">
        <v>2674</v>
      </c>
      <c r="G88" s="39">
        <v>730</v>
      </c>
      <c r="H88" s="39">
        <v>1427</v>
      </c>
      <c r="I88" s="41" t="s">
        <v>40</v>
      </c>
      <c r="J88" s="20" t="s">
        <v>619</v>
      </c>
    </row>
    <row r="89">
      <c r="A89" s="9" t="s">
        <v>654</v>
      </c>
      <c r="B89" s="39">
        <v>935</v>
      </c>
      <c r="C89" s="39">
        <v>1023</v>
      </c>
      <c r="D89" s="39">
        <v>716</v>
      </c>
      <c r="E89" s="39">
        <v>-135</v>
      </c>
      <c r="F89" s="39">
        <v>-135</v>
      </c>
      <c r="G89" s="39">
        <v>-1376</v>
      </c>
      <c r="H89" s="39">
        <v>-1338</v>
      </c>
      <c r="I89" s="41" t="s">
        <v>40</v>
      </c>
      <c r="J89" s="20" t="s">
        <v>619</v>
      </c>
    </row>
    <row r="90">
      <c r="A90" s="9" t="s">
        <v>655</v>
      </c>
      <c r="B90" s="39">
        <v>-123</v>
      </c>
      <c r="C90" s="39">
        <v>188</v>
      </c>
      <c r="D90" s="39">
        <v>-168</v>
      </c>
      <c r="E90" s="39">
        <v>338</v>
      </c>
      <c r="F90" s="39">
        <v>338</v>
      </c>
      <c r="G90" s="39">
        <v>375</v>
      </c>
      <c r="H90" s="39">
        <v>873</v>
      </c>
      <c r="I90" s="41" t="s">
        <v>40</v>
      </c>
      <c r="J90" s="20" t="s">
        <v>619</v>
      </c>
    </row>
    <row r="91">
      <c r="A91" s="9" t="s">
        <v>656</v>
      </c>
      <c r="B91" s="39">
        <v>-35</v>
      </c>
      <c r="C91" s="39">
        <v>34</v>
      </c>
      <c r="D91" s="39">
        <v>-135</v>
      </c>
      <c r="E91" s="39">
        <v>-20</v>
      </c>
      <c r="F91" s="39">
        <v>-20</v>
      </c>
      <c r="G91" s="39">
        <v>1119</v>
      </c>
      <c r="H91" s="39">
        <v>958</v>
      </c>
      <c r="I91" s="41" t="s">
        <v>40</v>
      </c>
      <c r="J91" s="20" t="s">
        <v>619</v>
      </c>
    </row>
    <row r="92">
      <c r="A92" s="9" t="s">
        <v>657</v>
      </c>
      <c r="B92" s="39">
        <v>-327</v>
      </c>
      <c r="C92" s="39">
        <v>-1602</v>
      </c>
      <c r="D92" s="39">
        <v>-566</v>
      </c>
      <c r="E92" s="39">
        <v>1994</v>
      </c>
      <c r="F92" s="39">
        <v>1994</v>
      </c>
      <c r="G92" s="39">
        <v>-673</v>
      </c>
      <c r="H92" s="39">
        <v>-891</v>
      </c>
      <c r="I92" s="41" t="s">
        <v>40</v>
      </c>
      <c r="J92" s="20" t="s">
        <v>619</v>
      </c>
    </row>
    <row r="93">
      <c r="A93" s="9" t="s">
        <v>658</v>
      </c>
      <c r="B93" s="39">
        <v>-2252</v>
      </c>
      <c r="C93" s="39">
        <v>-4930</v>
      </c>
      <c r="D93" s="39">
        <v>-8001</v>
      </c>
      <c r="E93" s="39">
        <v>-11750</v>
      </c>
      <c r="F93" s="39">
        <v>-11750</v>
      </c>
      <c r="G93" s="39">
        <v>-2351</v>
      </c>
      <c r="H93" s="39">
        <v>-5253</v>
      </c>
      <c r="I93" s="41" t="s">
        <v>40</v>
      </c>
      <c r="J93" s="20" t="s">
        <v>619</v>
      </c>
    </row>
    <row r="94" ht="26.25">
      <c r="A94" s="106" t="s">
        <v>659</v>
      </c>
      <c r="B94" s="39">
        <v>-622</v>
      </c>
      <c r="C94" s="39">
        <v>-1257</v>
      </c>
      <c r="D94" s="39">
        <v>-1934</v>
      </c>
      <c r="E94" s="39">
        <v>-2658</v>
      </c>
      <c r="F94" s="39">
        <v>-2658</v>
      </c>
      <c r="G94" s="39">
        <v>-639</v>
      </c>
      <c r="H94" s="39">
        <v>-1226</v>
      </c>
      <c r="I94" s="41" t="s">
        <v>40</v>
      </c>
      <c r="J94" s="20" t="s">
        <v>619</v>
      </c>
    </row>
    <row r="95">
      <c r="A95" s="9" t="s">
        <v>660</v>
      </c>
      <c r="B95" s="39">
        <v>-2</v>
      </c>
      <c r="C95" s="39">
        <v>-3</v>
      </c>
      <c r="D95" s="39">
        <v>-3</v>
      </c>
      <c r="E95" s="39">
        <v>-11</v>
      </c>
      <c r="F95" s="39">
        <v>-11</v>
      </c>
      <c r="G95" s="39">
        <v>0</v>
      </c>
      <c r="H95" s="39">
        <v>0</v>
      </c>
      <c r="I95" s="41" t="s">
        <v>40</v>
      </c>
      <c r="J95" s="20" t="s">
        <v>619</v>
      </c>
    </row>
    <row r="96" ht="26.25">
      <c r="A96" s="106" t="s">
        <v>661</v>
      </c>
      <c r="B96" s="39">
        <v>0</v>
      </c>
      <c r="C96" s="39">
        <v>-1279</v>
      </c>
      <c r="D96" s="39">
        <v>-1279</v>
      </c>
      <c r="E96" s="39">
        <v>-1306</v>
      </c>
      <c r="F96" s="39">
        <v>-1306</v>
      </c>
      <c r="G96" s="39">
        <v>0</v>
      </c>
      <c r="H96" s="39">
        <v>0</v>
      </c>
      <c r="I96" s="41" t="s">
        <v>40</v>
      </c>
      <c r="J96" s="20" t="s">
        <v>619</v>
      </c>
    </row>
    <row r="97">
      <c r="A97" s="9" t="s">
        <v>662</v>
      </c>
      <c r="B97" s="39">
        <v>43</v>
      </c>
      <c r="C97" s="39">
        <v>659</v>
      </c>
      <c r="D97" s="39">
        <v>644</v>
      </c>
      <c r="E97" s="39">
        <v>670</v>
      </c>
      <c r="F97" s="39">
        <v>670</v>
      </c>
      <c r="G97" s="39">
        <v>32</v>
      </c>
      <c r="H97" s="39">
        <v>106</v>
      </c>
      <c r="I97" s="41" t="s">
        <v>40</v>
      </c>
      <c r="J97" s="20" t="s">
        <v>619</v>
      </c>
    </row>
    <row r="98">
      <c r="A98" s="9" t="s">
        <v>663</v>
      </c>
      <c r="B98" s="39">
        <v>-145</v>
      </c>
      <c r="C98" s="39">
        <v>-1132</v>
      </c>
      <c r="D98" s="39">
        <v>-1226</v>
      </c>
      <c r="E98" s="39">
        <v>-1302</v>
      </c>
      <c r="F98" s="39">
        <v>-1302</v>
      </c>
      <c r="G98" s="39">
        <v>-237</v>
      </c>
      <c r="H98" s="39">
        <v>-485</v>
      </c>
      <c r="I98" s="41" t="s">
        <v>40</v>
      </c>
      <c r="J98" s="20" t="s">
        <v>619</v>
      </c>
    </row>
    <row r="99">
      <c r="A99" s="9" t="s">
        <v>664</v>
      </c>
      <c r="B99" s="39">
        <v>19</v>
      </c>
      <c r="C99" s="39">
        <v>39</v>
      </c>
      <c r="D99" s="39">
        <v>80</v>
      </c>
      <c r="E99" s="39">
        <v>199</v>
      </c>
      <c r="F99" s="39">
        <v>199</v>
      </c>
      <c r="G99" s="39">
        <v>276</v>
      </c>
      <c r="H99" s="39">
        <v>367</v>
      </c>
      <c r="I99" s="41" t="s">
        <v>40</v>
      </c>
      <c r="J99" s="20" t="s">
        <v>619</v>
      </c>
    </row>
    <row r="100">
      <c r="A100" s="9" t="s">
        <v>665</v>
      </c>
      <c r="B100" s="39">
        <v>0</v>
      </c>
      <c r="C100" s="39">
        <v>2494</v>
      </c>
      <c r="D100" s="39">
        <v>2494</v>
      </c>
      <c r="E100" s="39">
        <v>3494</v>
      </c>
      <c r="F100" s="39">
        <v>3494</v>
      </c>
      <c r="G100" s="39">
        <v>1990</v>
      </c>
      <c r="H100" s="39">
        <v>1990</v>
      </c>
      <c r="I100" s="41" t="s">
        <v>40</v>
      </c>
      <c r="J100" s="20" t="s">
        <v>619</v>
      </c>
    </row>
    <row r="101" ht="26.25">
      <c r="A101" s="106" t="s">
        <v>666</v>
      </c>
      <c r="B101" s="39">
        <v>-636</v>
      </c>
      <c r="C101" s="39">
        <v>-1856</v>
      </c>
      <c r="D101" s="39">
        <v>-4366</v>
      </c>
      <c r="E101" s="39">
        <v>-5740</v>
      </c>
      <c r="F101" s="39">
        <v>-5740</v>
      </c>
      <c r="G101" s="39">
        <v>-3182</v>
      </c>
      <c r="H101" s="39">
        <v>-7344</v>
      </c>
      <c r="I101" s="41" t="s">
        <v>40</v>
      </c>
      <c r="J101" s="20" t="s">
        <v>619</v>
      </c>
    </row>
    <row r="102">
      <c r="A102" s="9" t="s">
        <v>667</v>
      </c>
      <c r="B102" s="39">
        <v>-2240</v>
      </c>
      <c r="C102" s="39">
        <v>-4066</v>
      </c>
      <c r="D102" s="39">
        <v>-5618</v>
      </c>
      <c r="E102" s="39">
        <v>-7155</v>
      </c>
      <c r="F102" s="39">
        <v>-7155</v>
      </c>
      <c r="G102" s="39">
        <v>-1502</v>
      </c>
      <c r="H102" s="39">
        <v>-2507</v>
      </c>
      <c r="I102" s="41" t="s">
        <v>40</v>
      </c>
      <c r="J102" s="20" t="s">
        <v>668</v>
      </c>
    </row>
    <row r="103">
      <c r="A103" s="9" t="s">
        <v>669</v>
      </c>
      <c r="B103" s="39">
        <v>-1224</v>
      </c>
      <c r="C103" s="39">
        <v>-2462</v>
      </c>
      <c r="D103" s="39">
        <v>-3685</v>
      </c>
      <c r="E103" s="39">
        <v>-4894</v>
      </c>
      <c r="F103" s="39">
        <v>-4894</v>
      </c>
      <c r="G103" s="39">
        <v>-1248</v>
      </c>
      <c r="H103" s="39">
        <v>-2432</v>
      </c>
      <c r="I103" s="41" t="s">
        <v>40</v>
      </c>
      <c r="J103" s="20" t="s">
        <v>619</v>
      </c>
    </row>
    <row r="104" ht="26.25">
      <c r="A104" s="106" t="s">
        <v>670</v>
      </c>
      <c r="B104" s="39">
        <v>0</v>
      </c>
      <c r="C104" s="39">
        <v>0</v>
      </c>
      <c r="D104" s="39">
        <v>0</v>
      </c>
      <c r="E104" s="39">
        <v>0</v>
      </c>
      <c r="F104" s="39">
        <v>0</v>
      </c>
      <c r="G104" s="39">
        <v>-750</v>
      </c>
      <c r="H104" s="39">
        <v>-750</v>
      </c>
      <c r="I104" s="41" t="s">
        <v>40</v>
      </c>
      <c r="J104" s="20" t="s">
        <v>619</v>
      </c>
    </row>
    <row r="105">
      <c r="A105" s="9" t="s">
        <v>671</v>
      </c>
      <c r="B105" s="39">
        <v>24</v>
      </c>
      <c r="C105" s="39">
        <v>9</v>
      </c>
      <c r="D105" s="39">
        <v>51</v>
      </c>
      <c r="E105" s="39">
        <v>-50</v>
      </c>
      <c r="F105" s="39">
        <v>-50</v>
      </c>
      <c r="G105" s="39">
        <v>-316</v>
      </c>
      <c r="H105" s="39">
        <v>-270</v>
      </c>
      <c r="I105" s="41" t="s">
        <v>40</v>
      </c>
      <c r="J105" s="20" t="s">
        <v>619</v>
      </c>
    </row>
    <row r="106" ht="26.25">
      <c r="A106" s="106" t="s">
        <v>672</v>
      </c>
      <c r="B106" s="39">
        <v>14</v>
      </c>
      <c r="C106" s="39">
        <v>46</v>
      </c>
      <c r="D106" s="39">
        <v>35</v>
      </c>
      <c r="E106" s="39">
        <v>42</v>
      </c>
      <c r="F106" s="39">
        <v>42</v>
      </c>
      <c r="G106" s="39">
        <v>-6</v>
      </c>
      <c r="H106" s="39">
        <v>-4</v>
      </c>
      <c r="I106" s="41" t="s">
        <v>40</v>
      </c>
      <c r="J106" s="20" t="s">
        <v>619</v>
      </c>
    </row>
    <row r="107">
      <c r="A107" s="9" t="s">
        <v>673</v>
      </c>
      <c r="B107" s="39">
        <v>8294</v>
      </c>
      <c r="C107" s="39">
        <v>16109</v>
      </c>
      <c r="D107" s="39">
        <v>24802</v>
      </c>
      <c r="E107" s="39">
        <v>33643</v>
      </c>
      <c r="F107" s="39">
        <v>33643</v>
      </c>
      <c r="G107" s="39">
        <v>6891</v>
      </c>
      <c r="H107" s="39">
        <v>14983</v>
      </c>
      <c r="I107" s="41" t="s">
        <v>40</v>
      </c>
      <c r="J107" s="20" t="s">
        <v>619</v>
      </c>
    </row>
    <row r="108">
      <c r="A108" s="9" t="s">
        <v>674</v>
      </c>
      <c r="B108" s="39">
        <v>-2958</v>
      </c>
      <c r="C108" s="39">
        <v>-7903</v>
      </c>
      <c r="D108" s="39">
        <v>-11720</v>
      </c>
      <c r="E108" s="39">
        <v>-16157</v>
      </c>
      <c r="F108" s="39">
        <v>-16157</v>
      </c>
      <c r="G108" s="39">
        <v>-2919</v>
      </c>
      <c r="H108" s="39">
        <v>-6491</v>
      </c>
      <c r="I108" s="41" t="s">
        <v>40</v>
      </c>
      <c r="J108" s="20" t="s">
        <v>619</v>
      </c>
    </row>
    <row r="109">
      <c r="A109" s="9" t="s">
        <v>675</v>
      </c>
      <c r="B109" s="39">
        <v>-4075</v>
      </c>
      <c r="C109" s="39">
        <v>-5881</v>
      </c>
      <c r="D109" s="39">
        <v>-11124</v>
      </c>
      <c r="E109" s="39">
        <v>-14346</v>
      </c>
      <c r="F109" s="39">
        <v>-14346</v>
      </c>
      <c r="G109" s="39">
        <v>-5008</v>
      </c>
      <c r="H109" s="39">
        <v>-11313</v>
      </c>
      <c r="I109" s="41" t="s">
        <v>40</v>
      </c>
      <c r="J109" s="20" t="s">
        <v>619</v>
      </c>
    </row>
    <row r="110" ht="26.25">
      <c r="A110" s="106" t="s">
        <v>676</v>
      </c>
      <c r="B110" s="39">
        <v>1275</v>
      </c>
      <c r="C110" s="39">
        <v>2371</v>
      </c>
      <c r="D110" s="39">
        <v>1994</v>
      </c>
      <c r="E110" s="39">
        <v>3182</v>
      </c>
      <c r="F110" s="39">
        <v>3182</v>
      </c>
      <c r="G110" s="39">
        <v>-1042</v>
      </c>
      <c r="H110" s="39">
        <v>-2824</v>
      </c>
      <c r="I110" s="41" t="s">
        <v>40</v>
      </c>
      <c r="J110" s="20" t="s">
        <v>677</v>
      </c>
    </row>
    <row r="111">
      <c r="A111" s="9"/>
      <c r="B111" s="9"/>
      <c r="C111" s="9"/>
      <c r="D111" s="9"/>
      <c r="E111" s="9"/>
      <c r="F111" s="9"/>
      <c r="G111" s="9"/>
      <c r="H111" s="9"/>
      <c r="I111" s="9"/>
      <c r="J111" s="20"/>
    </row>
    <row r="112">
      <c r="A112" s="9"/>
      <c r="B112" s="9"/>
      <c r="C112" s="9"/>
      <c r="D112" s="9"/>
      <c r="E112" s="9"/>
      <c r="F112" s="9"/>
      <c r="G112" s="9"/>
      <c r="H112" s="9"/>
      <c r="I112" s="9"/>
      <c r="J112" s="20"/>
    </row>
    <row r="113">
      <c r="A113" s="9"/>
      <c r="B113" s="9"/>
      <c r="C113" s="9"/>
      <c r="D113" s="9"/>
      <c r="E113" s="9"/>
      <c r="F113" s="9"/>
      <c r="G113" s="9"/>
      <c r="H113" s="9"/>
      <c r="I113" s="9"/>
      <c r="J113" s="20"/>
    </row>
    <row r="114">
      <c r="A114" s="9"/>
      <c r="B114" s="9"/>
      <c r="C114" s="9"/>
      <c r="D114" s="9"/>
      <c r="E114" s="9"/>
      <c r="F114" s="9"/>
      <c r="G114" s="9"/>
      <c r="H114" s="9"/>
      <c r="I114" s="9"/>
      <c r="J114" s="9"/>
    </row>
    <row r="115">
      <c r="A115" s="9"/>
      <c r="B115" s="9"/>
      <c r="C115" s="9"/>
      <c r="D115" s="9"/>
      <c r="E115" s="9"/>
      <c r="F115" s="9"/>
      <c r="G115" s="9"/>
      <c r="H115" s="9"/>
      <c r="I115" s="9"/>
      <c r="J115" s="9"/>
    </row>
    <row r="116">
      <c r="A116" s="9"/>
      <c r="B116" s="9"/>
      <c r="C116" s="9"/>
      <c r="D116" s="9"/>
      <c r="E116" s="9"/>
      <c r="F116" s="9"/>
      <c r="G116" s="9"/>
      <c r="H116" s="9"/>
      <c r="I116" s="9"/>
      <c r="J116" s="9"/>
    </row>
    <row r="117">
      <c r="A117" s="9"/>
      <c r="B117" s="9"/>
      <c r="C117" s="9"/>
      <c r="D117" s="9"/>
      <c r="E117" s="9"/>
      <c r="F117" s="9"/>
      <c r="G117" s="9"/>
      <c r="H117" s="9"/>
      <c r="I117" s="9"/>
      <c r="J117" s="9"/>
    </row>
    <row r="118">
      <c r="A118" s="9"/>
      <c r="B118" s="9"/>
      <c r="C118" s="9"/>
      <c r="D118" s="9"/>
      <c r="E118" s="9"/>
      <c r="F118" s="9"/>
      <c r="G118" s="9"/>
      <c r="H118" s="9"/>
      <c r="I118" s="9"/>
      <c r="J118" s="9"/>
    </row>
    <row r="119">
      <c r="A119" s="9"/>
      <c r="B119" s="9"/>
      <c r="C119" s="9"/>
      <c r="D119" s="9"/>
      <c r="E119" s="9"/>
      <c r="F119" s="9"/>
      <c r="G119" s="9"/>
      <c r="H119" s="9"/>
      <c r="I119" s="9"/>
      <c r="J119" s="9"/>
    </row>
    <row r="120">
      <c r="A120" s="9"/>
      <c r="B120" s="9"/>
      <c r="C120" s="9"/>
      <c r="D120" s="9"/>
      <c r="E120" s="9"/>
      <c r="F120" s="9"/>
      <c r="G120" s="9"/>
      <c r="H120" s="9"/>
      <c r="I120" s="9"/>
      <c r="J120" s="9"/>
    </row>
    <row r="121">
      <c r="A121" s="9"/>
      <c r="B121" s="9"/>
      <c r="C121" s="9"/>
      <c r="D121" s="9"/>
      <c r="E121" s="9"/>
      <c r="F121" s="9"/>
      <c r="G121" s="9"/>
      <c r="H121" s="9"/>
      <c r="I121" s="9"/>
      <c r="J121" s="9"/>
    </row>
    <row r="122">
      <c r="A122" s="9"/>
      <c r="B122" s="9"/>
      <c r="C122" s="9"/>
      <c r="D122" s="9"/>
      <c r="E122" s="9"/>
      <c r="F122" s="9"/>
      <c r="G122" s="9"/>
      <c r="H122" s="9"/>
      <c r="I122" s="9"/>
      <c r="J122" s="9"/>
    </row>
    <row r="123">
      <c r="A123" s="9"/>
      <c r="B123" s="9"/>
      <c r="C123" s="9"/>
      <c r="D123" s="9"/>
      <c r="E123" s="9"/>
      <c r="F123" s="9"/>
      <c r="G123" s="9"/>
      <c r="H123" s="9"/>
      <c r="I123" s="9"/>
      <c r="J123" s="9"/>
    </row>
  </sheetData>
</worksheet>
</file>

<file path=xl/worksheets/sheet11.xml><?xml version="1.0" encoding="utf-8"?>
<worksheet xmlns="http://schemas.openxmlformats.org/spreadsheetml/2006/main" xmlns:r="http://schemas.openxmlformats.org/officeDocument/2006/relationships">
  <dimension ref="A1:J100"/>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678</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679</v>
      </c>
      <c r="B8" s="33"/>
      <c r="C8" s="33"/>
      <c r="D8" s="33"/>
      <c r="E8" s="33"/>
      <c r="F8" s="33"/>
      <c r="G8" s="33"/>
      <c r="H8" s="33"/>
      <c r="I8" s="53"/>
      <c r="J8" s="20"/>
    </row>
    <row r="9">
      <c r="A9" s="9" t="s">
        <v>680</v>
      </c>
      <c r="B9" s="40" t="s">
        <v>40</v>
      </c>
      <c r="C9" s="40" t="s">
        <v>40</v>
      </c>
      <c r="D9" s="40" t="s">
        <v>40</v>
      </c>
      <c r="E9" s="40" t="s">
        <v>40</v>
      </c>
      <c r="F9" s="39">
        <v>95143</v>
      </c>
      <c r="G9" s="40" t="s">
        <v>40</v>
      </c>
      <c r="H9" s="40" t="s">
        <v>40</v>
      </c>
      <c r="I9" s="41" t="s">
        <v>40</v>
      </c>
      <c r="J9" s="20"/>
    </row>
    <row r="10">
      <c r="A10" s="9" t="s">
        <v>681</v>
      </c>
      <c r="B10" s="40" t="s">
        <v>40</v>
      </c>
      <c r="C10" s="40" t="s">
        <v>40</v>
      </c>
      <c r="D10" s="40" t="s">
        <v>40</v>
      </c>
      <c r="E10" s="40" t="s">
        <v>40</v>
      </c>
      <c r="F10" s="39">
        <v>15182</v>
      </c>
      <c r="G10" s="40" t="s">
        <v>40</v>
      </c>
      <c r="H10" s="40" t="s">
        <v>40</v>
      </c>
      <c r="I10" s="41" t="s">
        <v>40</v>
      </c>
      <c r="J10" s="20"/>
    </row>
    <row r="11">
      <c r="A11" s="9" t="s">
        <v>682</v>
      </c>
      <c r="B11" s="40" t="s">
        <v>40</v>
      </c>
      <c r="C11" s="40" t="s">
        <v>40</v>
      </c>
      <c r="D11" s="40" t="s">
        <v>40</v>
      </c>
      <c r="E11" s="40" t="s">
        <v>40</v>
      </c>
      <c r="F11" s="39">
        <v>13382</v>
      </c>
      <c r="G11" s="40" t="s">
        <v>40</v>
      </c>
      <c r="H11" s="40" t="s">
        <v>40</v>
      </c>
      <c r="I11" s="41" t="s">
        <v>40</v>
      </c>
      <c r="J11" s="20"/>
    </row>
    <row r="12">
      <c r="A12" s="35" t="s">
        <v>683</v>
      </c>
      <c r="B12" s="45" t="s">
        <v>40</v>
      </c>
      <c r="C12" s="45" t="s">
        <v>40</v>
      </c>
      <c r="D12" s="45" t="s">
        <v>40</v>
      </c>
      <c r="E12" s="45" t="s">
        <v>40</v>
      </c>
      <c r="F12" s="45">
        <f>F9+F10+F11</f>
        <v>123707</v>
      </c>
      <c r="G12" s="45" t="s">
        <v>40</v>
      </c>
      <c r="H12" s="45" t="s">
        <v>40</v>
      </c>
      <c r="I12" s="52" t="s">
        <v>40</v>
      </c>
      <c r="J12" s="20"/>
    </row>
    <row r="13">
      <c r="A13" s="23" t="s">
        <v>684</v>
      </c>
      <c r="B13" s="29" t="s">
        <v>40</v>
      </c>
      <c r="C13" s="29" t="s">
        <v>40</v>
      </c>
      <c r="D13" s="29" t="s">
        <v>40</v>
      </c>
      <c r="E13" s="29" t="s">
        <v>40</v>
      </c>
      <c r="F13" s="29">
        <f>F9/F12</f>
        <v>0.7690995659097707</v>
      </c>
      <c r="G13" s="29" t="s">
        <v>40</v>
      </c>
      <c r="H13" s="29" t="s">
        <v>40</v>
      </c>
      <c r="I13" s="50" t="s">
        <v>40</v>
      </c>
      <c r="J13" s="20"/>
    </row>
    <row r="14">
      <c r="A14" s="23" t="s">
        <v>685</v>
      </c>
      <c r="B14" s="29" t="s">
        <v>40</v>
      </c>
      <c r="C14" s="29" t="s">
        <v>40</v>
      </c>
      <c r="D14" s="29" t="s">
        <v>40</v>
      </c>
      <c r="E14" s="29" t="s">
        <v>40</v>
      </c>
      <c r="F14" s="29">
        <f>F10/F12</f>
        <v>0.12272547228531934</v>
      </c>
      <c r="G14" s="29" t="s">
        <v>40</v>
      </c>
      <c r="H14" s="29" t="s">
        <v>40</v>
      </c>
      <c r="I14" s="50" t="s">
        <v>40</v>
      </c>
      <c r="J14" s="20"/>
    </row>
    <row r="15" ht="26.25">
      <c r="A15" s="116" t="s">
        <v>686</v>
      </c>
      <c r="B15" s="29" t="s">
        <v>40</v>
      </c>
      <c r="C15" s="29" t="s">
        <v>40</v>
      </c>
      <c r="D15" s="29" t="s">
        <v>40</v>
      </c>
      <c r="E15" s="29" t="s">
        <v>40</v>
      </c>
      <c r="F15" s="29">
        <f>F11/F12</f>
        <v>0.10817496180490999</v>
      </c>
      <c r="G15" s="29" t="s">
        <v>40</v>
      </c>
      <c r="H15" s="29" t="s">
        <v>40</v>
      </c>
      <c r="I15" s="50" t="s">
        <v>40</v>
      </c>
      <c r="J15" s="20"/>
    </row>
    <row r="16">
      <c r="A16" s="9" t="s">
        <v>687</v>
      </c>
      <c r="B16" s="33" t="s">
        <v>40</v>
      </c>
      <c r="C16" s="33" t="s">
        <v>40</v>
      </c>
      <c r="D16" s="33" t="s">
        <v>40</v>
      </c>
      <c r="E16" s="33" t="s">
        <v>40</v>
      </c>
      <c r="F16" s="57" t="b">
        <f>ABS(F12-'Income Statement'!F9)&lt;=1</f>
        <v>1</v>
      </c>
      <c r="G16" s="33" t="s">
        <v>40</v>
      </c>
      <c r="H16" s="33" t="s">
        <v>40</v>
      </c>
      <c r="I16" s="53" t="s">
        <v>40</v>
      </c>
      <c r="J16" s="20" t="s">
        <v>688</v>
      </c>
    </row>
    <row r="17">
      <c r="A17" s="9"/>
      <c r="B17" s="9"/>
      <c r="C17" s="9"/>
      <c r="D17" s="9"/>
      <c r="E17" s="9"/>
      <c r="F17" s="9"/>
      <c r="G17" s="9"/>
      <c r="H17" s="9"/>
      <c r="I17" s="69"/>
      <c r="J17" s="20"/>
    </row>
    <row r="18">
      <c r="A18" s="35" t="s">
        <v>689</v>
      </c>
      <c r="B18" s="33"/>
      <c r="C18" s="33"/>
      <c r="D18" s="33"/>
      <c r="E18" s="33"/>
      <c r="F18" s="33"/>
      <c r="G18" s="33"/>
      <c r="H18" s="33"/>
      <c r="I18" s="53"/>
      <c r="J18" s="20"/>
    </row>
    <row r="19">
      <c r="A19" s="9" t="s">
        <v>690</v>
      </c>
      <c r="B19" s="27">
        <f>'Segment - Residential C&amp;P'!B108+'Segment - Residential C&amp;P'!B109</f>
        <v>7802</v>
      </c>
      <c r="C19" s="27">
        <f>'Segment - Residential C&amp;P'!C108+'Segment - Residential C&amp;P'!C109</f>
        <v>7844</v>
      </c>
      <c r="D19" s="27">
        <f>'Segment - Residential C&amp;P'!D108+'Segment - Residential C&amp;P'!D109</f>
        <v>7796</v>
      </c>
      <c r="E19" s="27">
        <f>'Segment - Residential C&amp;P'!E108+'Segment - Residential C&amp;P'!E109</f>
        <v>7813</v>
      </c>
      <c r="F19" s="40">
        <f>SUM(B19:E19)</f>
        <v>31255</v>
      </c>
      <c r="G19" s="27">
        <f>'Segment - Residential C&amp;P'!G108+'Segment - Residential C&amp;P'!G109</f>
        <v>7733</v>
      </c>
      <c r="H19" s="27">
        <f>'Segment - Residential C&amp;P'!H108+'Segment - Residential C&amp;P'!H109</f>
        <v>7691</v>
      </c>
      <c r="I19" s="31">
        <f>'Segment - Residential C&amp;P'!I108+'Segment - Residential C&amp;P'!I109</f>
        <v>7666.890108217964</v>
      </c>
      <c r="J19" s="20"/>
    </row>
    <row r="20" ht="26.25">
      <c r="A20" s="106" t="s">
        <v>691</v>
      </c>
      <c r="B20" s="27">
        <f>'Segment - Media'!B79+'Segment - Media'!B87</f>
        <v>3135</v>
      </c>
      <c r="C20" s="27">
        <f>'Segment - Media'!C79+'Segment - Media'!C87</f>
        <v>3027</v>
      </c>
      <c r="D20" s="27">
        <f>'Segment - Media'!D79+'Segment - Media'!D87</f>
        <v>3246</v>
      </c>
      <c r="E20" s="27">
        <f>'Segment - Media'!E79+'Segment - Media'!E87</f>
        <v>4170</v>
      </c>
      <c r="F20" s="40">
        <f>SUM(B20:E20)</f>
        <v>13578</v>
      </c>
      <c r="G20" s="27">
        <f>'Segment - Media'!G79+'Segment - Media'!G87</f>
        <v>5736</v>
      </c>
      <c r="H20" s="27">
        <f>'Segment - Media'!H79+'Segment - Media'!H87</f>
        <v>4156</v>
      </c>
      <c r="I20" s="31">
        <f>'Segment - Media'!I79+'Segment - Media'!I87</f>
        <v>3919.99</v>
      </c>
      <c r="J20" s="20"/>
    </row>
    <row r="21">
      <c r="A21" s="9" t="s">
        <v>692</v>
      </c>
      <c r="B21" s="27">
        <f>'Revenue summary'!B24</f>
        <v>1769</v>
      </c>
      <c r="C21" s="27">
        <f>'Revenue summary'!C24</f>
        <v>1770</v>
      </c>
      <c r="D21" s="27">
        <f>'Revenue summary'!D24</f>
        <v>1731</v>
      </c>
      <c r="E21" s="27">
        <f>'Revenue summary'!E24</f>
        <v>1660</v>
      </c>
      <c r="F21" s="40">
        <f>SUM(B21:E21)</f>
        <v>6930</v>
      </c>
      <c r="G21" s="27">
        <f>'Revenue summary'!G24</f>
        <v>0</v>
      </c>
      <c r="H21" s="27">
        <f>'Revenue summary'!H24</f>
        <v>0</v>
      </c>
      <c r="I21" s="31">
        <f>'Revenue summary'!I24</f>
        <v>0</v>
      </c>
      <c r="J21" s="20"/>
    </row>
    <row r="22">
      <c r="A22" s="35" t="s">
        <v>693</v>
      </c>
      <c r="B22" s="45">
        <f>B19+B20+B21</f>
        <v>12706</v>
      </c>
      <c r="C22" s="45">
        <f>C19+C20+C21</f>
        <v>12641</v>
      </c>
      <c r="D22" s="45">
        <f>D19+D20+D21</f>
        <v>12773</v>
      </c>
      <c r="E22" s="45">
        <f>E19+E20+E21</f>
        <v>13643</v>
      </c>
      <c r="F22" s="45">
        <f>SUM(B22:E22)</f>
        <v>51763</v>
      </c>
      <c r="G22" s="45">
        <f>G19+G20+G21</f>
        <v>13469</v>
      </c>
      <c r="H22" s="45">
        <f>H19+H20+H21</f>
        <v>11847</v>
      </c>
      <c r="I22" s="52">
        <f>I19+I20+I21</f>
        <v>11586.880108217963</v>
      </c>
      <c r="J22" s="20"/>
    </row>
    <row r="23" ht="26.25">
      <c r="A23" s="106" t="s">
        <v>694</v>
      </c>
      <c r="B23" s="27">
        <f>'Segment - Residential C&amp;P'!B111</f>
        <v>1132</v>
      </c>
      <c r="C23" s="27">
        <f>'Segment - Residential C&amp;P'!C111</f>
        <v>1219</v>
      </c>
      <c r="D23" s="27">
        <f>'Segment - Residential C&amp;P'!D111</f>
        <v>1275</v>
      </c>
      <c r="E23" s="27">
        <f>'Segment - Residential C&amp;P'!E111</f>
        <v>1337</v>
      </c>
      <c r="F23" s="40">
        <f>SUM(B23:E23)</f>
        <v>4963</v>
      </c>
      <c r="G23" s="27">
        <f>'Segment - Residential C&amp;P'!G111</f>
        <v>1240</v>
      </c>
      <c r="H23" s="27">
        <f>'Segment - Residential C&amp;P'!H111</f>
        <v>1246</v>
      </c>
      <c r="I23" s="31">
        <f>'Segment - Residential C&amp;P'!I111</f>
        <v>1287.6543749999998</v>
      </c>
      <c r="J23" s="20"/>
    </row>
    <row r="24">
      <c r="A24" s="9" t="s">
        <v>695</v>
      </c>
      <c r="B24" s="27">
        <f>'Segment - Media'!B94</f>
        <v>1148</v>
      </c>
      <c r="C24" s="27">
        <f>'Segment - Media'!C94</f>
        <v>1254</v>
      </c>
      <c r="D24" s="27">
        <f>'Segment - Media'!D94</f>
        <v>1239</v>
      </c>
      <c r="E24" s="27">
        <f>'Segment - Media'!E94</f>
        <v>1283</v>
      </c>
      <c r="F24" s="40">
        <f>SUM(B24:E24)</f>
        <v>4924</v>
      </c>
      <c r="G24" s="27">
        <f>'Segment - Media'!G94</f>
        <v>1291</v>
      </c>
      <c r="H24" s="27">
        <f>'Segment - Media'!H94</f>
        <v>1330</v>
      </c>
      <c r="I24" s="31">
        <f>'Segment - Media'!I94</f>
        <v>1269.78915</v>
      </c>
      <c r="J24" s="20"/>
    </row>
    <row r="25" ht="26.25">
      <c r="A25" s="106" t="s">
        <v>696</v>
      </c>
      <c r="B25" s="27">
        <f>'Revenue summary'!B25</f>
        <v>517</v>
      </c>
      <c r="C25" s="27">
        <f>'Revenue summary'!C25</f>
        <v>554</v>
      </c>
      <c r="D25" s="27">
        <f>'Revenue summary'!D25</f>
        <v>568</v>
      </c>
      <c r="E25" s="27">
        <f>'Revenue summary'!E25</f>
        <v>603</v>
      </c>
      <c r="F25" s="40">
        <f>SUM(B25:E25)</f>
        <v>2242</v>
      </c>
      <c r="G25" s="27">
        <f>'Revenue summary'!G25</f>
        <v>582</v>
      </c>
      <c r="H25" s="27">
        <f>'Revenue summary'!H25</f>
        <v>384</v>
      </c>
      <c r="I25" s="31">
        <f>'Revenue summary'!I25</f>
        <v>0</v>
      </c>
      <c r="J25" s="20" t="s">
        <v>697</v>
      </c>
    </row>
    <row r="26">
      <c r="A26" s="35" t="s">
        <v>698</v>
      </c>
      <c r="B26" s="45">
        <f>B23+B24+B25</f>
        <v>2797</v>
      </c>
      <c r="C26" s="45">
        <f>C23+C24+C25</f>
        <v>3027</v>
      </c>
      <c r="D26" s="45">
        <f>D23+D24+D25</f>
        <v>3082</v>
      </c>
      <c r="E26" s="45">
        <f>E23+E24+E25</f>
        <v>3223</v>
      </c>
      <c r="F26" s="45">
        <f>SUM(B26:E26)</f>
        <v>12129</v>
      </c>
      <c r="G26" s="45">
        <f>G23+G24+G25</f>
        <v>3113</v>
      </c>
      <c r="H26" s="45">
        <f>H23+H24+H25</f>
        <v>2960</v>
      </c>
      <c r="I26" s="52">
        <f>I23+I24+I25</f>
        <v>2557.4435249999997</v>
      </c>
      <c r="J26" s="20"/>
    </row>
    <row r="27">
      <c r="A27" s="9" t="s">
        <v>699</v>
      </c>
      <c r="B27" s="27">
        <f>'Income Statement'!B9-B22-B26</f>
        <v>14384</v>
      </c>
      <c r="C27" s="27">
        <f>'Income Statement'!C9-C22-C26</f>
        <v>14645</v>
      </c>
      <c r="D27" s="27">
        <f>'Income Statement'!D9-D22-D26</f>
        <v>15343</v>
      </c>
      <c r="E27" s="27">
        <f>'Income Statement'!E9-E22-E26</f>
        <v>15444</v>
      </c>
      <c r="F27" s="40">
        <f>SUM(B27:E27)</f>
        <v>59816</v>
      </c>
      <c r="G27" s="27">
        <f>'Income Statement'!G9-G22-G26</f>
        <v>14875</v>
      </c>
      <c r="H27" s="27">
        <f>'Income Statement'!H9-H22-H26</f>
        <v>15133</v>
      </c>
      <c r="I27" s="31">
        <f>'Income Statement'!I9-I22-I26</f>
        <v>15212.192909362882</v>
      </c>
      <c r="J27" s="20" t="s">
        <v>700</v>
      </c>
    </row>
    <row r="28">
      <c r="A28" s="35" t="s">
        <v>701</v>
      </c>
      <c r="B28" s="45">
        <f>B22+B26+B27</f>
        <v>29887</v>
      </c>
      <c r="C28" s="45">
        <f>C22+C26+C27</f>
        <v>30313</v>
      </c>
      <c r="D28" s="45">
        <f>D22+D26+D27</f>
        <v>31198</v>
      </c>
      <c r="E28" s="45">
        <f>E22+E26+E27</f>
        <v>32310</v>
      </c>
      <c r="F28" s="45">
        <f>SUM(B28:E28)</f>
        <v>123708</v>
      </c>
      <c r="G28" s="45">
        <f>G22+G26+G27</f>
        <v>31457</v>
      </c>
      <c r="H28" s="45">
        <f>H22+H26+H27</f>
        <v>29940</v>
      </c>
      <c r="I28" s="52">
        <f>I22+I26+I27</f>
        <v>29356.516542580845</v>
      </c>
      <c r="J28" s="20"/>
    </row>
    <row r="29">
      <c r="A29" s="9" t="s">
        <v>702</v>
      </c>
      <c r="B29" s="57" t="b">
        <f>ABS(B28-'Income Statement'!B9)&lt;0.01</f>
        <v>1</v>
      </c>
      <c r="C29" s="57" t="b">
        <f>ABS(C28-'Income Statement'!C9)&lt;0.01</f>
        <v>1</v>
      </c>
      <c r="D29" s="57" t="b">
        <f>ABS(D28-'Income Statement'!D9)&lt;0.01</f>
        <v>1</v>
      </c>
      <c r="E29" s="57" t="b">
        <f>ABS(E28-'Income Statement'!E9)&lt;0.01</f>
        <v>1</v>
      </c>
      <c r="F29" s="57" t="b">
        <f>ABS(F28-'Income Statement'!F9)&lt;0.01</f>
        <v>1</v>
      </c>
      <c r="G29" s="57" t="b">
        <f>ABS(G28-'Income Statement'!G9)&lt;0.01</f>
        <v>1</v>
      </c>
      <c r="H29" s="57" t="b">
        <f>ABS(H28-'Income Statement'!H9)&lt;0.01</f>
        <v>1</v>
      </c>
      <c r="I29" s="79" t="b">
        <f>ABS(I28-'Income Statement'!I9)&lt;0.01</f>
        <v>1</v>
      </c>
      <c r="J29" s="20" t="s">
        <v>703</v>
      </c>
    </row>
    <row r="30">
      <c r="A30" s="23" t="s">
        <v>704</v>
      </c>
      <c r="B30" s="29">
        <f>B22/B28</f>
        <v>0.4251346739385017</v>
      </c>
      <c r="C30" s="29">
        <f>C22/C28</f>
        <v>0.4170158018012074</v>
      </c>
      <c r="D30" s="29">
        <f>D22/D28</f>
        <v>0.40941727033784214</v>
      </c>
      <c r="E30" s="29">
        <f>E22/E28</f>
        <v>0.42225317239244814</v>
      </c>
      <c r="F30" s="29">
        <f>F22/F28</f>
        <v>0.418428880913118</v>
      </c>
      <c r="G30" s="29">
        <f>G22/G28</f>
        <v>0.4281717900626252</v>
      </c>
      <c r="H30" s="29">
        <f>H22/H28</f>
        <v>0.39569138276553106</v>
      </c>
      <c r="I30" s="50">
        <f>I22/I28</f>
        <v>0.39469533421690217</v>
      </c>
      <c r="J30" s="20"/>
    </row>
    <row r="31">
      <c r="A31" s="23" t="s">
        <v>705</v>
      </c>
      <c r="B31" s="29" t="s">
        <v>40</v>
      </c>
      <c r="C31" s="29" t="s">
        <v>40</v>
      </c>
      <c r="D31" s="29" t="s">
        <v>40</v>
      </c>
      <c r="E31" s="29" t="s">
        <v>40</v>
      </c>
      <c r="F31" s="29" t="s">
        <v>40</v>
      </c>
      <c r="G31" s="29">
        <f>IFERROR(G22/B22-1,"n.a.")</f>
        <v>0.06005036990398227</v>
      </c>
      <c r="H31" s="29">
        <f>IFERROR(H22/C22-1,"n.a.")</f>
        <v>-0.06281148643303536</v>
      </c>
      <c r="I31" s="50">
        <f>IFERROR(I22/D22-1,"n.a.")</f>
        <v>-0.09286149626415385</v>
      </c>
      <c r="J31" s="20"/>
    </row>
    <row r="32" ht="26.25">
      <c r="A32" s="116" t="s">
        <v>706</v>
      </c>
      <c r="B32" s="29">
        <f>B26/B28</f>
        <v>0.09358583999732326</v>
      </c>
      <c r="C32" s="29">
        <f>C26/C28</f>
        <v>0.09985814666974566</v>
      </c>
      <c r="D32" s="29">
        <f>D26/D28</f>
        <v>0.09878838387076094</v>
      </c>
      <c r="E32" s="29">
        <f>E26/E28</f>
        <v>0.0997523986381925</v>
      </c>
      <c r="F32" s="29">
        <f>F26/F28</f>
        <v>0.0980453972257251</v>
      </c>
      <c r="G32" s="29">
        <f>G26/G28</f>
        <v>0.09896048574244207</v>
      </c>
      <c r="H32" s="29">
        <f>H26/H28</f>
        <v>0.09886439545758183</v>
      </c>
      <c r="I32" s="50">
        <f>I26/I28</f>
        <v>0.08711672317423956</v>
      </c>
      <c r="J32" s="20"/>
    </row>
    <row r="33">
      <c r="A33" s="23" t="s">
        <v>707</v>
      </c>
      <c r="B33" s="29" t="s">
        <v>40</v>
      </c>
      <c r="C33" s="29" t="s">
        <v>40</v>
      </c>
      <c r="D33" s="29" t="s">
        <v>40</v>
      </c>
      <c r="E33" s="29" t="s">
        <v>40</v>
      </c>
      <c r="F33" s="29" t="s">
        <v>40</v>
      </c>
      <c r="G33" s="29">
        <f>IFERROR(G26/B26-1,"n.a.")</f>
        <v>0.11297819091884165</v>
      </c>
      <c r="H33" s="29">
        <f>IFERROR(H26/C26-1,"n.a.")</f>
        <v>-0.02213412619755528</v>
      </c>
      <c r="I33" s="50">
        <f>IFERROR(I26/D26-1,"n.a.")</f>
        <v>-0.1702000243348476</v>
      </c>
      <c r="J33" s="20"/>
    </row>
    <row r="34">
      <c r="A34" s="23" t="s">
        <v>708</v>
      </c>
      <c r="B34" s="29">
        <f>B27/B28</f>
        <v>0.48127948606417503</v>
      </c>
      <c r="C34" s="29">
        <f>C27/C28</f>
        <v>0.4831260515290469</v>
      </c>
      <c r="D34" s="29">
        <f>D27/D28</f>
        <v>0.49179434579139686</v>
      </c>
      <c r="E34" s="29">
        <f>E27/E28</f>
        <v>0.47799442896935934</v>
      </c>
      <c r="F34" s="29">
        <f>F27/F28</f>
        <v>0.48352572186115694</v>
      </c>
      <c r="G34" s="29">
        <f>G27/G28</f>
        <v>0.4728677241949328</v>
      </c>
      <c r="H34" s="29">
        <f>H27/H28</f>
        <v>0.5054442217768871</v>
      </c>
      <c r="I34" s="50">
        <f>I27/I28</f>
        <v>0.5181879426088584</v>
      </c>
      <c r="J34" s="20"/>
    </row>
    <row r="35">
      <c r="A35" s="23" t="s">
        <v>709</v>
      </c>
      <c r="B35" s="29" t="s">
        <v>40</v>
      </c>
      <c r="C35" s="29" t="s">
        <v>40</v>
      </c>
      <c r="D35" s="29" t="s">
        <v>40</v>
      </c>
      <c r="E35" s="29" t="s">
        <v>40</v>
      </c>
      <c r="F35" s="29" t="s">
        <v>40</v>
      </c>
      <c r="G35" s="29">
        <f>IFERROR(G27/B27-1,"n.a.")</f>
        <v>0.03413515016685209</v>
      </c>
      <c r="H35" s="29">
        <f>IFERROR(H27/C27-1,"n.a.")</f>
        <v>0.03332195288494377</v>
      </c>
      <c r="I35" s="50">
        <f>IFERROR(I27/D27-1,"n.a.")</f>
        <v>-0.008525522429584709</v>
      </c>
      <c r="J35" s="20"/>
    </row>
    <row r="36">
      <c r="A36" s="9"/>
      <c r="B36" s="9"/>
      <c r="C36" s="9"/>
      <c r="D36" s="9"/>
      <c r="E36" s="9"/>
      <c r="F36" s="9"/>
      <c r="G36" s="9"/>
      <c r="H36" s="9"/>
      <c r="I36" s="69"/>
      <c r="J36" s="20"/>
    </row>
    <row r="37">
      <c r="A37" s="35" t="s">
        <v>710</v>
      </c>
      <c r="B37" s="33"/>
      <c r="C37" s="33"/>
      <c r="D37" s="33"/>
      <c r="E37" s="33"/>
      <c r="F37" s="33"/>
      <c r="G37" s="33"/>
      <c r="H37" s="33"/>
      <c r="I37" s="53"/>
      <c r="J37" s="20"/>
    </row>
    <row r="38">
      <c r="A38" s="9" t="s">
        <v>711</v>
      </c>
      <c r="B38" s="40">
        <f>B19</f>
        <v>7802</v>
      </c>
      <c r="C38" s="40">
        <f>C19</f>
        <v>7844</v>
      </c>
      <c r="D38" s="40">
        <f>D19</f>
        <v>7796</v>
      </c>
      <c r="E38" s="40">
        <f>E19</f>
        <v>7813</v>
      </c>
      <c r="F38" s="40">
        <f>SUM(B38:E38)</f>
        <v>31255</v>
      </c>
      <c r="G38" s="40">
        <f>G19</f>
        <v>7733</v>
      </c>
      <c r="H38" s="40">
        <f>H19</f>
        <v>7691</v>
      </c>
      <c r="I38" s="41">
        <f>I19</f>
        <v>7666.890108217964</v>
      </c>
      <c r="J38" s="20"/>
    </row>
    <row r="39">
      <c r="A39" s="23" t="s">
        <v>98</v>
      </c>
      <c r="B39" s="29" t="s">
        <v>40</v>
      </c>
      <c r="C39" s="29" t="s">
        <v>40</v>
      </c>
      <c r="D39" s="29" t="s">
        <v>40</v>
      </c>
      <c r="E39" s="29" t="s">
        <v>40</v>
      </c>
      <c r="F39" s="29" t="s">
        <v>40</v>
      </c>
      <c r="G39" s="29">
        <f>IFERROR(G38/B38-1,"n.a.")</f>
        <v>-0.008843886183030003</v>
      </c>
      <c r="H39" s="29">
        <f>IFERROR(H38/C38-1,"n.a.")</f>
        <v>-0.019505354411014753</v>
      </c>
      <c r="I39" s="50">
        <f>IFERROR(I38/D38-1,"n.a.")</f>
        <v>-0.01656104307106676</v>
      </c>
      <c r="J39" s="20"/>
    </row>
    <row r="40">
      <c r="A40" s="23" t="s">
        <v>99</v>
      </c>
      <c r="B40" s="29" t="s">
        <v>40</v>
      </c>
      <c r="C40" s="29" t="s">
        <v>40</v>
      </c>
      <c r="D40" s="29" t="s">
        <v>40</v>
      </c>
      <c r="E40" s="29" t="s">
        <v>40</v>
      </c>
      <c r="F40" s="29" t="s">
        <v>40</v>
      </c>
      <c r="G40" s="65">
        <v>0</v>
      </c>
      <c r="H40" s="65">
        <v>0</v>
      </c>
      <c r="I40" s="48">
        <v>0</v>
      </c>
      <c r="J40" s="20" t="s">
        <v>712</v>
      </c>
    </row>
    <row r="41">
      <c r="A41" s="23" t="s">
        <v>106</v>
      </c>
      <c r="B41" s="29" t="s">
        <v>40</v>
      </c>
      <c r="C41" s="29" t="s">
        <v>40</v>
      </c>
      <c r="D41" s="29" t="s">
        <v>40</v>
      </c>
      <c r="E41" s="29" t="s">
        <v>40</v>
      </c>
      <c r="F41" s="29" t="s">
        <v>40</v>
      </c>
      <c r="G41" s="65">
        <v>0</v>
      </c>
      <c r="H41" s="65">
        <v>0</v>
      </c>
      <c r="I41" s="48">
        <v>0</v>
      </c>
      <c r="J41" s="20" t="s">
        <v>712</v>
      </c>
    </row>
    <row r="42">
      <c r="A42" s="23" t="s">
        <v>103</v>
      </c>
      <c r="B42" s="29" t="s">
        <v>40</v>
      </c>
      <c r="C42" s="29" t="s">
        <v>40</v>
      </c>
      <c r="D42" s="29" t="s">
        <v>40</v>
      </c>
      <c r="E42" s="29" t="s">
        <v>40</v>
      </c>
      <c r="F42" s="29" t="s">
        <v>40</v>
      </c>
      <c r="G42" s="29">
        <f>IFERROR(IF(OR(ISTEXT(G39),ISTEXT(G40),ISTEXT(G41)),"n.a.",(1+G39)/((1+G40)*(1+G41))-1),"n.a.")</f>
        <v>-0.008843886183030003</v>
      </c>
      <c r="H42" s="29">
        <f>IFERROR(IF(OR(ISTEXT(H39),ISTEXT(H40),ISTEXT(H41)),"n.a.",(1+H39)/((1+H40)*(1+H41))-1),"n.a.")</f>
        <v>-0.019505354411014753</v>
      </c>
      <c r="I42" s="50">
        <f>IFERROR(IF(OR(ISTEXT(I39),ISTEXT(I40),ISTEXT(I41)),"n.a.",(1+I39)/((1+I40)*(1+I41))-1),"n.a.")</f>
        <v>-0.01656104307106676</v>
      </c>
      <c r="J42" s="20"/>
    </row>
    <row r="43">
      <c r="A43" s="9" t="s">
        <v>713</v>
      </c>
      <c r="B43" s="40">
        <f>B20</f>
        <v>3135</v>
      </c>
      <c r="C43" s="40">
        <f>C20</f>
        <v>3027</v>
      </c>
      <c r="D43" s="40">
        <f>D20</f>
        <v>3246</v>
      </c>
      <c r="E43" s="40">
        <f>E20</f>
        <v>4170</v>
      </c>
      <c r="F43" s="40">
        <f>SUM(B43:E43)</f>
        <v>13578</v>
      </c>
      <c r="G43" s="40">
        <f>G20</f>
        <v>5736</v>
      </c>
      <c r="H43" s="40">
        <f>H20</f>
        <v>4156</v>
      </c>
      <c r="I43" s="41">
        <f>I20</f>
        <v>3919.99</v>
      </c>
      <c r="J43" s="20"/>
    </row>
    <row r="44">
      <c r="A44" s="23" t="s">
        <v>98</v>
      </c>
      <c r="B44" s="29" t="s">
        <v>40</v>
      </c>
      <c r="C44" s="29" t="s">
        <v>40</v>
      </c>
      <c r="D44" s="29" t="s">
        <v>40</v>
      </c>
      <c r="E44" s="29" t="s">
        <v>40</v>
      </c>
      <c r="F44" s="29" t="s">
        <v>40</v>
      </c>
      <c r="G44" s="29">
        <f>IFERROR(G43/B43-1,"n.a.")</f>
        <v>0.8296650717703349</v>
      </c>
      <c r="H44" s="29">
        <f>IFERROR(H43/C43-1,"n.a.")</f>
        <v>0.37297654443343253</v>
      </c>
      <c r="I44" s="50">
        <f>IFERROR(I43/D43-1,"n.a.")</f>
        <v>0.20763709180529877</v>
      </c>
      <c r="J44" s="20"/>
    </row>
    <row r="45">
      <c r="A45" s="23" t="s">
        <v>99</v>
      </c>
      <c r="B45" s="29" t="s">
        <v>40</v>
      </c>
      <c r="C45" s="29" t="s">
        <v>40</v>
      </c>
      <c r="D45" s="29" t="s">
        <v>40</v>
      </c>
      <c r="E45" s="29" t="s">
        <v>40</v>
      </c>
      <c r="F45" s="29" t="s">
        <v>40</v>
      </c>
      <c r="G45" s="65">
        <v>0</v>
      </c>
      <c r="H45" s="65">
        <v>0</v>
      </c>
      <c r="I45" s="48">
        <v>0</v>
      </c>
      <c r="J45" s="20" t="s">
        <v>712</v>
      </c>
    </row>
    <row r="46">
      <c r="A46" s="23" t="s">
        <v>106</v>
      </c>
      <c r="B46" s="29" t="s">
        <v>40</v>
      </c>
      <c r="C46" s="29" t="s">
        <v>40</v>
      </c>
      <c r="D46" s="29" t="s">
        <v>40</v>
      </c>
      <c r="E46" s="29" t="s">
        <v>40</v>
      </c>
      <c r="F46" s="29" t="s">
        <v>40</v>
      </c>
      <c r="G46" s="65">
        <v>0</v>
      </c>
      <c r="H46" s="65">
        <v>0</v>
      </c>
      <c r="I46" s="48">
        <v>0</v>
      </c>
      <c r="J46" s="20" t="s">
        <v>712</v>
      </c>
    </row>
    <row r="47">
      <c r="A47" s="23" t="s">
        <v>103</v>
      </c>
      <c r="B47" s="29" t="s">
        <v>40</v>
      </c>
      <c r="C47" s="29" t="s">
        <v>40</v>
      </c>
      <c r="D47" s="29" t="s">
        <v>40</v>
      </c>
      <c r="E47" s="29" t="s">
        <v>40</v>
      </c>
      <c r="F47" s="29" t="s">
        <v>40</v>
      </c>
      <c r="G47" s="29">
        <f>IFERROR(IF(OR(ISTEXT(G44),ISTEXT(G45),ISTEXT(G46)),"n.a.",(1+G44)/((1+G45)*(1+G46))-1),"n.a.")</f>
        <v>0.8296650717703349</v>
      </c>
      <c r="H47" s="29">
        <f>IFERROR(IF(OR(ISTEXT(H44),ISTEXT(H45),ISTEXT(H46)),"n.a.",(1+H44)/((1+H45)*(1+H46))-1),"n.a.")</f>
        <v>0.37297654443343253</v>
      </c>
      <c r="I47" s="50">
        <f>IFERROR(IF(OR(ISTEXT(I44),ISTEXT(I45),ISTEXT(I46)),"n.a.",(1+I44)/((1+I45)*(1+I46))-1),"n.a.")</f>
        <v>0.20763709180529877</v>
      </c>
      <c r="J47" s="20"/>
    </row>
    <row r="48">
      <c r="A48" s="9" t="s">
        <v>714</v>
      </c>
      <c r="B48" s="40">
        <f>B21</f>
        <v>1769</v>
      </c>
      <c r="C48" s="40">
        <f>C21</f>
        <v>1770</v>
      </c>
      <c r="D48" s="40">
        <f>D21</f>
        <v>1731</v>
      </c>
      <c r="E48" s="40">
        <f>E21</f>
        <v>1660</v>
      </c>
      <c r="F48" s="40">
        <f>SUM(B48:E48)</f>
        <v>6930</v>
      </c>
      <c r="G48" s="40">
        <f>G21</f>
        <v>0</v>
      </c>
      <c r="H48" s="40">
        <f>H21</f>
        <v>0</v>
      </c>
      <c r="I48" s="41">
        <f>I21</f>
        <v>0</v>
      </c>
      <c r="J48" s="20"/>
    </row>
    <row r="49">
      <c r="A49" s="23" t="s">
        <v>98</v>
      </c>
      <c r="B49" s="29" t="s">
        <v>40</v>
      </c>
      <c r="C49" s="29" t="s">
        <v>40</v>
      </c>
      <c r="D49" s="29" t="s">
        <v>40</v>
      </c>
      <c r="E49" s="29" t="s">
        <v>40</v>
      </c>
      <c r="F49" s="29" t="s">
        <v>40</v>
      </c>
      <c r="G49" s="29">
        <f>IFERROR(G48/B48-1,"n.a.")</f>
        <v>-1</v>
      </c>
      <c r="H49" s="29">
        <f>IFERROR(H48/C48-1,"n.a.")</f>
        <v>-1</v>
      </c>
      <c r="I49" s="50">
        <f>IFERROR(I48/D48-1,"n.a.")</f>
        <v>-1</v>
      </c>
      <c r="J49" s="20"/>
    </row>
    <row r="50">
      <c r="A50" s="23" t="s">
        <v>99</v>
      </c>
      <c r="B50" s="29" t="s">
        <v>40</v>
      </c>
      <c r="C50" s="29" t="s">
        <v>40</v>
      </c>
      <c r="D50" s="29" t="s">
        <v>40</v>
      </c>
      <c r="E50" s="29" t="s">
        <v>40</v>
      </c>
      <c r="F50" s="29" t="s">
        <v>40</v>
      </c>
      <c r="G50" s="29">
        <f>IFERROR(G21/B21-1,"n.a.")</f>
        <v>-1</v>
      </c>
      <c r="H50" s="29">
        <f>IFERROR(H21/C21-1,"n.a.")</f>
        <v>-1</v>
      </c>
      <c r="I50" s="50">
        <f>IFERROR(I21/D21-1,"n.a.")</f>
        <v>-1</v>
      </c>
      <c r="J50" s="20"/>
    </row>
    <row r="51">
      <c r="A51" s="23" t="s">
        <v>106</v>
      </c>
      <c r="B51" s="29" t="s">
        <v>40</v>
      </c>
      <c r="C51" s="29" t="s">
        <v>40</v>
      </c>
      <c r="D51" s="29" t="s">
        <v>40</v>
      </c>
      <c r="E51" s="29" t="s">
        <v>40</v>
      </c>
      <c r="F51" s="29" t="s">
        <v>40</v>
      </c>
      <c r="G51" s="65">
        <v>0</v>
      </c>
      <c r="H51" s="65">
        <v>0</v>
      </c>
      <c r="I51" s="48">
        <v>0</v>
      </c>
      <c r="J51" s="20" t="s">
        <v>712</v>
      </c>
    </row>
    <row r="52">
      <c r="A52" s="23" t="s">
        <v>103</v>
      </c>
      <c r="B52" s="29" t="s">
        <v>40</v>
      </c>
      <c r="C52" s="29" t="s">
        <v>40</v>
      </c>
      <c r="D52" s="29" t="s">
        <v>40</v>
      </c>
      <c r="E52" s="29" t="s">
        <v>40</v>
      </c>
      <c r="F52" s="29" t="s">
        <v>40</v>
      </c>
      <c r="G52" s="29" t="str">
        <f>IFERROR(IF(OR(ISTEXT(G49),ISTEXT(G50),ISTEXT(G51)),"n.a.",(1+G49)/((1+G50)*(1+G51))-1),"n.a.")</f>
        <v>n.a.</v>
      </c>
      <c r="H52" s="29" t="str">
        <f>IFERROR(IF(OR(ISTEXT(H49),ISTEXT(H50),ISTEXT(H51)),"n.a.",(1+H49)/((1+H50)*(1+H51))-1),"n.a.")</f>
        <v>n.a.</v>
      </c>
      <c r="I52" s="50" t="str">
        <f>IFERROR(IF(OR(ISTEXT(I49),ISTEXT(I50),ISTEXT(I51)),"n.a.",(1+I49)/((1+I50)*(1+I51))-1),"n.a.")</f>
        <v>n.a.</v>
      </c>
      <c r="J52" s="20"/>
    </row>
    <row r="53">
      <c r="A53" s="9" t="s">
        <v>715</v>
      </c>
      <c r="B53" s="40">
        <f>B22</f>
        <v>12706</v>
      </c>
      <c r="C53" s="40">
        <f>C22</f>
        <v>12641</v>
      </c>
      <c r="D53" s="40">
        <f>D22</f>
        <v>12773</v>
      </c>
      <c r="E53" s="40">
        <f>E22</f>
        <v>13643</v>
      </c>
      <c r="F53" s="40">
        <f>SUM(B53:E53)</f>
        <v>51763</v>
      </c>
      <c r="G53" s="40">
        <f>G22</f>
        <v>13469</v>
      </c>
      <c r="H53" s="40">
        <f>H22</f>
        <v>11847</v>
      </c>
      <c r="I53" s="41">
        <f>I22</f>
        <v>11586.880108217963</v>
      </c>
      <c r="J53" s="20"/>
    </row>
    <row r="54">
      <c r="A54" s="23" t="s">
        <v>98</v>
      </c>
      <c r="B54" s="29" t="s">
        <v>40</v>
      </c>
      <c r="C54" s="29" t="s">
        <v>40</v>
      </c>
      <c r="D54" s="29" t="s">
        <v>40</v>
      </c>
      <c r="E54" s="29" t="s">
        <v>40</v>
      </c>
      <c r="F54" s="29" t="s">
        <v>40</v>
      </c>
      <c r="G54" s="29">
        <f>IFERROR(G53/B53-1,"n.a.")</f>
        <v>0.06005036990398227</v>
      </c>
      <c r="H54" s="29">
        <f>IFERROR(H53/C53-1,"n.a.")</f>
        <v>-0.06281148643303536</v>
      </c>
      <c r="I54" s="50">
        <f>IFERROR(I53/D53-1,"n.a.")</f>
        <v>-0.09286149626415385</v>
      </c>
      <c r="J54" s="20"/>
    </row>
    <row r="55">
      <c r="A55" s="23" t="s">
        <v>99</v>
      </c>
      <c r="B55" s="29" t="s">
        <v>40</v>
      </c>
      <c r="C55" s="29" t="s">
        <v>40</v>
      </c>
      <c r="D55" s="29" t="s">
        <v>40</v>
      </c>
      <c r="E55" s="29" t="s">
        <v>40</v>
      </c>
      <c r="F55" s="29" t="s">
        <v>40</v>
      </c>
      <c r="G55" s="29">
        <f>IFERROR((G21-B21)/B22,"n.a.")</f>
        <v>-0.13922556272627104</v>
      </c>
      <c r="H55" s="29">
        <f>IFERROR((H21-C21)/C22,"n.a.")</f>
        <v>-0.14002056799303852</v>
      </c>
      <c r="I55" s="50">
        <f>IFERROR((I21-D21)/D22,"n.a.")</f>
        <v>-0.13552023800203555</v>
      </c>
      <c r="J55" s="20"/>
    </row>
    <row r="56">
      <c r="A56" s="23" t="s">
        <v>106</v>
      </c>
      <c r="B56" s="29" t="s">
        <v>40</v>
      </c>
      <c r="C56" s="29" t="s">
        <v>40</v>
      </c>
      <c r="D56" s="29" t="s">
        <v>40</v>
      </c>
      <c r="E56" s="29" t="s">
        <v>40</v>
      </c>
      <c r="F56" s="29" t="s">
        <v>40</v>
      </c>
      <c r="G56" s="65">
        <v>0</v>
      </c>
      <c r="H56" s="65">
        <v>0</v>
      </c>
      <c r="I56" s="48">
        <v>0</v>
      </c>
      <c r="J56" s="20" t="s">
        <v>712</v>
      </c>
    </row>
    <row r="57">
      <c r="A57" s="23" t="s">
        <v>103</v>
      </c>
      <c r="B57" s="29" t="s">
        <v>40</v>
      </c>
      <c r="C57" s="29" t="s">
        <v>40</v>
      </c>
      <c r="D57" s="29" t="s">
        <v>40</v>
      </c>
      <c r="E57" s="29" t="s">
        <v>40</v>
      </c>
      <c r="F57" s="29" t="s">
        <v>40</v>
      </c>
      <c r="G57" s="29">
        <f>IFERROR(IF(OR(ISTEXT(G54),ISTEXT(G55),ISTEXT(G56)),"n.a.",(1+G54)/((1+G55)*(1+G56))-1),"n.a.")</f>
        <v>0.23150772606747738</v>
      </c>
      <c r="H57" s="29">
        <f>IFERROR(IF(OR(ISTEXT(H54),ISTEXT(H55),ISTEXT(H56)),"n.a.",(1+H54)/((1+H55)*(1+H56))-1),"n.a.")</f>
        <v>0.08978014902032938</v>
      </c>
      <c r="I57" s="50">
        <f>IFERROR(IF(OR(ISTEXT(I54),ISTEXT(I55),ISTEXT(I56)),"n.a.",(1+I54)/((1+I55)*(1+I56))-1),"n.a.")</f>
        <v>0.04934614274750615</v>
      </c>
      <c r="J57" s="20"/>
    </row>
    <row r="58">
      <c r="A58" s="9" t="s">
        <v>191</v>
      </c>
      <c r="B58" s="40">
        <f>B23</f>
        <v>1132</v>
      </c>
      <c r="C58" s="40">
        <f>C23</f>
        <v>1219</v>
      </c>
      <c r="D58" s="40">
        <f>D23</f>
        <v>1275</v>
      </c>
      <c r="E58" s="40">
        <f>E23</f>
        <v>1337</v>
      </c>
      <c r="F58" s="40">
        <f>SUM(B58:E58)</f>
        <v>4963</v>
      </c>
      <c r="G58" s="40">
        <f>G23</f>
        <v>1240</v>
      </c>
      <c r="H58" s="40">
        <f>H23</f>
        <v>1246</v>
      </c>
      <c r="I58" s="41">
        <f>I23</f>
        <v>1287.6543749999998</v>
      </c>
      <c r="J58" s="20"/>
    </row>
    <row r="59">
      <c r="A59" s="23" t="s">
        <v>98</v>
      </c>
      <c r="B59" s="29" t="s">
        <v>40</v>
      </c>
      <c r="C59" s="29" t="s">
        <v>40</v>
      </c>
      <c r="D59" s="29" t="s">
        <v>40</v>
      </c>
      <c r="E59" s="29" t="s">
        <v>40</v>
      </c>
      <c r="F59" s="29" t="s">
        <v>40</v>
      </c>
      <c r="G59" s="29">
        <f>IFERROR(G58/B58-1,"n.a.")</f>
        <v>0.09540636042402828</v>
      </c>
      <c r="H59" s="29">
        <f>IFERROR(H58/C58-1,"n.a.")</f>
        <v>0.02214930270713711</v>
      </c>
      <c r="I59" s="50">
        <f>IFERROR(I58/D58-1,"n.a.")</f>
        <v>0.009924999999999962</v>
      </c>
      <c r="J59" s="20"/>
    </row>
    <row r="60">
      <c r="A60" s="23" t="s">
        <v>99</v>
      </c>
      <c r="B60" s="29" t="s">
        <v>40</v>
      </c>
      <c r="C60" s="29" t="s">
        <v>40</v>
      </c>
      <c r="D60" s="29" t="s">
        <v>40</v>
      </c>
      <c r="E60" s="29" t="s">
        <v>40</v>
      </c>
      <c r="F60" s="29" t="s">
        <v>40</v>
      </c>
      <c r="G60" s="65">
        <v>0</v>
      </c>
      <c r="H60" s="65">
        <v>0</v>
      </c>
      <c r="I60" s="48">
        <v>0</v>
      </c>
      <c r="J60" s="20" t="s">
        <v>712</v>
      </c>
    </row>
    <row r="61">
      <c r="A61" s="23" t="s">
        <v>106</v>
      </c>
      <c r="B61" s="29" t="s">
        <v>40</v>
      </c>
      <c r="C61" s="29" t="s">
        <v>40</v>
      </c>
      <c r="D61" s="29" t="s">
        <v>40</v>
      </c>
      <c r="E61" s="29" t="s">
        <v>40</v>
      </c>
      <c r="F61" s="29" t="s">
        <v>40</v>
      </c>
      <c r="G61" s="11">
        <f>'Segment - Residential C&amp;P'!G157</f>
        <v>0.07392780433728263</v>
      </c>
      <c r="H61" s="11">
        <f>'Segment - Residential C&amp;P'!H157</f>
        <v>0.00903188816104361</v>
      </c>
      <c r="I61" s="58">
        <f>'Segment - Residential C&amp;P'!I157</f>
        <v>-0.005</v>
      </c>
      <c r="J61" s="20"/>
    </row>
    <row r="62">
      <c r="A62" s="23" t="s">
        <v>103</v>
      </c>
      <c r="B62" s="29" t="s">
        <v>40</v>
      </c>
      <c r="C62" s="29" t="s">
        <v>40</v>
      </c>
      <c r="D62" s="29" t="s">
        <v>40</v>
      </c>
      <c r="E62" s="29" t="s">
        <v>40</v>
      </c>
      <c r="F62" s="29" t="s">
        <v>40</v>
      </c>
      <c r="G62" s="29">
        <f>IFERROR(IF(OR(ISTEXT(G59),ISTEXT(G60),ISTEXT(G61)),"n.a.",(1+G59)/((1+G60)*(1+G61))-1),"n.a.")</f>
        <v>0.020000000000000018</v>
      </c>
      <c r="H62" s="29">
        <f>IFERROR(IF(OR(ISTEXT(H59),ISTEXT(H60),ISTEXT(H61)),"n.a.",(1+H59)/((1+H60)*(1+H61))-1),"n.a.")</f>
        <v>0.0129999999999999</v>
      </c>
      <c r="I62" s="50">
        <f>IFERROR(IF(OR(ISTEXT(I59),ISTEXT(I60),ISTEXT(I61)),"n.a.",(1+I59)/((1+I60)*(1+I61))-1),"n.a.")</f>
        <v>0.014999999999999902</v>
      </c>
      <c r="J62" s="20"/>
    </row>
    <row r="63">
      <c r="A63" s="9" t="s">
        <v>297</v>
      </c>
      <c r="B63" s="40">
        <f>B24</f>
        <v>1148</v>
      </c>
      <c r="C63" s="40">
        <f>C24</f>
        <v>1254</v>
      </c>
      <c r="D63" s="40">
        <f>D24</f>
        <v>1239</v>
      </c>
      <c r="E63" s="40">
        <f>E24</f>
        <v>1283</v>
      </c>
      <c r="F63" s="40">
        <f>SUM(B63:E63)</f>
        <v>4924</v>
      </c>
      <c r="G63" s="40">
        <f>G24</f>
        <v>1291</v>
      </c>
      <c r="H63" s="40">
        <f>H24</f>
        <v>1330</v>
      </c>
      <c r="I63" s="41">
        <f>I24</f>
        <v>1269.78915</v>
      </c>
      <c r="J63" s="20"/>
    </row>
    <row r="64">
      <c r="A64" s="23" t="s">
        <v>98</v>
      </c>
      <c r="B64" s="29" t="s">
        <v>40</v>
      </c>
      <c r="C64" s="29" t="s">
        <v>40</v>
      </c>
      <c r="D64" s="29" t="s">
        <v>40</v>
      </c>
      <c r="E64" s="29" t="s">
        <v>40</v>
      </c>
      <c r="F64" s="29" t="s">
        <v>40</v>
      </c>
      <c r="G64" s="29">
        <f>IFERROR(G63/B63-1,"n.a.")</f>
        <v>0.12456445993031351</v>
      </c>
      <c r="H64" s="29">
        <f>IFERROR(H63/C63-1,"n.a.")</f>
        <v>0.06060606060606055</v>
      </c>
      <c r="I64" s="50">
        <f>IFERROR(I63/D63-1,"n.a.")</f>
        <v>0.02485000000000004</v>
      </c>
      <c r="J64" s="20"/>
    </row>
    <row r="65">
      <c r="A65" s="23" t="s">
        <v>99</v>
      </c>
      <c r="B65" s="29" t="s">
        <v>40</v>
      </c>
      <c r="C65" s="29" t="s">
        <v>40</v>
      </c>
      <c r="D65" s="29" t="s">
        <v>40</v>
      </c>
      <c r="E65" s="29" t="s">
        <v>40</v>
      </c>
      <c r="F65" s="29" t="s">
        <v>40</v>
      </c>
      <c r="G65" s="65">
        <v>0</v>
      </c>
      <c r="H65" s="65">
        <v>0</v>
      </c>
      <c r="I65" s="48">
        <v>0</v>
      </c>
      <c r="J65" s="20" t="s">
        <v>712</v>
      </c>
    </row>
    <row r="66">
      <c r="A66" s="23" t="s">
        <v>106</v>
      </c>
      <c r="B66" s="29" t="s">
        <v>40</v>
      </c>
      <c r="C66" s="29" t="s">
        <v>40</v>
      </c>
      <c r="D66" s="29" t="s">
        <v>40</v>
      </c>
      <c r="E66" s="29" t="s">
        <v>40</v>
      </c>
      <c r="F66" s="29" t="s">
        <v>40</v>
      </c>
      <c r="G66" s="11" t="str">
        <f>'Segment - Media'!G142</f>
        <v>n.a.</v>
      </c>
      <c r="H66" s="11" t="str">
        <f>'Segment - Media'!H142</f>
        <v>n.a.</v>
      </c>
      <c r="I66" s="58">
        <f>'Segment - Media'!I142</f>
        <v>-0.005</v>
      </c>
      <c r="J66" s="20"/>
    </row>
    <row r="67">
      <c r="A67" s="23" t="s">
        <v>103</v>
      </c>
      <c r="B67" s="29" t="s">
        <v>40</v>
      </c>
      <c r="C67" s="29" t="s">
        <v>40</v>
      </c>
      <c r="D67" s="29" t="s">
        <v>40</v>
      </c>
      <c r="E67" s="29" t="s">
        <v>40</v>
      </c>
      <c r="F67" s="29" t="s">
        <v>40</v>
      </c>
      <c r="G67" s="29" t="str">
        <f>IFERROR(IF(OR(ISTEXT(G64),ISTEXT(G65),ISTEXT(G66)),"n.a.",(1+G64)/((1+G65)*(1+G66))-1),"n.a.")</f>
        <v>n.a.</v>
      </c>
      <c r="H67" s="29" t="str">
        <f>IFERROR(IF(OR(ISTEXT(H64),ISTEXT(H65),ISTEXT(H66)),"n.a.",(1+H64)/((1+H65)*(1+H66))-1),"n.a.")</f>
        <v>n.a.</v>
      </c>
      <c r="I67" s="50">
        <f>IFERROR(IF(OR(ISTEXT(I64),ISTEXT(I65),ISTEXT(I66)),"n.a.",(1+I64)/((1+I65)*(1+I66))-1),"n.a.")</f>
        <v>0.030000000000000027</v>
      </c>
      <c r="J67" s="20"/>
    </row>
    <row r="68">
      <c r="A68" s="9" t="s">
        <v>86</v>
      </c>
      <c r="B68" s="40">
        <f>B25</f>
        <v>517</v>
      </c>
      <c r="C68" s="40">
        <f>C25</f>
        <v>554</v>
      </c>
      <c r="D68" s="40">
        <f>D25</f>
        <v>568</v>
      </c>
      <c r="E68" s="40">
        <f>E25</f>
        <v>603</v>
      </c>
      <c r="F68" s="40">
        <f>SUM(B68:E68)</f>
        <v>2242</v>
      </c>
      <c r="G68" s="40">
        <f>G25</f>
        <v>582</v>
      </c>
      <c r="H68" s="40">
        <f>H25</f>
        <v>384</v>
      </c>
      <c r="I68" s="41">
        <f>I25</f>
        <v>0</v>
      </c>
      <c r="J68" s="20"/>
    </row>
    <row r="69">
      <c r="A69" s="23" t="s">
        <v>98</v>
      </c>
      <c r="B69" s="29" t="s">
        <v>40</v>
      </c>
      <c r="C69" s="29" t="s">
        <v>40</v>
      </c>
      <c r="D69" s="29" t="s">
        <v>40</v>
      </c>
      <c r="E69" s="29" t="s">
        <v>40</v>
      </c>
      <c r="F69" s="29" t="s">
        <v>40</v>
      </c>
      <c r="G69" s="29">
        <f>IFERROR(G68/B68-1,"n.a.")</f>
        <v>0.12572533849129597</v>
      </c>
      <c r="H69" s="29">
        <f>IFERROR(H68/C68-1,"n.a.")</f>
        <v>-0.3068592057761733</v>
      </c>
      <c r="I69" s="50">
        <f>IFERROR(I68/D68-1,"n.a.")</f>
        <v>-1</v>
      </c>
      <c r="J69" s="20"/>
    </row>
    <row r="70">
      <c r="A70" s="23" t="s">
        <v>99</v>
      </c>
      <c r="B70" s="29" t="s">
        <v>40</v>
      </c>
      <c r="C70" s="29" t="s">
        <v>40</v>
      </c>
      <c r="D70" s="29" t="s">
        <v>40</v>
      </c>
      <c r="E70" s="29" t="s">
        <v>40</v>
      </c>
      <c r="F70" s="29" t="s">
        <v>40</v>
      </c>
      <c r="G70" s="104">
        <v>0</v>
      </c>
      <c r="H70" s="29" t="s">
        <v>40</v>
      </c>
      <c r="I70" s="50">
        <f>IFERROR(I25/D25-1,"n.a.")</f>
        <v>-1</v>
      </c>
      <c r="J70" s="20" t="s">
        <v>716</v>
      </c>
    </row>
    <row r="71">
      <c r="A71" s="23" t="s">
        <v>106</v>
      </c>
      <c r="B71" s="29" t="s">
        <v>40</v>
      </c>
      <c r="C71" s="29" t="s">
        <v>40</v>
      </c>
      <c r="D71" s="29" t="s">
        <v>40</v>
      </c>
      <c r="E71" s="29" t="s">
        <v>40</v>
      </c>
      <c r="F71" s="29" t="s">
        <v>40</v>
      </c>
      <c r="G71" s="29" t="s">
        <v>40</v>
      </c>
      <c r="H71" s="29" t="s">
        <v>40</v>
      </c>
      <c r="I71" s="50" t="s">
        <v>40</v>
      </c>
      <c r="J71" s="20"/>
    </row>
    <row r="72">
      <c r="A72" s="23" t="s">
        <v>103</v>
      </c>
      <c r="B72" s="29" t="s">
        <v>40</v>
      </c>
      <c r="C72" s="29" t="s">
        <v>40</v>
      </c>
      <c r="D72" s="29" t="s">
        <v>40</v>
      </c>
      <c r="E72" s="29" t="s">
        <v>40</v>
      </c>
      <c r="F72" s="29" t="s">
        <v>40</v>
      </c>
      <c r="G72" s="29" t="str">
        <f>IFERROR(IF(OR(ISTEXT(G69),ISTEXT(G70),ISTEXT(G71)),"n.a.",(1+G69)/((1+G70)*(1+G71))-1),"n.a.")</f>
        <v>n.a.</v>
      </c>
      <c r="H72" s="29" t="str">
        <f>IFERROR(IF(OR(ISTEXT(H69),ISTEXT(H70),ISTEXT(H71)),"n.a.",(1+H69)/((1+H70)*(1+H71))-1),"n.a.")</f>
        <v>n.a.</v>
      </c>
      <c r="I72" s="50" t="str">
        <f>IFERROR(IF(OR(ISTEXT(I69),ISTEXT(I70),ISTEXT(I71)),"n.a.",(1+I69)/((1+I70)*(1+I71))-1),"n.a.")</f>
        <v>n.a.</v>
      </c>
      <c r="J72" s="20"/>
    </row>
    <row r="73">
      <c r="A73" s="9" t="s">
        <v>717</v>
      </c>
      <c r="B73" s="40">
        <f>B26</f>
        <v>2797</v>
      </c>
      <c r="C73" s="40">
        <f>C26</f>
        <v>3027</v>
      </c>
      <c r="D73" s="40">
        <f>D26</f>
        <v>3082</v>
      </c>
      <c r="E73" s="40">
        <f>E26</f>
        <v>3223</v>
      </c>
      <c r="F73" s="40">
        <f>SUM(B73:E73)</f>
        <v>12129</v>
      </c>
      <c r="G73" s="40">
        <f>G26</f>
        <v>3113</v>
      </c>
      <c r="H73" s="40">
        <f>H26</f>
        <v>2960</v>
      </c>
      <c r="I73" s="41">
        <f>I26</f>
        <v>2557.4435249999997</v>
      </c>
      <c r="J73" s="20"/>
    </row>
    <row r="74">
      <c r="A74" s="23" t="s">
        <v>98</v>
      </c>
      <c r="B74" s="29" t="s">
        <v>40</v>
      </c>
      <c r="C74" s="29" t="s">
        <v>40</v>
      </c>
      <c r="D74" s="29" t="s">
        <v>40</v>
      </c>
      <c r="E74" s="29" t="s">
        <v>40</v>
      </c>
      <c r="F74" s="29" t="s">
        <v>40</v>
      </c>
      <c r="G74" s="29">
        <f>IFERROR(G73/B73-1,"n.a.")</f>
        <v>0.11297819091884165</v>
      </c>
      <c r="H74" s="29">
        <f>IFERROR(H73/C73-1,"n.a.")</f>
        <v>-0.02213412619755528</v>
      </c>
      <c r="I74" s="50">
        <f>IFERROR(I73/D73-1,"n.a.")</f>
        <v>-0.1702000243348476</v>
      </c>
      <c r="J74" s="20"/>
    </row>
    <row r="75">
      <c r="A75" s="23" t="s">
        <v>99</v>
      </c>
      <c r="B75" s="29" t="s">
        <v>40</v>
      </c>
      <c r="C75" s="29" t="s">
        <v>40</v>
      </c>
      <c r="D75" s="29" t="s">
        <v>40</v>
      </c>
      <c r="E75" s="29" t="s">
        <v>40</v>
      </c>
      <c r="F75" s="29" t="s">
        <v>40</v>
      </c>
      <c r="G75" s="104">
        <v>0</v>
      </c>
      <c r="H75" s="29" t="s">
        <v>40</v>
      </c>
      <c r="I75" s="50">
        <f>IFERROR((I25-D25)/D26,"n.a.")</f>
        <v>-0.18429591174561974</v>
      </c>
      <c r="J75" s="20" t="s">
        <v>718</v>
      </c>
    </row>
    <row r="76">
      <c r="A76" s="23" t="s">
        <v>106</v>
      </c>
      <c r="B76" s="29" t="s">
        <v>40</v>
      </c>
      <c r="C76" s="29" t="s">
        <v>40</v>
      </c>
      <c r="D76" s="29" t="s">
        <v>40</v>
      </c>
      <c r="E76" s="29" t="s">
        <v>40</v>
      </c>
      <c r="F76" s="29" t="s">
        <v>40</v>
      </c>
      <c r="G76" s="11" t="str">
        <f>IFERROR(('Segment - Residential C&amp;P'!G157*B23+'Segment - Media'!G142*B24)/B26,"n.a.")</f>
        <v>n.a.</v>
      </c>
      <c r="H76" s="11" t="str">
        <f>IFERROR(('Segment - Residential C&amp;P'!H157*C23+'Segment - Media'!H142*C24)/C26,"n.a.")</f>
        <v>n.a.</v>
      </c>
      <c r="I76" s="58">
        <f>IFERROR(('Segment - Residential C&amp;P'!I157*D23+'Segment - Media'!I142*D24)/D26,"n.a.")</f>
        <v>-0.004078520441271901</v>
      </c>
      <c r="J76" s="20"/>
    </row>
    <row r="77">
      <c r="A77" s="23" t="s">
        <v>103</v>
      </c>
      <c r="B77" s="29" t="s">
        <v>40</v>
      </c>
      <c r="C77" s="29" t="s">
        <v>40</v>
      </c>
      <c r="D77" s="29" t="s">
        <v>40</v>
      </c>
      <c r="E77" s="29" t="s">
        <v>40</v>
      </c>
      <c r="F77" s="29" t="s">
        <v>40</v>
      </c>
      <c r="G77" s="29" t="str">
        <f>IFERROR(IF(OR(ISTEXT(G74),ISTEXT(G75),ISTEXT(G76)),"n.a.",(1+G74)/((1+G75)*(1+G76))-1),"n.a.")</f>
        <v>n.a.</v>
      </c>
      <c r="H77" s="29" t="str">
        <f>IFERROR(IF(OR(ISTEXT(H74),ISTEXT(H75),ISTEXT(H76)),"n.a.",(1+H74)/((1+H75)*(1+H76))-1),"n.a.")</f>
        <v>n.a.</v>
      </c>
      <c r="I77" s="50">
        <f>IFERROR(IF(OR(ISTEXT(I74),ISTEXT(I75),ISTEXT(I76)),"n.a.",(1+I74)/((1+I75)*(1+I76))-1),"n.a.")</f>
        <v>0.021446629382425586</v>
      </c>
      <c r="J77" s="20"/>
    </row>
    <row r="78">
      <c r="A78" s="9" t="s">
        <v>699</v>
      </c>
      <c r="B78" s="40">
        <f>B27</f>
        <v>14384</v>
      </c>
      <c r="C78" s="40">
        <f>C27</f>
        <v>14645</v>
      </c>
      <c r="D78" s="40">
        <f>D27</f>
        <v>15343</v>
      </c>
      <c r="E78" s="40">
        <f>E27</f>
        <v>15444</v>
      </c>
      <c r="F78" s="40">
        <f>SUM(B78:E78)</f>
        <v>59816</v>
      </c>
      <c r="G78" s="40">
        <f>G27</f>
        <v>14875</v>
      </c>
      <c r="H78" s="40">
        <f>H27</f>
        <v>15133</v>
      </c>
      <c r="I78" s="41">
        <f>I27</f>
        <v>15212.192909362882</v>
      </c>
      <c r="J78" s="20"/>
    </row>
    <row r="79">
      <c r="A79" s="23" t="s">
        <v>98</v>
      </c>
      <c r="B79" s="29" t="s">
        <v>40</v>
      </c>
      <c r="C79" s="29" t="s">
        <v>40</v>
      </c>
      <c r="D79" s="29" t="s">
        <v>40</v>
      </c>
      <c r="E79" s="29" t="s">
        <v>40</v>
      </c>
      <c r="F79" s="29" t="s">
        <v>40</v>
      </c>
      <c r="G79" s="29">
        <f>IFERROR(G78/B78-1,"n.a.")</f>
        <v>0.03413515016685209</v>
      </c>
      <c r="H79" s="29">
        <f>IFERROR(H78/C78-1,"n.a.")</f>
        <v>0.03332195288494377</v>
      </c>
      <c r="I79" s="50">
        <f>IFERROR(I78/D78-1,"n.a.")</f>
        <v>-0.008525522429584709</v>
      </c>
      <c r="J79" s="20"/>
    </row>
    <row r="80">
      <c r="A80" s="23" t="s">
        <v>99</v>
      </c>
      <c r="B80" s="29" t="s">
        <v>40</v>
      </c>
      <c r="C80" s="29" t="s">
        <v>40</v>
      </c>
      <c r="D80" s="29" t="s">
        <v>40</v>
      </c>
      <c r="E80" s="29" t="s">
        <v>40</v>
      </c>
      <c r="F80" s="29" t="s">
        <v>40</v>
      </c>
      <c r="G80" s="65">
        <v>0</v>
      </c>
      <c r="H80" s="65">
        <v>0</v>
      </c>
      <c r="I80" s="48">
        <v>0</v>
      </c>
      <c r="J80" s="20" t="s">
        <v>712</v>
      </c>
    </row>
    <row r="81">
      <c r="A81" s="23" t="s">
        <v>106</v>
      </c>
      <c r="B81" s="29" t="s">
        <v>40</v>
      </c>
      <c r="C81" s="29" t="s">
        <v>40</v>
      </c>
      <c r="D81" s="29" t="s">
        <v>40</v>
      </c>
      <c r="E81" s="29" t="s">
        <v>40</v>
      </c>
      <c r="F81" s="29" t="s">
        <v>40</v>
      </c>
      <c r="G81" s="29" t="s">
        <v>40</v>
      </c>
      <c r="H81" s="29" t="s">
        <v>40</v>
      </c>
      <c r="I81" s="50" t="s">
        <v>40</v>
      </c>
      <c r="J81" s="20"/>
    </row>
    <row r="82">
      <c r="A82" s="23" t="s">
        <v>103</v>
      </c>
      <c r="B82" s="29" t="s">
        <v>40</v>
      </c>
      <c r="C82" s="29" t="s">
        <v>40</v>
      </c>
      <c r="D82" s="29" t="s">
        <v>40</v>
      </c>
      <c r="E82" s="29" t="s">
        <v>40</v>
      </c>
      <c r="F82" s="29" t="s">
        <v>40</v>
      </c>
      <c r="G82" s="29" t="str">
        <f>IFERROR(IF(OR(ISTEXT(G79),ISTEXT(G80),ISTEXT(G81)),"n.a.",(1+G79)/((1+G80)*(1+G81))-1),"n.a.")</f>
        <v>n.a.</v>
      </c>
      <c r="H82" s="29" t="str">
        <f>IFERROR(IF(OR(ISTEXT(H79),ISTEXT(H80),ISTEXT(H81)),"n.a.",(1+H79)/((1+H80)*(1+H81))-1),"n.a.")</f>
        <v>n.a.</v>
      </c>
      <c r="I82" s="50" t="str">
        <f>IFERROR(IF(OR(ISTEXT(I79),ISTEXT(I80),ISTEXT(I81)),"n.a.",(1+I79)/((1+I80)*(1+I81))-1),"n.a.")</f>
        <v>n.a.</v>
      </c>
      <c r="J82" s="20"/>
    </row>
    <row r="83">
      <c r="A83" s="35" t="s">
        <v>701</v>
      </c>
      <c r="B83" s="45">
        <f>B28</f>
        <v>29887</v>
      </c>
      <c r="C83" s="45">
        <f>C28</f>
        <v>30313</v>
      </c>
      <c r="D83" s="45">
        <f>D28</f>
        <v>31198</v>
      </c>
      <c r="E83" s="45">
        <f>E28</f>
        <v>32310</v>
      </c>
      <c r="F83" s="45">
        <f>SUM(B83:E83)</f>
        <v>123708</v>
      </c>
      <c r="G83" s="45">
        <f>G28</f>
        <v>31457</v>
      </c>
      <c r="H83" s="45">
        <f>H28</f>
        <v>29940</v>
      </c>
      <c r="I83" s="52">
        <f>I28</f>
        <v>29356.516542580845</v>
      </c>
      <c r="J83" s="20"/>
    </row>
    <row r="84">
      <c r="A84" s="23" t="s">
        <v>98</v>
      </c>
      <c r="B84" s="29" t="s">
        <v>40</v>
      </c>
      <c r="C84" s="29" t="s">
        <v>40</v>
      </c>
      <c r="D84" s="29" t="s">
        <v>40</v>
      </c>
      <c r="E84" s="29" t="s">
        <v>40</v>
      </c>
      <c r="F84" s="29" t="s">
        <v>40</v>
      </c>
      <c r="G84" s="29">
        <f>IFERROR(G83/B83-1,"n.a.")</f>
        <v>0.05253120085655971</v>
      </c>
      <c r="H84" s="29">
        <f>IFERROR(H83/C83-1,"n.a.")</f>
        <v>-0.012304951670900288</v>
      </c>
      <c r="I84" s="50">
        <f>IFERROR(I83/D83-1,"n.a.")</f>
        <v>-0.059025689384548885</v>
      </c>
      <c r="J84" s="20"/>
    </row>
    <row r="85">
      <c r="A85" s="23" t="s">
        <v>99</v>
      </c>
      <c r="B85" s="29" t="s">
        <v>40</v>
      </c>
      <c r="C85" s="29" t="s">
        <v>40</v>
      </c>
      <c r="D85" s="29" t="s">
        <v>40</v>
      </c>
      <c r="E85" s="29" t="s">
        <v>40</v>
      </c>
      <c r="F85" s="29" t="s">
        <v>40</v>
      </c>
      <c r="G85" s="11">
        <f>'Revenue summary'!G119</f>
        <v>-0.050565274519478565</v>
      </c>
      <c r="H85" s="11">
        <f>'Revenue summary'!H119</f>
        <v>-0.0563695472652207</v>
      </c>
      <c r="I85" s="58">
        <f>'Revenue summary'!I119</f>
        <v>-0.06561318033207253</v>
      </c>
      <c r="J85" s="20"/>
    </row>
    <row r="86">
      <c r="A86" s="23" t="s">
        <v>106</v>
      </c>
      <c r="B86" s="29" t="s">
        <v>40</v>
      </c>
      <c r="C86" s="29" t="s">
        <v>40</v>
      </c>
      <c r="D86" s="29" t="s">
        <v>40</v>
      </c>
      <c r="E86" s="29" t="s">
        <v>40</v>
      </c>
      <c r="F86" s="29" t="s">
        <v>40</v>
      </c>
      <c r="G86" s="11" t="str">
        <f>'Revenue summary'!G120</f>
        <v>n.a.</v>
      </c>
      <c r="H86" s="11" t="str">
        <f>'Revenue summary'!H120</f>
        <v>n.a.</v>
      </c>
      <c r="I86" s="58" t="str">
        <f>'Revenue summary'!I120</f>
        <v>n.a.</v>
      </c>
      <c r="J86" s="20"/>
    </row>
    <row r="87">
      <c r="A87" s="23" t="s">
        <v>103</v>
      </c>
      <c r="B87" s="29" t="s">
        <v>40</v>
      </c>
      <c r="C87" s="29" t="s">
        <v>40</v>
      </c>
      <c r="D87" s="29" t="s">
        <v>40</v>
      </c>
      <c r="E87" s="29" t="s">
        <v>40</v>
      </c>
      <c r="F87" s="29" t="s">
        <v>40</v>
      </c>
      <c r="G87" s="29" t="str">
        <f>IFERROR(IF(OR(ISTEXT(G84),ISTEXT(G85),ISTEXT(G86)),"n.a.",(1+G84)/((1+G85)*(1+G86))-1),"n.a.")</f>
        <v>n.a.</v>
      </c>
      <c r="H87" s="29" t="str">
        <f>IFERROR(IF(OR(ISTEXT(H84),ISTEXT(H85),ISTEXT(H86)),"n.a.",(1+H84)/((1+H85)*(1+H86))-1),"n.a.")</f>
        <v>n.a.</v>
      </c>
      <c r="I87" s="50" t="str">
        <f>IFERROR(IF(OR(ISTEXT(I84),ISTEXT(I85),ISTEXT(I86)),"n.a.",(1+I84)/((1+I85)*(1+I86))-1),"n.a.")</f>
        <v>n.a.</v>
      </c>
      <c r="J87" s="20"/>
    </row>
    <row r="88">
      <c r="A88" s="9"/>
      <c r="B88" s="9"/>
      <c r="C88" s="9"/>
      <c r="D88" s="9"/>
      <c r="E88" s="9"/>
      <c r="F88" s="9"/>
      <c r="G88" s="9"/>
      <c r="H88" s="9"/>
      <c r="I88" s="9"/>
      <c r="J88" s="20"/>
    </row>
    <row r="89">
      <c r="A89" s="9"/>
      <c r="B89" s="9"/>
      <c r="C89" s="9"/>
      <c r="D89" s="9"/>
      <c r="E89" s="9"/>
      <c r="F89" s="9"/>
      <c r="G89" s="9"/>
      <c r="H89" s="9"/>
      <c r="I89" s="9"/>
      <c r="J89" s="20"/>
    </row>
    <row r="90">
      <c r="A90" s="9"/>
      <c r="B90" s="9"/>
      <c r="C90" s="9"/>
      <c r="D90" s="9"/>
      <c r="E90" s="9"/>
      <c r="F90" s="9"/>
      <c r="G90" s="9"/>
      <c r="H90" s="9"/>
      <c r="I90" s="9"/>
      <c r="J90" s="20"/>
    </row>
    <row r="91">
      <c r="A91" s="9"/>
      <c r="B91" s="9"/>
      <c r="C91" s="9"/>
      <c r="D91" s="9"/>
      <c r="E91" s="9"/>
      <c r="F91" s="9"/>
      <c r="G91" s="9"/>
      <c r="H91" s="9"/>
      <c r="I91" s="9"/>
      <c r="J91" s="9"/>
    </row>
    <row r="92">
      <c r="A92" s="9"/>
      <c r="B92" s="9"/>
      <c r="C92" s="9"/>
      <c r="D92" s="9"/>
      <c r="E92" s="9"/>
      <c r="F92" s="9"/>
      <c r="G92" s="9"/>
      <c r="H92" s="9"/>
      <c r="I92" s="9"/>
      <c r="J92" s="9"/>
    </row>
    <row r="93">
      <c r="A93" s="9"/>
      <c r="B93" s="9"/>
      <c r="C93" s="9"/>
      <c r="D93" s="9"/>
      <c r="E93" s="9"/>
      <c r="F93" s="9"/>
      <c r="G93" s="9"/>
      <c r="H93" s="9"/>
      <c r="I93" s="9"/>
      <c r="J93" s="9"/>
    </row>
    <row r="94">
      <c r="A94" s="9"/>
      <c r="B94" s="9"/>
      <c r="C94" s="9"/>
      <c r="D94" s="9"/>
      <c r="E94" s="9"/>
      <c r="F94" s="9"/>
      <c r="G94" s="9"/>
      <c r="H94" s="9"/>
      <c r="I94" s="9"/>
      <c r="J94" s="9"/>
    </row>
    <row r="95">
      <c r="A95" s="9"/>
      <c r="B95" s="9"/>
      <c r="C95" s="9"/>
      <c r="D95" s="9"/>
      <c r="E95" s="9"/>
      <c r="F95" s="9"/>
      <c r="G95" s="9"/>
      <c r="H95" s="9"/>
      <c r="I95" s="9"/>
      <c r="J95" s="9"/>
    </row>
    <row r="96">
      <c r="A96" s="9"/>
      <c r="B96" s="9"/>
      <c r="C96" s="9"/>
      <c r="D96" s="9"/>
      <c r="E96" s="9"/>
      <c r="F96" s="9"/>
      <c r="G96" s="9"/>
      <c r="H96" s="9"/>
      <c r="I96" s="9"/>
      <c r="J96" s="9"/>
    </row>
    <row r="97">
      <c r="A97" s="9"/>
      <c r="B97" s="9"/>
      <c r="C97" s="9"/>
      <c r="D97" s="9"/>
      <c r="E97" s="9"/>
      <c r="F97" s="9"/>
      <c r="G97" s="9"/>
      <c r="H97" s="9"/>
      <c r="I97" s="9"/>
      <c r="J97" s="9"/>
    </row>
    <row r="98">
      <c r="A98" s="9"/>
      <c r="B98" s="9"/>
      <c r="C98" s="9"/>
      <c r="D98" s="9"/>
      <c r="E98" s="9"/>
      <c r="F98" s="9"/>
      <c r="G98" s="9"/>
      <c r="H98" s="9"/>
      <c r="I98" s="9"/>
      <c r="J98" s="9"/>
    </row>
    <row r="99">
      <c r="A99" s="9"/>
      <c r="B99" s="9"/>
      <c r="C99" s="9"/>
      <c r="D99" s="9"/>
      <c r="E99" s="9"/>
      <c r="F99" s="9"/>
      <c r="G99" s="9"/>
      <c r="H99" s="9"/>
      <c r="I99" s="9"/>
      <c r="J99" s="9"/>
    </row>
    <row r="100">
      <c r="A100" s="9"/>
      <c r="B100" s="9"/>
      <c r="C100" s="9"/>
      <c r="D100" s="9"/>
      <c r="E100" s="9"/>
      <c r="F100" s="9"/>
      <c r="G100" s="9"/>
      <c r="H100" s="9"/>
      <c r="I100" s="9"/>
      <c r="J100" s="9"/>
    </row>
  </sheetData>
</worksheet>
</file>

<file path=xl/worksheets/sheet12.xml><?xml version="1.0" encoding="utf-8"?>
<worksheet xmlns="http://schemas.openxmlformats.org/spreadsheetml/2006/main" xmlns:r="http://schemas.openxmlformats.org/officeDocument/2006/relationships">
  <dimension ref="A1:J45"/>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719</v>
      </c>
      <c r="B2" s="9"/>
      <c r="C2" s="9"/>
      <c r="D2" s="9"/>
      <c r="E2" s="9"/>
      <c r="F2" s="9"/>
      <c r="G2" s="9"/>
      <c r="H2" s="9"/>
      <c r="I2" s="9"/>
      <c r="J2" s="9"/>
    </row>
    <row r="3">
      <c r="A3" s="23" t="s">
        <v>720</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721</v>
      </c>
      <c r="B8" s="33"/>
      <c r="C8" s="33"/>
      <c r="D8" s="33"/>
      <c r="E8" s="33"/>
      <c r="F8" s="33"/>
      <c r="G8" s="33"/>
      <c r="H8" s="33"/>
      <c r="I8" s="53"/>
      <c r="J8" s="20"/>
    </row>
    <row r="9" ht="26.25">
      <c r="A9" s="106" t="s">
        <v>722</v>
      </c>
      <c r="B9" s="40" t="s">
        <v>40</v>
      </c>
      <c r="C9" s="40" t="s">
        <v>40</v>
      </c>
      <c r="D9" s="40" t="s">
        <v>40</v>
      </c>
      <c r="E9" s="40" t="s">
        <v>40</v>
      </c>
      <c r="F9" s="40" t="s">
        <v>40</v>
      </c>
      <c r="G9" s="40" t="s">
        <v>40</v>
      </c>
      <c r="H9" s="40" t="s">
        <v>40</v>
      </c>
      <c r="I9" s="73">
        <v>3548.6</v>
      </c>
      <c r="J9" s="20" t="s">
        <v>723</v>
      </c>
    </row>
    <row r="10">
      <c r="A10" s="9" t="s">
        <v>724</v>
      </c>
      <c r="B10" s="40" t="s">
        <v>40</v>
      </c>
      <c r="C10" s="40" t="s">
        <v>40</v>
      </c>
      <c r="D10" s="40" t="s">
        <v>40</v>
      </c>
      <c r="E10" s="40" t="s">
        <v>40</v>
      </c>
      <c r="F10" s="40" t="s">
        <v>40</v>
      </c>
      <c r="G10" s="40" t="s">
        <v>40</v>
      </c>
      <c r="H10" s="40" t="s">
        <v>40</v>
      </c>
      <c r="I10" s="73">
        <v>2.5</v>
      </c>
      <c r="J10" s="20" t="s">
        <v>725</v>
      </c>
    </row>
    <row r="11">
      <c r="A11" s="9" t="s">
        <v>726</v>
      </c>
      <c r="B11" s="40" t="s">
        <v>40</v>
      </c>
      <c r="C11" s="40" t="s">
        <v>40</v>
      </c>
      <c r="D11" s="40" t="s">
        <v>40</v>
      </c>
      <c r="E11" s="40" t="s">
        <v>40</v>
      </c>
      <c r="F11" s="40" t="s">
        <v>40</v>
      </c>
      <c r="G11" s="40" t="s">
        <v>40</v>
      </c>
      <c r="H11" s="40" t="s">
        <v>40</v>
      </c>
      <c r="I11" s="73">
        <v>0</v>
      </c>
      <c r="J11" s="20" t="s">
        <v>727</v>
      </c>
    </row>
    <row r="12">
      <c r="A12" s="35" t="s">
        <v>728</v>
      </c>
      <c r="B12" s="44">
        <v>3768</v>
      </c>
      <c r="C12" s="44">
        <v>3720</v>
      </c>
      <c r="D12" s="44">
        <v>3679</v>
      </c>
      <c r="E12" s="45">
        <f>(F6*F12-B6*B12-C6*C12-D6*D12)/E6</f>
        <v>3630.728260869565</v>
      </c>
      <c r="F12" s="44">
        <v>3699</v>
      </c>
      <c r="G12" s="44">
        <v>3597</v>
      </c>
      <c r="H12" s="44">
        <v>3564</v>
      </c>
      <c r="I12" s="52">
        <f>I9+I10-I11</f>
        <v>3551.1</v>
      </c>
      <c r="J12" s="20" t="s">
        <v>729</v>
      </c>
    </row>
    <row r="13">
      <c r="A13" s="9" t="s">
        <v>730</v>
      </c>
      <c r="B13" s="40">
        <f>B14-B12</f>
        <v>16</v>
      </c>
      <c r="C13" s="40">
        <f>C14-C12</f>
        <v>7</v>
      </c>
      <c r="D13" s="40">
        <f>D14-D12</f>
        <v>10</v>
      </c>
      <c r="E13" s="40">
        <f>E14-E12</f>
        <v>5.27173913043498</v>
      </c>
      <c r="F13" s="40">
        <f>F14-F12</f>
        <v>10</v>
      </c>
      <c r="G13" s="40">
        <f>G14-G12</f>
        <v>20</v>
      </c>
      <c r="H13" s="40">
        <f>H14-H12</f>
        <v>6</v>
      </c>
      <c r="I13" s="73">
        <v>8</v>
      </c>
      <c r="J13" s="20" t="s">
        <v>731</v>
      </c>
    </row>
    <row r="14">
      <c r="A14" s="35" t="s">
        <v>732</v>
      </c>
      <c r="B14" s="44">
        <v>3784</v>
      </c>
      <c r="C14" s="44">
        <v>3727</v>
      </c>
      <c r="D14" s="44">
        <v>3689</v>
      </c>
      <c r="E14" s="44">
        <v>3636</v>
      </c>
      <c r="F14" s="44">
        <v>3709</v>
      </c>
      <c r="G14" s="44">
        <v>3617</v>
      </c>
      <c r="H14" s="44">
        <v>3570</v>
      </c>
      <c r="I14" s="52">
        <f>I12+I13</f>
        <v>3559.1</v>
      </c>
      <c r="J14" s="20" t="s">
        <v>733</v>
      </c>
    </row>
    <row r="15">
      <c r="A15" s="23" t="s">
        <v>217</v>
      </c>
      <c r="B15" s="29" t="s">
        <v>40</v>
      </c>
      <c r="C15" s="29" t="s">
        <v>40</v>
      </c>
      <c r="D15" s="29" t="s">
        <v>40</v>
      </c>
      <c r="E15" s="29" t="s">
        <v>40</v>
      </c>
      <c r="F15" s="29" t="s">
        <v>40</v>
      </c>
      <c r="G15" s="29">
        <f>IFERROR(G14/B14-1,"n.a.")</f>
        <v>-0.04413319238900637</v>
      </c>
      <c r="H15" s="29">
        <f>IFERROR(H14/C14-1,"n.a.")</f>
        <v>-0.0421250335390394</v>
      </c>
      <c r="I15" s="50">
        <f>IFERROR(I14/D14-1,"n.a.")</f>
        <v>-0.035212794795337565</v>
      </c>
      <c r="J15" s="20"/>
    </row>
    <row r="16">
      <c r="A16" s="9" t="s">
        <v>734</v>
      </c>
      <c r="B16" s="40" t="s">
        <v>40</v>
      </c>
      <c r="C16" s="40">
        <f>IFERROR(C14-B14,"n.a.")</f>
        <v>-57</v>
      </c>
      <c r="D16" s="40">
        <f>IFERROR(D14-C14,"n.a.")</f>
        <v>-38</v>
      </c>
      <c r="E16" s="40">
        <f>IFERROR(E14-D14,"n.a.")</f>
        <v>-53</v>
      </c>
      <c r="F16" s="40" t="s">
        <v>40</v>
      </c>
      <c r="G16" s="40">
        <f>IFERROR(G14-E14,"n.a.")</f>
        <v>-19</v>
      </c>
      <c r="H16" s="40">
        <f>IFERROR(H14-G14,"n.a.")</f>
        <v>-47</v>
      </c>
      <c r="I16" s="41">
        <f>IFERROR(I14-H14,"n.a.")</f>
        <v>-10.900000000000091</v>
      </c>
      <c r="J16" s="20"/>
    </row>
    <row r="17">
      <c r="A17" s="23" t="s">
        <v>735</v>
      </c>
      <c r="B17" s="29" t="s">
        <v>40</v>
      </c>
      <c r="C17" s="29" t="s">
        <v>40</v>
      </c>
      <c r="D17" s="29" t="s">
        <v>40</v>
      </c>
      <c r="E17" s="29" t="s">
        <v>40</v>
      </c>
      <c r="F17" s="29" t="s">
        <v>40</v>
      </c>
      <c r="G17" s="29">
        <f>IFERROR(G12/B12-1,"n.a.")</f>
        <v>-0.04538216560509556</v>
      </c>
      <c r="H17" s="29">
        <f>IFERROR(H12/C12-1,"n.a.")</f>
        <v>-0.041935483870967794</v>
      </c>
      <c r="I17" s="50">
        <f>IFERROR(I12/D12-1,"n.a.")</f>
        <v>-0.034764881761348176</v>
      </c>
      <c r="J17" s="20"/>
    </row>
    <row r="18">
      <c r="A18" s="9" t="s">
        <v>736</v>
      </c>
      <c r="B18" s="40" t="s">
        <v>40</v>
      </c>
      <c r="C18" s="40">
        <f>IFERROR(C12-B12,"n.a.")</f>
        <v>-48</v>
      </c>
      <c r="D18" s="40">
        <f>IFERROR(D12-C12,"n.a.")</f>
        <v>-41</v>
      </c>
      <c r="E18" s="40">
        <f>IFERROR(E12-D12,"n.a.")</f>
        <v>-48.27173913043498</v>
      </c>
      <c r="F18" s="40" t="s">
        <v>40</v>
      </c>
      <c r="G18" s="40">
        <f>IFERROR(G12-E12,"n.a.")</f>
        <v>-33.72826086956502</v>
      </c>
      <c r="H18" s="40">
        <f>IFERROR(H12-G12,"n.a.")</f>
        <v>-33</v>
      </c>
      <c r="I18" s="41">
        <f>IFERROR(I12-H12,"n.a.")</f>
        <v>-12.900000000000091</v>
      </c>
      <c r="J18" s="20"/>
    </row>
    <row r="19">
      <c r="A19" s="9"/>
      <c r="B19" s="9"/>
      <c r="C19" s="9"/>
      <c r="D19" s="9"/>
      <c r="E19" s="9"/>
      <c r="F19" s="9"/>
      <c r="G19" s="9"/>
      <c r="H19" s="9"/>
      <c r="I19" s="69"/>
      <c r="J19" s="20"/>
    </row>
    <row r="20">
      <c r="A20" s="35" t="s">
        <v>737</v>
      </c>
      <c r="B20" s="33"/>
      <c r="C20" s="33"/>
      <c r="D20" s="33"/>
      <c r="E20" s="33"/>
      <c r="F20" s="33"/>
      <c r="G20" s="33"/>
      <c r="H20" s="33"/>
      <c r="I20" s="53"/>
      <c r="J20" s="20"/>
    </row>
    <row r="21">
      <c r="A21" s="9" t="s">
        <v>738</v>
      </c>
      <c r="B21" s="39">
        <v>56.2</v>
      </c>
      <c r="C21" s="39">
        <v>49.3</v>
      </c>
      <c r="D21" s="39">
        <v>46</v>
      </c>
      <c r="E21" s="39">
        <v>53.6</v>
      </c>
      <c r="F21" s="40">
        <f>SUM(B21:E21)</f>
        <v>205.1</v>
      </c>
      <c r="G21" s="39">
        <v>42</v>
      </c>
      <c r="H21" s="39">
        <v>33.8</v>
      </c>
      <c r="I21" s="73">
        <v>0</v>
      </c>
      <c r="J21" s="20" t="s">
        <v>739</v>
      </c>
    </row>
    <row r="22">
      <c r="A22" s="9" t="s">
        <v>740</v>
      </c>
      <c r="B22" s="39">
        <v>2000</v>
      </c>
      <c r="C22" s="39">
        <v>1700</v>
      </c>
      <c r="D22" s="39">
        <v>1500</v>
      </c>
      <c r="E22" s="39">
        <v>1500</v>
      </c>
      <c r="F22" s="40">
        <f>SUM(B22:E22)</f>
        <v>6700</v>
      </c>
      <c r="G22" s="39">
        <v>1300</v>
      </c>
      <c r="H22" s="39">
        <v>900</v>
      </c>
      <c r="I22" s="73">
        <v>0</v>
      </c>
      <c r="J22" s="20" t="s">
        <v>741</v>
      </c>
    </row>
    <row r="23">
      <c r="A23" s="9" t="s">
        <v>742</v>
      </c>
      <c r="B23" s="43">
        <f>IFERROR(B22/B21,"n.a.")</f>
        <v>35.587188612099645</v>
      </c>
      <c r="C23" s="43">
        <f>IFERROR(C22/C21,"n.a.")</f>
        <v>34.48275862068966</v>
      </c>
      <c r="D23" s="43">
        <f>IFERROR(D22/D21,"n.a.")</f>
        <v>32.608695652173914</v>
      </c>
      <c r="E23" s="43">
        <f>IFERROR(E22/E21,"n.a.")</f>
        <v>27.98507462686567</v>
      </c>
      <c r="F23" s="43">
        <f>IFERROR(F22/F21,"n.a.")</f>
        <v>32.66699171136031</v>
      </c>
      <c r="G23" s="43">
        <f>IFERROR(G22/G21,"n.a.")</f>
        <v>30.952380952380953</v>
      </c>
      <c r="H23" s="43">
        <f>IFERROR(H22/H21,"n.a.")</f>
        <v>26.627218934911244</v>
      </c>
      <c r="I23" s="61" t="str">
        <f>IFERROR(I22/I21,"n.a.")</f>
        <v>n.a.</v>
      </c>
      <c r="J23" s="20"/>
    </row>
    <row r="24" ht="26.25">
      <c r="A24" s="106" t="s">
        <v>743</v>
      </c>
      <c r="B24" s="27">
        <f>-'Cash Flow Statement'!B35</f>
        <v>2240</v>
      </c>
      <c r="C24" s="27">
        <f>-'Cash Flow Statement'!C35</f>
        <v>1826</v>
      </c>
      <c r="D24" s="27">
        <f>-'Cash Flow Statement'!D35</f>
        <v>1552</v>
      </c>
      <c r="E24" s="27">
        <f>-'Cash Flow Statement'!E35</f>
        <v>1537</v>
      </c>
      <c r="F24" s="40">
        <f>SUM(B24:E24)</f>
        <v>7155</v>
      </c>
      <c r="G24" s="27">
        <f>-'Cash Flow Statement'!G35</f>
        <v>1502</v>
      </c>
      <c r="H24" s="27">
        <f>-'Cash Flow Statement'!H35</f>
        <v>1005</v>
      </c>
      <c r="I24" s="31">
        <f>-'Cash Flow Statement'!I35</f>
        <v>50</v>
      </c>
      <c r="J24" s="20" t="s">
        <v>744</v>
      </c>
    </row>
    <row r="25">
      <c r="A25" s="9" t="s">
        <v>745</v>
      </c>
      <c r="B25" s="40" t="s">
        <v>40</v>
      </c>
      <c r="C25" s="40" t="s">
        <v>40</v>
      </c>
      <c r="D25" s="40" t="s">
        <v>40</v>
      </c>
      <c r="E25" s="40" t="s">
        <v>40</v>
      </c>
      <c r="F25" s="40" t="s">
        <v>40</v>
      </c>
      <c r="G25" s="40" t="s">
        <v>40</v>
      </c>
      <c r="H25" s="40" t="s">
        <v>40</v>
      </c>
      <c r="I25" s="41" t="s">
        <v>40</v>
      </c>
      <c r="J25" s="20" t="s">
        <v>746</v>
      </c>
    </row>
    <row r="26">
      <c r="A26" s="9" t="s">
        <v>747</v>
      </c>
      <c r="B26" s="70">
        <v>0.33</v>
      </c>
      <c r="C26" s="70">
        <v>0.33</v>
      </c>
      <c r="D26" s="70">
        <v>0.33</v>
      </c>
      <c r="E26" s="70">
        <v>0.33</v>
      </c>
      <c r="F26" s="70">
        <v>1.32</v>
      </c>
      <c r="G26" s="70">
        <v>0.33</v>
      </c>
      <c r="H26" s="70">
        <v>0.33</v>
      </c>
      <c r="I26" s="74">
        <v>0.33</v>
      </c>
      <c r="J26" s="20" t="s">
        <v>748</v>
      </c>
    </row>
    <row r="27">
      <c r="A27" s="9" t="s">
        <v>749</v>
      </c>
      <c r="B27" s="27">
        <f>-'Cash Flow Statement'!B36</f>
        <v>1224</v>
      </c>
      <c r="C27" s="27">
        <f>-'Cash Flow Statement'!C36</f>
        <v>1238</v>
      </c>
      <c r="D27" s="27">
        <f>-'Cash Flow Statement'!D36</f>
        <v>1223</v>
      </c>
      <c r="E27" s="27">
        <f>-'Cash Flow Statement'!E36</f>
        <v>1209</v>
      </c>
      <c r="F27" s="40">
        <f>SUM(B27:E27)</f>
        <v>4894</v>
      </c>
      <c r="G27" s="27">
        <f>-'Cash Flow Statement'!G36</f>
        <v>1248</v>
      </c>
      <c r="H27" s="27">
        <f>-'Cash Flow Statement'!H36</f>
        <v>1184</v>
      </c>
      <c r="I27" s="31">
        <f>-'Cash Flow Statement'!I36</f>
        <v>1171.863</v>
      </c>
      <c r="J27" s="20"/>
    </row>
    <row r="28">
      <c r="A28" s="9"/>
      <c r="B28" s="9"/>
      <c r="C28" s="9"/>
      <c r="D28" s="9"/>
      <c r="E28" s="9"/>
      <c r="F28" s="9"/>
      <c r="G28" s="9"/>
      <c r="H28" s="9"/>
      <c r="I28" s="69"/>
      <c r="J28" s="20"/>
    </row>
    <row r="29">
      <c r="A29" s="35" t="s">
        <v>750</v>
      </c>
      <c r="B29" s="33"/>
      <c r="C29" s="33"/>
      <c r="D29" s="33"/>
      <c r="E29" s="33"/>
      <c r="F29" s="33"/>
      <c r="G29" s="33"/>
      <c r="H29" s="33"/>
      <c r="I29" s="53"/>
      <c r="J29" s="20"/>
    </row>
    <row r="30" ht="26.25">
      <c r="A30" s="113" t="s">
        <v>751</v>
      </c>
      <c r="B30" s="45" t="s">
        <v>40</v>
      </c>
      <c r="C30" s="45" t="s">
        <v>40</v>
      </c>
      <c r="D30" s="45" t="s">
        <v>40</v>
      </c>
      <c r="E30" s="45" t="s">
        <v>40</v>
      </c>
      <c r="F30" s="45" t="s">
        <v>40</v>
      </c>
      <c r="G30" s="45" t="s">
        <v>40</v>
      </c>
      <c r="H30" s="45" t="s">
        <v>40</v>
      </c>
      <c r="I30" s="52">
        <f>I14</f>
        <v>3559.1</v>
      </c>
      <c r="J30" s="20"/>
    </row>
    <row r="31">
      <c r="A31" s="9" t="s">
        <v>752</v>
      </c>
      <c r="B31" s="40" t="s">
        <v>40</v>
      </c>
      <c r="C31" s="40" t="s">
        <v>40</v>
      </c>
      <c r="D31" s="40" t="s">
        <v>40</v>
      </c>
      <c r="E31" s="40" t="s">
        <v>40</v>
      </c>
      <c r="F31" s="40" t="s">
        <v>40</v>
      </c>
      <c r="G31" s="40" t="s">
        <v>40</v>
      </c>
      <c r="H31" s="40" t="s">
        <v>40</v>
      </c>
      <c r="I31" s="31">
        <f>'Income Statement'!I129</f>
        <v>3517.866490424667</v>
      </c>
      <c r="J31" s="20"/>
    </row>
    <row r="32">
      <c r="A32" s="9" t="s">
        <v>753</v>
      </c>
      <c r="B32" s="49" t="s">
        <v>40</v>
      </c>
      <c r="C32" s="49" t="s">
        <v>40</v>
      </c>
      <c r="D32" s="49" t="s">
        <v>40</v>
      </c>
      <c r="E32" s="49" t="s">
        <v>40</v>
      </c>
      <c r="F32" s="49" t="s">
        <v>40</v>
      </c>
      <c r="G32" s="49" t="s">
        <v>40</v>
      </c>
      <c r="H32" s="49" t="s">
        <v>40</v>
      </c>
      <c r="I32" s="72">
        <f>I31/I30</f>
        <v>0.9884146246030365</v>
      </c>
      <c r="J32" s="20"/>
    </row>
    <row r="33">
      <c r="A33" s="9"/>
      <c r="B33" s="9"/>
      <c r="C33" s="9"/>
      <c r="D33" s="9"/>
      <c r="E33" s="9"/>
      <c r="F33" s="9"/>
      <c r="G33" s="9"/>
      <c r="H33" s="9"/>
      <c r="I33" s="9"/>
      <c r="J33" s="20"/>
    </row>
    <row r="34">
      <c r="A34" s="9"/>
      <c r="B34" s="9"/>
      <c r="C34" s="9"/>
      <c r="D34" s="9"/>
      <c r="E34" s="9"/>
      <c r="F34" s="9"/>
      <c r="G34" s="9"/>
      <c r="H34" s="9"/>
      <c r="I34" s="9"/>
      <c r="J34" s="20"/>
    </row>
    <row r="35">
      <c r="A35" s="9"/>
      <c r="B35" s="9"/>
      <c r="C35" s="9"/>
      <c r="D35" s="9"/>
      <c r="E35" s="9"/>
      <c r="F35" s="9"/>
      <c r="G35" s="9"/>
      <c r="H35" s="9"/>
      <c r="I35" s="9"/>
      <c r="J35" s="20"/>
    </row>
    <row r="36">
      <c r="A36" s="9"/>
      <c r="B36" s="9"/>
      <c r="C36" s="9"/>
      <c r="D36" s="9"/>
      <c r="E36" s="9"/>
      <c r="F36" s="9"/>
      <c r="G36" s="9"/>
      <c r="H36" s="9"/>
      <c r="I36" s="9"/>
      <c r="J36" s="9"/>
    </row>
    <row r="37">
      <c r="A37" s="9"/>
      <c r="B37" s="9"/>
      <c r="C37" s="9"/>
      <c r="D37" s="9"/>
      <c r="E37" s="9"/>
      <c r="F37" s="9"/>
      <c r="G37" s="9"/>
      <c r="H37" s="9"/>
      <c r="I37" s="9"/>
      <c r="J37" s="9"/>
    </row>
    <row r="38">
      <c r="A38" s="9"/>
      <c r="B38" s="9"/>
      <c r="C38" s="9"/>
      <c r="D38" s="9"/>
      <c r="E38" s="9"/>
      <c r="F38" s="9"/>
      <c r="G38" s="9"/>
      <c r="H38" s="9"/>
      <c r="I38" s="9"/>
      <c r="J38" s="9"/>
    </row>
    <row r="39">
      <c r="A39" s="9"/>
      <c r="B39" s="9"/>
      <c r="C39" s="9"/>
      <c r="D39" s="9"/>
      <c r="E39" s="9"/>
      <c r="F39" s="9"/>
      <c r="G39" s="9"/>
      <c r="H39" s="9"/>
      <c r="I39" s="9"/>
      <c r="J39" s="9"/>
    </row>
    <row r="40">
      <c r="A40" s="9"/>
      <c r="B40" s="9"/>
      <c r="C40" s="9"/>
      <c r="D40" s="9"/>
      <c r="E40" s="9"/>
      <c r="F40" s="9"/>
      <c r="G40" s="9"/>
      <c r="H40" s="9"/>
      <c r="I40" s="9"/>
      <c r="J40" s="9"/>
    </row>
    <row r="41">
      <c r="A41" s="9"/>
      <c r="B41" s="9"/>
      <c r="C41" s="9"/>
      <c r="D41" s="9"/>
      <c r="E41" s="9"/>
      <c r="F41" s="9"/>
      <c r="G41" s="9"/>
      <c r="H41" s="9"/>
      <c r="I41" s="9"/>
      <c r="J41" s="9"/>
    </row>
    <row r="42">
      <c r="A42" s="9"/>
      <c r="B42" s="9"/>
      <c r="C42" s="9"/>
      <c r="D42" s="9"/>
      <c r="E42" s="9"/>
      <c r="F42" s="9"/>
      <c r="G42" s="9"/>
      <c r="H42" s="9"/>
      <c r="I42" s="9"/>
      <c r="J42" s="9"/>
    </row>
    <row r="43">
      <c r="A43" s="9"/>
      <c r="B43" s="9"/>
      <c r="C43" s="9"/>
      <c r="D43" s="9"/>
      <c r="E43" s="9"/>
      <c r="F43" s="9"/>
      <c r="G43" s="9"/>
      <c r="H43" s="9"/>
      <c r="I43" s="9"/>
      <c r="J43" s="9"/>
    </row>
    <row r="44">
      <c r="A44" s="9"/>
      <c r="B44" s="9"/>
      <c r="C44" s="9"/>
      <c r="D44" s="9"/>
      <c r="E44" s="9"/>
      <c r="F44" s="9"/>
      <c r="G44" s="9"/>
      <c r="H44" s="9"/>
      <c r="I44" s="9"/>
      <c r="J44" s="9"/>
    </row>
    <row r="45">
      <c r="A45" s="9"/>
      <c r="B45" s="9"/>
      <c r="C45" s="9"/>
      <c r="D45" s="9"/>
      <c r="E45" s="9"/>
      <c r="F45" s="9"/>
      <c r="G45" s="9"/>
      <c r="H45" s="9"/>
      <c r="I45" s="9"/>
      <c r="J45" s="9"/>
    </row>
  </sheetData>
</worksheet>
</file>

<file path=xl/worksheets/sheet13.xml><?xml version="1.0" encoding="utf-8"?>
<worksheet xmlns="http://schemas.openxmlformats.org/spreadsheetml/2006/main" xmlns:r="http://schemas.openxmlformats.org/officeDocument/2006/relationships">
  <dimension ref="A1:J31"/>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754</v>
      </c>
      <c r="B2" s="9"/>
      <c r="C2" s="9"/>
      <c r="D2" s="9"/>
      <c r="E2" s="9"/>
      <c r="F2" s="9"/>
      <c r="G2" s="9"/>
      <c r="H2" s="9"/>
      <c r="I2" s="9"/>
      <c r="J2" s="9"/>
    </row>
    <row r="3">
      <c r="A3" s="23" t="s">
        <v>2</v>
      </c>
      <c r="B3" s="9"/>
      <c r="C3" s="9"/>
      <c r="D3" s="9"/>
      <c r="E3" s="9"/>
      <c r="F3" s="9"/>
      <c r="G3" s="9"/>
      <c r="H3" s="9"/>
      <c r="I3" s="9"/>
      <c r="J3" s="9"/>
    </row>
    <row r="4">
      <c r="A4" s="37" t="s">
        <v>755</v>
      </c>
      <c r="B4" s="17"/>
      <c r="C4" s="17"/>
      <c r="D4" s="17"/>
      <c r="E4" s="17"/>
      <c r="F4" s="17"/>
      <c r="G4" s="17"/>
      <c r="H4" s="17"/>
      <c r="I4" s="17"/>
      <c r="J4" s="37" t="s">
        <v>61</v>
      </c>
    </row>
    <row r="5">
      <c r="A5" s="24" t="s">
        <v>756</v>
      </c>
      <c r="B5" s="10"/>
      <c r="C5" s="10"/>
      <c r="D5" s="10"/>
      <c r="E5" s="10"/>
      <c r="F5" s="10"/>
      <c r="G5" s="10"/>
      <c r="H5" s="10"/>
      <c r="I5" s="10"/>
      <c r="J5" s="24"/>
    </row>
    <row r="6">
      <c r="A6" s="28" t="s">
        <v>757</v>
      </c>
      <c r="B6" s="21"/>
      <c r="C6" s="21"/>
      <c r="D6" s="21"/>
      <c r="E6" s="21"/>
      <c r="F6" s="21"/>
      <c r="G6" s="21"/>
      <c r="H6" s="21"/>
      <c r="I6" s="21"/>
      <c r="J6" s="28"/>
    </row>
    <row r="7">
      <c r="A7" s="9"/>
      <c r="B7" s="9"/>
      <c r="C7" s="9"/>
      <c r="D7" s="9"/>
      <c r="E7" s="9"/>
      <c r="F7" s="9"/>
      <c r="G7" s="9"/>
      <c r="H7" s="9"/>
      <c r="I7" s="9"/>
      <c r="J7" s="9"/>
    </row>
    <row r="8">
      <c r="A8" s="35" t="s">
        <v>758</v>
      </c>
      <c r="B8" s="12" t="s">
        <v>759</v>
      </c>
      <c r="C8" s="12" t="s">
        <v>3</v>
      </c>
      <c r="D8" s="12" t="s">
        <v>760</v>
      </c>
      <c r="E8" s="12" t="s">
        <v>761</v>
      </c>
      <c r="F8" s="12" t="s">
        <v>762</v>
      </c>
      <c r="G8" s="105" t="s">
        <v>763</v>
      </c>
      <c r="H8" s="12" t="s">
        <v>764</v>
      </c>
      <c r="I8" s="12"/>
      <c r="J8" s="20" t="s">
        <v>765</v>
      </c>
    </row>
    <row r="9">
      <c r="A9" s="9" t="s">
        <v>766</v>
      </c>
      <c r="B9" s="13" t="s">
        <v>40</v>
      </c>
      <c r="C9" s="13" t="s">
        <v>767</v>
      </c>
      <c r="D9" s="13" t="s">
        <v>768</v>
      </c>
      <c r="E9" s="13" t="s">
        <v>768</v>
      </c>
      <c r="F9" s="13" t="s">
        <v>768</v>
      </c>
      <c r="G9" s="27">
        <f>'Income Statement'!I9</f>
        <v>29356.516542580845</v>
      </c>
      <c r="H9" s="13" t="s">
        <v>40</v>
      </c>
      <c r="I9" s="25"/>
      <c r="J9" s="20" t="s">
        <v>769</v>
      </c>
    </row>
    <row r="10">
      <c r="A10" s="9" t="s">
        <v>770</v>
      </c>
      <c r="B10" s="13" t="s">
        <v>40</v>
      </c>
      <c r="C10" s="13" t="s">
        <v>767</v>
      </c>
      <c r="D10" s="13" t="s">
        <v>768</v>
      </c>
      <c r="E10" s="13" t="s">
        <v>768</v>
      </c>
      <c r="F10" s="13" t="s">
        <v>768</v>
      </c>
      <c r="G10" s="27">
        <f>'Income Statement'!I129</f>
        <v>3517.866490424667</v>
      </c>
      <c r="H10" s="13" t="s">
        <v>40</v>
      </c>
      <c r="I10" s="25"/>
      <c r="J10" s="20" t="s">
        <v>771</v>
      </c>
    </row>
    <row r="11">
      <c r="A11" s="9" t="s">
        <v>772</v>
      </c>
      <c r="B11" s="15" t="s">
        <v>40</v>
      </c>
      <c r="C11" s="15" t="s">
        <v>767</v>
      </c>
      <c r="D11" s="15" t="s">
        <v>768</v>
      </c>
      <c r="E11" s="15" t="s">
        <v>768</v>
      </c>
      <c r="F11" s="15" t="s">
        <v>768</v>
      </c>
      <c r="G11" s="54">
        <f>'Income Statement'!I133</f>
        <v>0.9884146246030365</v>
      </c>
      <c r="H11" s="15" t="s">
        <v>40</v>
      </c>
      <c r="I11" s="22"/>
      <c r="J11" s="20" t="s">
        <v>773</v>
      </c>
    </row>
    <row r="12">
      <c r="A12" s="23" t="s">
        <v>774</v>
      </c>
      <c r="B12" s="18" t="s">
        <v>775</v>
      </c>
      <c r="C12" s="18" t="s">
        <v>767</v>
      </c>
      <c r="D12" s="18" t="s">
        <v>776</v>
      </c>
      <c r="E12" s="18" t="s">
        <v>776</v>
      </c>
      <c r="F12" s="18" t="s">
        <v>40</v>
      </c>
      <c r="G12" s="11">
        <f>'Income Statement'!I151</f>
        <v>-0.05137854464841951</v>
      </c>
      <c r="H12" s="18" t="s">
        <v>777</v>
      </c>
      <c r="I12" s="19"/>
      <c r="J12" s="20" t="s">
        <v>778</v>
      </c>
    </row>
    <row r="13">
      <c r="A13" s="23" t="s">
        <v>779</v>
      </c>
      <c r="B13" s="18" t="s">
        <v>775</v>
      </c>
      <c r="C13" s="18" t="s">
        <v>767</v>
      </c>
      <c r="D13" s="18" t="s">
        <v>776</v>
      </c>
      <c r="E13" s="18" t="s">
        <v>776</v>
      </c>
      <c r="F13" s="18" t="s">
        <v>40</v>
      </c>
      <c r="G13" s="11">
        <f>'Segment - Residential C&amp;P'!I96</f>
        <v>-0.034</v>
      </c>
      <c r="H13" s="18" t="s">
        <v>777</v>
      </c>
      <c r="I13" s="19"/>
      <c r="J13" s="20" t="s">
        <v>780</v>
      </c>
    </row>
    <row r="14">
      <c r="A14" s="9" t="s">
        <v>781</v>
      </c>
      <c r="B14" s="13" t="s">
        <v>782</v>
      </c>
      <c r="C14" s="13" t="s">
        <v>767</v>
      </c>
      <c r="D14" s="13" t="s">
        <v>776</v>
      </c>
      <c r="E14" s="13" t="s">
        <v>776</v>
      </c>
      <c r="F14" s="13" t="s">
        <v>40</v>
      </c>
      <c r="G14" s="27">
        <f>'Segment - Residential C&amp;P'!I52</f>
        <v>-135</v>
      </c>
      <c r="H14" s="13" t="s">
        <v>777</v>
      </c>
      <c r="I14" s="25"/>
      <c r="J14" s="20" t="s">
        <v>783</v>
      </c>
    </row>
    <row r="15">
      <c r="A15" s="9" t="s">
        <v>784</v>
      </c>
      <c r="B15" s="16" t="s">
        <v>782</v>
      </c>
      <c r="C15" s="16" t="s">
        <v>785</v>
      </c>
      <c r="D15" s="16" t="s">
        <v>776</v>
      </c>
      <c r="E15" s="16" t="s">
        <v>776</v>
      </c>
      <c r="F15" s="16" t="s">
        <v>40</v>
      </c>
      <c r="G15" s="32" t="s">
        <v>40</v>
      </c>
      <c r="H15" s="16" t="s">
        <v>777</v>
      </c>
      <c r="I15" s="14"/>
      <c r="J15" s="20" t="s">
        <v>786</v>
      </c>
    </row>
    <row r="16">
      <c r="A16" s="9" t="s">
        <v>787</v>
      </c>
      <c r="B16" s="13" t="s">
        <v>788</v>
      </c>
      <c r="C16" s="13" t="s">
        <v>789</v>
      </c>
      <c r="D16" s="13" t="s">
        <v>776</v>
      </c>
      <c r="E16" s="13" t="s">
        <v>776</v>
      </c>
      <c r="F16" s="13" t="s">
        <v>40</v>
      </c>
      <c r="G16" s="27">
        <f>'Segment - Media'!H54</f>
        <v>189</v>
      </c>
      <c r="H16" s="13" t="s">
        <v>790</v>
      </c>
      <c r="I16" s="25"/>
      <c r="J16" s="20" t="s">
        <v>791</v>
      </c>
    </row>
    <row r="17">
      <c r="A17" s="9" t="s">
        <v>792</v>
      </c>
      <c r="B17" s="13" t="s">
        <v>775</v>
      </c>
      <c r="C17" s="13" t="s">
        <v>793</v>
      </c>
      <c r="D17" s="13" t="s">
        <v>776</v>
      </c>
      <c r="E17" s="13" t="s">
        <v>776</v>
      </c>
      <c r="F17" s="13" t="s">
        <v>40</v>
      </c>
      <c r="G17" s="27">
        <f>'Share Count'!I22</f>
        <v>0</v>
      </c>
      <c r="H17" s="13" t="s">
        <v>794</v>
      </c>
      <c r="I17" s="25"/>
      <c r="J17" s="20" t="s">
        <v>795</v>
      </c>
    </row>
    <row r="18">
      <c r="A18" s="23" t="s">
        <v>796</v>
      </c>
      <c r="B18" s="18" t="s">
        <v>775</v>
      </c>
      <c r="C18" s="18" t="s">
        <v>767</v>
      </c>
      <c r="D18" s="18" t="s">
        <v>776</v>
      </c>
      <c r="E18" s="18" t="s">
        <v>776</v>
      </c>
      <c r="F18" s="18" t="s">
        <v>40</v>
      </c>
      <c r="G18" s="11">
        <f>'Segment - Theme Parks'!I18</f>
        <v>-0.055159999999999876</v>
      </c>
      <c r="H18" s="18" t="s">
        <v>777</v>
      </c>
      <c r="I18" s="19"/>
      <c r="J18" s="20" t="s">
        <v>797</v>
      </c>
    </row>
    <row r="19">
      <c r="A19" s="9"/>
      <c r="B19" s="9"/>
      <c r="C19" s="9"/>
      <c r="D19" s="9"/>
      <c r="E19" s="9"/>
      <c r="F19" s="9"/>
      <c r="G19" s="9"/>
      <c r="H19" s="9"/>
      <c r="I19" s="9"/>
      <c r="J19" s="20"/>
    </row>
    <row r="20">
      <c r="A20" s="9"/>
      <c r="B20" s="9"/>
      <c r="C20" s="9"/>
      <c r="D20" s="9"/>
      <c r="E20" s="9"/>
      <c r="F20" s="9"/>
      <c r="G20" s="9"/>
      <c r="H20" s="9"/>
      <c r="I20" s="9"/>
      <c r="J20" s="20"/>
    </row>
    <row r="21">
      <c r="A21" s="9"/>
      <c r="B21" s="9"/>
      <c r="C21" s="9"/>
      <c r="D21" s="9"/>
      <c r="E21" s="9"/>
      <c r="F21" s="9"/>
      <c r="G21" s="9"/>
      <c r="H21" s="9"/>
      <c r="I21" s="9"/>
      <c r="J21" s="20"/>
    </row>
    <row r="22">
      <c r="A22" s="9"/>
      <c r="B22" s="9"/>
      <c r="C22" s="9"/>
      <c r="D22" s="9"/>
      <c r="E22" s="9"/>
      <c r="F22" s="9"/>
      <c r="G22" s="9"/>
      <c r="H22" s="9"/>
      <c r="I22" s="9"/>
      <c r="J22" s="9"/>
    </row>
    <row r="23">
      <c r="A23" s="9"/>
      <c r="B23" s="9"/>
      <c r="C23" s="9"/>
      <c r="D23" s="9"/>
      <c r="E23" s="9"/>
      <c r="F23" s="9"/>
      <c r="G23" s="9"/>
      <c r="H23" s="9"/>
      <c r="I23" s="9"/>
      <c r="J23" s="9"/>
    </row>
    <row r="24">
      <c r="A24" s="9"/>
      <c r="B24" s="9"/>
      <c r="C24" s="9"/>
      <c r="D24" s="9"/>
      <c r="E24" s="9"/>
      <c r="F24" s="9"/>
      <c r="G24" s="9"/>
      <c r="H24" s="9"/>
      <c r="I24" s="9"/>
      <c r="J24" s="9"/>
    </row>
    <row r="25">
      <c r="A25" s="9"/>
      <c r="B25" s="9"/>
      <c r="C25" s="9"/>
      <c r="D25" s="9"/>
      <c r="E25" s="9"/>
      <c r="F25" s="9"/>
      <c r="G25" s="9"/>
      <c r="H25" s="9"/>
      <c r="I25" s="9"/>
      <c r="J25" s="9"/>
    </row>
    <row r="26">
      <c r="A26" s="9"/>
      <c r="B26" s="9"/>
      <c r="C26" s="9"/>
      <c r="D26" s="9"/>
      <c r="E26" s="9"/>
      <c r="F26" s="9"/>
      <c r="G26" s="9"/>
      <c r="H26" s="9"/>
      <c r="I26" s="9"/>
      <c r="J26" s="9"/>
    </row>
    <row r="27">
      <c r="A27" s="9"/>
      <c r="B27" s="9"/>
      <c r="C27" s="9"/>
      <c r="D27" s="9"/>
      <c r="E27" s="9"/>
      <c r="F27" s="9"/>
      <c r="G27" s="9"/>
      <c r="H27" s="9"/>
      <c r="I27" s="9"/>
      <c r="J27" s="9"/>
    </row>
    <row r="28">
      <c r="A28" s="9"/>
      <c r="B28" s="9"/>
      <c r="C28" s="9"/>
      <c r="D28" s="9"/>
      <c r="E28" s="9"/>
      <c r="F28" s="9"/>
      <c r="G28" s="9"/>
      <c r="H28" s="9"/>
      <c r="I28" s="9"/>
      <c r="J28" s="9"/>
    </row>
    <row r="29">
      <c r="A29" s="9"/>
      <c r="B29" s="9"/>
      <c r="C29" s="9"/>
      <c r="D29" s="9"/>
      <c r="E29" s="9"/>
      <c r="F29" s="9"/>
      <c r="G29" s="9"/>
      <c r="H29" s="9"/>
      <c r="I29" s="9"/>
      <c r="J29" s="9"/>
    </row>
    <row r="30">
      <c r="A30" s="9"/>
      <c r="B30" s="9"/>
      <c r="C30" s="9"/>
      <c r="D30" s="9"/>
      <c r="E30" s="9"/>
      <c r="F30" s="9"/>
      <c r="G30" s="9"/>
      <c r="H30" s="9"/>
      <c r="I30" s="9"/>
      <c r="J30" s="9"/>
    </row>
    <row r="31">
      <c r="A31" s="9"/>
      <c r="B31" s="9"/>
      <c r="C31" s="9"/>
      <c r="D31" s="9"/>
      <c r="E31" s="9"/>
      <c r="F31" s="9"/>
      <c r="G31" s="9"/>
      <c r="H31" s="9"/>
      <c r="I31" s="9"/>
      <c r="J31" s="9"/>
    </row>
  </sheetData>
</worksheet>
</file>

<file path=xl/worksheets/sheet14.xml><?xml version="1.0" encoding="utf-8"?>
<worksheet xmlns="http://schemas.openxmlformats.org/spreadsheetml/2006/main" xmlns:r="http://schemas.openxmlformats.org/officeDocument/2006/relationships">
  <dimension ref="A1:J143"/>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798</v>
      </c>
      <c r="B2" s="9"/>
      <c r="C2" s="9"/>
      <c r="D2" s="9"/>
      <c r="E2" s="9"/>
      <c r="F2" s="9"/>
      <c r="G2" s="9"/>
      <c r="H2" s="9"/>
      <c r="I2" s="9"/>
      <c r="J2" s="9"/>
    </row>
    <row r="3">
      <c r="A3" s="23" t="s">
        <v>2</v>
      </c>
      <c r="B3" s="9"/>
      <c r="C3" s="9"/>
      <c r="D3" s="9"/>
      <c r="E3" s="9"/>
      <c r="F3" s="9"/>
      <c r="G3" s="9"/>
      <c r="H3" s="9"/>
      <c r="I3" s="9"/>
      <c r="J3" s="9"/>
    </row>
    <row r="4">
      <c r="A4" s="37" t="s">
        <v>3</v>
      </c>
      <c r="B4" s="17" t="s">
        <v>54</v>
      </c>
      <c r="C4" s="17" t="s">
        <v>55</v>
      </c>
      <c r="D4" s="17" t="s">
        <v>56</v>
      </c>
      <c r="E4" s="17" t="s">
        <v>57</v>
      </c>
      <c r="F4" s="17" t="s">
        <v>58</v>
      </c>
      <c r="G4" s="17" t="s">
        <v>59</v>
      </c>
      <c r="H4" s="17" t="s">
        <v>60</v>
      </c>
      <c r="I4" s="62" t="s">
        <v>4</v>
      </c>
      <c r="J4" s="37" t="s">
        <v>61</v>
      </c>
    </row>
    <row r="5">
      <c r="A5" s="24" t="s">
        <v>5</v>
      </c>
      <c r="B5" s="10">
        <f>DATE(2025,3,31)</f>
        <v>45747</v>
      </c>
      <c r="C5" s="10">
        <f>DATE(2025,6,30)</f>
        <v>45838</v>
      </c>
      <c r="D5" s="10">
        <f>DATE(2025,9,30)</f>
        <v>45930</v>
      </c>
      <c r="E5" s="10">
        <f>DATE(2025,12,31)</f>
        <v>46022</v>
      </c>
      <c r="F5" s="10">
        <f>DATE(2025,12,31)</f>
        <v>46022</v>
      </c>
      <c r="G5" s="10">
        <f>DATE(2026,3,31)</f>
        <v>46112</v>
      </c>
      <c r="H5" s="10">
        <f>DATE(2026,6,30)</f>
        <v>46203</v>
      </c>
      <c r="I5" s="55">
        <f>DATE(2026,9,30)</f>
        <v>46295</v>
      </c>
      <c r="J5" s="24"/>
    </row>
    <row r="6">
      <c r="A6" s="28" t="s">
        <v>6</v>
      </c>
      <c r="B6" s="21">
        <f>B5-DATE(2024,12,31)</f>
        <v>90</v>
      </c>
      <c r="C6" s="21">
        <f>C5-B5</f>
        <v>91</v>
      </c>
      <c r="D6" s="21">
        <f>D5-C5</f>
        <v>92</v>
      </c>
      <c r="E6" s="21">
        <f>E5-D5</f>
        <v>92</v>
      </c>
      <c r="F6" s="21">
        <f>F5-DATE(2024,12,31)</f>
        <v>365</v>
      </c>
      <c r="G6" s="21">
        <f>G5-E5</f>
        <v>90</v>
      </c>
      <c r="H6" s="21">
        <f>H5-G5</f>
        <v>91</v>
      </c>
      <c r="I6" s="60">
        <f>I5-H5</f>
        <v>92</v>
      </c>
      <c r="J6" s="28"/>
    </row>
    <row r="7">
      <c r="A7" s="9"/>
      <c r="B7" s="9"/>
      <c r="C7" s="9"/>
      <c r="D7" s="9"/>
      <c r="E7" s="9"/>
      <c r="F7" s="9"/>
      <c r="G7" s="9"/>
      <c r="H7" s="9"/>
      <c r="I7" s="69"/>
      <c r="J7" s="9"/>
    </row>
    <row r="8">
      <c r="A8" s="35" t="s">
        <v>799</v>
      </c>
      <c r="B8" s="33"/>
      <c r="C8" s="33"/>
      <c r="D8" s="33"/>
      <c r="E8" s="33"/>
      <c r="F8" s="33"/>
      <c r="G8" s="33"/>
      <c r="H8" s="33"/>
      <c r="I8" s="53"/>
      <c r="J8" s="20"/>
    </row>
    <row r="9">
      <c r="A9" s="9" t="s">
        <v>800</v>
      </c>
      <c r="B9" s="32" t="s">
        <v>801</v>
      </c>
      <c r="C9" s="32" t="s">
        <v>802</v>
      </c>
      <c r="D9" s="32" t="s">
        <v>803</v>
      </c>
      <c r="E9" s="32" t="s">
        <v>804</v>
      </c>
      <c r="F9" s="30"/>
      <c r="G9" s="32" t="s">
        <v>805</v>
      </c>
      <c r="H9" s="32" t="s">
        <v>806</v>
      </c>
      <c r="I9" s="86" t="str">
        <f>B70</f>
        <v>2026-09-30</v>
      </c>
      <c r="J9" s="20"/>
    </row>
    <row r="10">
      <c r="A10" s="9" t="s">
        <v>807</v>
      </c>
      <c r="B10" s="32" t="s">
        <v>808</v>
      </c>
      <c r="C10" s="32" t="s">
        <v>809</v>
      </c>
      <c r="D10" s="32" t="s">
        <v>810</v>
      </c>
      <c r="E10" s="32" t="s">
        <v>811</v>
      </c>
      <c r="F10" s="30"/>
      <c r="G10" s="32" t="s">
        <v>788</v>
      </c>
      <c r="H10" s="32" t="s">
        <v>775</v>
      </c>
      <c r="I10" s="86" t="str">
        <f>B71</f>
        <v>2026-10-29</v>
      </c>
      <c r="J10" s="20"/>
    </row>
    <row r="11">
      <c r="A11" s="9" t="s">
        <v>812</v>
      </c>
      <c r="B11" s="70">
        <v>0.99</v>
      </c>
      <c r="C11" s="70">
        <v>1.18</v>
      </c>
      <c r="D11" s="70">
        <v>1.1</v>
      </c>
      <c r="E11" s="70">
        <v>0.76</v>
      </c>
      <c r="F11" s="49"/>
      <c r="G11" s="70">
        <v>0.73</v>
      </c>
      <c r="H11" s="70">
        <v>0.97</v>
      </c>
      <c r="I11" s="72">
        <f>B76</f>
        <v>0.99</v>
      </c>
      <c r="J11" s="20" t="s">
        <v>813</v>
      </c>
    </row>
    <row r="12">
      <c r="A12" s="9" t="s">
        <v>814</v>
      </c>
      <c r="B12" s="70">
        <v>1.09</v>
      </c>
      <c r="C12" s="70">
        <v>1.25</v>
      </c>
      <c r="D12" s="70">
        <v>1.12</v>
      </c>
      <c r="E12" s="70">
        <v>0.84</v>
      </c>
      <c r="F12" s="49"/>
      <c r="G12" s="70">
        <v>0.79</v>
      </c>
      <c r="H12" s="70">
        <v>1.04</v>
      </c>
      <c r="I12" s="72"/>
      <c r="J12" s="20" t="s">
        <v>813</v>
      </c>
    </row>
    <row r="13">
      <c r="A13" s="9" t="s">
        <v>815</v>
      </c>
      <c r="B13" s="70">
        <v>0.88</v>
      </c>
      <c r="C13" s="70">
        <v>1.05</v>
      </c>
      <c r="D13" s="70">
        <v>0.97</v>
      </c>
      <c r="E13" s="70">
        <v>0.62</v>
      </c>
      <c r="F13" s="49"/>
      <c r="G13" s="70">
        <v>0.59</v>
      </c>
      <c r="H13" s="70">
        <v>0.85</v>
      </c>
      <c r="I13" s="72">
        <f>B85</f>
        <v>0.88</v>
      </c>
      <c r="J13" s="20" t="s">
        <v>813</v>
      </c>
    </row>
    <row r="14">
      <c r="A14" s="9" t="s">
        <v>816</v>
      </c>
      <c r="B14" s="70">
        <v>0.89</v>
      </c>
      <c r="C14" s="70">
        <v>2.98</v>
      </c>
      <c r="D14" s="70">
        <v>0.9</v>
      </c>
      <c r="E14" s="70">
        <v>0.6</v>
      </c>
      <c r="F14" s="49"/>
      <c r="G14" s="70">
        <v>0.6</v>
      </c>
      <c r="H14" s="70">
        <v>0.99</v>
      </c>
      <c r="I14" s="72"/>
      <c r="J14" s="20" t="s">
        <v>813</v>
      </c>
    </row>
    <row r="15">
      <c r="A15" s="9" t="s">
        <v>817</v>
      </c>
      <c r="B15" s="39">
        <v>29760.2</v>
      </c>
      <c r="C15" s="39">
        <v>29802.95</v>
      </c>
      <c r="D15" s="39">
        <v>30681.88</v>
      </c>
      <c r="E15" s="39">
        <v>32336.71</v>
      </c>
      <c r="F15" s="40"/>
      <c r="G15" s="39">
        <v>30353.74</v>
      </c>
      <c r="H15" s="39">
        <v>29258.76</v>
      </c>
      <c r="I15" s="41">
        <f>B94</f>
        <v>29208.04</v>
      </c>
      <c r="J15" s="20" t="s">
        <v>813</v>
      </c>
    </row>
    <row r="16">
      <c r="A16" s="9" t="s">
        <v>818</v>
      </c>
      <c r="B16" s="39">
        <v>29887</v>
      </c>
      <c r="C16" s="39">
        <v>30313</v>
      </c>
      <c r="D16" s="39">
        <v>31198</v>
      </c>
      <c r="E16" s="39">
        <v>32310</v>
      </c>
      <c r="F16" s="40"/>
      <c r="G16" s="39">
        <v>31457</v>
      </c>
      <c r="H16" s="39">
        <v>29940</v>
      </c>
      <c r="I16" s="41"/>
      <c r="J16" s="20" t="s">
        <v>813</v>
      </c>
    </row>
    <row r="17">
      <c r="A17" s="9" t="s">
        <v>819</v>
      </c>
      <c r="B17" s="49">
        <f>B12-B11</f>
        <v>0.10000000000000009</v>
      </c>
      <c r="C17" s="49">
        <f>C12-C11</f>
        <v>0.07000000000000006</v>
      </c>
      <c r="D17" s="49">
        <f>D12-D11</f>
        <v>0.020000000000000018</v>
      </c>
      <c r="E17" s="49">
        <f>E12-E11</f>
        <v>0.07999999999999996</v>
      </c>
      <c r="F17" s="49" t="s">
        <v>40</v>
      </c>
      <c r="G17" s="49">
        <f>G12-G11</f>
        <v>0.06000000000000005</v>
      </c>
      <c r="H17" s="49">
        <f>H12-H11</f>
        <v>0.07000000000000006</v>
      </c>
      <c r="I17" s="72" t="s">
        <v>40</v>
      </c>
      <c r="J17" s="20" t="s">
        <v>820</v>
      </c>
    </row>
    <row r="18">
      <c r="A18" s="9" t="s">
        <v>821</v>
      </c>
      <c r="B18" s="36">
        <f>IF(B12&gt;B11,1,0)</f>
        <v>1</v>
      </c>
      <c r="C18" s="36">
        <f>IF(C12&gt;C11,1,0)</f>
        <v>1</v>
      </c>
      <c r="D18" s="36">
        <f>IF(D12&gt;D11,1,0)</f>
        <v>1</v>
      </c>
      <c r="E18" s="36">
        <f>IF(E12&gt;E11,1,0)</f>
        <v>1</v>
      </c>
      <c r="F18" s="36" t="s">
        <v>40</v>
      </c>
      <c r="G18" s="36">
        <f>IF(G12&gt;G11,1,0)</f>
        <v>1</v>
      </c>
      <c r="H18" s="36">
        <f>IF(H12&gt;H11,1,0)</f>
        <v>1</v>
      </c>
      <c r="I18" s="87" t="s">
        <v>40</v>
      </c>
      <c r="J18" s="20"/>
    </row>
    <row r="19">
      <c r="A19" s="23" t="s">
        <v>822</v>
      </c>
      <c r="B19" s="29">
        <f>B16/B15-1</f>
        <v>0.004260724054273801</v>
      </c>
      <c r="C19" s="29">
        <f>C16/C15-1</f>
        <v>0.017114077633254343</v>
      </c>
      <c r="D19" s="29">
        <f>D16/D15-1</f>
        <v>0.016821654996369118</v>
      </c>
      <c r="E19" s="29">
        <f>E16/E15-1</f>
        <v>-0.0008259962129727461</v>
      </c>
      <c r="F19" s="29" t="s">
        <v>40</v>
      </c>
      <c r="G19" s="29">
        <f>G16/G15-1</f>
        <v>0.036346756610552644</v>
      </c>
      <c r="H19" s="29">
        <f>H16/H15-1</f>
        <v>0.023283283365392204</v>
      </c>
      <c r="I19" s="50" t="s">
        <v>40</v>
      </c>
      <c r="J19" s="20"/>
    </row>
    <row r="20">
      <c r="A20" s="9"/>
      <c r="B20" s="9"/>
      <c r="C20" s="9"/>
      <c r="D20" s="9"/>
      <c r="E20" s="9"/>
      <c r="F20" s="9"/>
      <c r="G20" s="9"/>
      <c r="H20" s="9"/>
      <c r="I20" s="69"/>
      <c r="J20" s="20"/>
    </row>
    <row r="21">
      <c r="A21" s="35" t="s">
        <v>823</v>
      </c>
      <c r="B21" s="115" t="s">
        <v>824</v>
      </c>
      <c r="C21" s="33"/>
      <c r="D21" s="33"/>
      <c r="E21" s="33"/>
      <c r="F21" s="33"/>
      <c r="G21" s="33"/>
      <c r="H21" s="33"/>
      <c r="I21" s="53"/>
      <c r="J21" s="20" t="s">
        <v>825</v>
      </c>
    </row>
    <row r="22">
      <c r="A22" s="9" t="s">
        <v>826</v>
      </c>
      <c r="B22" s="39">
        <v>77720</v>
      </c>
      <c r="C22" s="40"/>
      <c r="D22" s="40"/>
      <c r="E22" s="40"/>
      <c r="F22" s="40"/>
      <c r="G22" s="40"/>
      <c r="H22" s="40"/>
      <c r="I22" s="41"/>
      <c r="J22" s="20" t="s">
        <v>827</v>
      </c>
    </row>
    <row r="23">
      <c r="A23" s="9" t="s">
        <v>828</v>
      </c>
      <c r="B23" s="89">
        <v>1</v>
      </c>
      <c r="C23" s="36"/>
      <c r="D23" s="36"/>
      <c r="E23" s="36"/>
      <c r="F23" s="36"/>
      <c r="G23" s="36"/>
      <c r="H23" s="36"/>
      <c r="I23" s="87"/>
      <c r="J23" s="20" t="s">
        <v>829</v>
      </c>
    </row>
    <row r="24">
      <c r="A24" s="9" t="s">
        <v>830</v>
      </c>
      <c r="B24" s="39">
        <v>10000</v>
      </c>
      <c r="C24" s="40"/>
      <c r="D24" s="40"/>
      <c r="E24" s="40"/>
      <c r="F24" s="40"/>
      <c r="G24" s="40"/>
      <c r="H24" s="40"/>
      <c r="I24" s="41"/>
      <c r="J24" s="20" t="s">
        <v>813</v>
      </c>
    </row>
    <row r="25">
      <c r="A25" s="9" t="s">
        <v>831</v>
      </c>
      <c r="B25" s="39">
        <v>2000</v>
      </c>
      <c r="C25" s="40"/>
      <c r="D25" s="40"/>
      <c r="E25" s="40"/>
      <c r="F25" s="40"/>
      <c r="G25" s="40"/>
      <c r="H25" s="40"/>
      <c r="I25" s="41"/>
      <c r="J25" s="20" t="s">
        <v>813</v>
      </c>
    </row>
    <row r="26">
      <c r="A26" s="23" t="s">
        <v>832</v>
      </c>
      <c r="B26" s="65">
        <v>0.78</v>
      </c>
      <c r="C26" s="29"/>
      <c r="D26" s="29"/>
      <c r="E26" s="29"/>
      <c r="F26" s="29"/>
      <c r="G26" s="29"/>
      <c r="H26" s="29"/>
      <c r="I26" s="50"/>
      <c r="J26" s="20" t="s">
        <v>813</v>
      </c>
    </row>
    <row r="27">
      <c r="A27" s="23" t="s">
        <v>833</v>
      </c>
      <c r="B27" s="65">
        <v>0.7</v>
      </c>
      <c r="C27" s="29"/>
      <c r="D27" s="29"/>
      <c r="E27" s="29"/>
      <c r="F27" s="29"/>
      <c r="G27" s="29"/>
      <c r="H27" s="29"/>
      <c r="I27" s="50"/>
      <c r="J27" s="20" t="s">
        <v>813</v>
      </c>
    </row>
    <row r="28">
      <c r="A28" s="23" t="s">
        <v>834</v>
      </c>
      <c r="B28" s="65">
        <v>0.6</v>
      </c>
      <c r="C28" s="29"/>
      <c r="D28" s="29"/>
      <c r="E28" s="29"/>
      <c r="F28" s="29"/>
      <c r="G28" s="29"/>
      <c r="H28" s="29"/>
      <c r="I28" s="50"/>
      <c r="J28" s="20" t="s">
        <v>813</v>
      </c>
    </row>
    <row r="29">
      <c r="A29" s="9" t="s">
        <v>835</v>
      </c>
      <c r="B29" s="30" t="str">
        <f>IF(B22&gt;B24,"Large",IF(B22&gt;=B25,"Mid","Small"))</f>
        <v>Large</v>
      </c>
      <c r="C29" s="30"/>
      <c r="D29" s="30"/>
      <c r="E29" s="30"/>
      <c r="F29" s="30"/>
      <c r="G29" s="30"/>
      <c r="H29" s="30"/>
      <c r="I29" s="86"/>
      <c r="J29" s="20"/>
    </row>
    <row r="30">
      <c r="A30" s="23" t="s">
        <v>836</v>
      </c>
      <c r="B30" s="29">
        <f>IF(OR(B29="Large",B23=1),B26,IF(B29="Mid",B27,B28))</f>
        <v>0.78</v>
      </c>
      <c r="C30" s="29"/>
      <c r="D30" s="29"/>
      <c r="E30" s="29"/>
      <c r="F30" s="29"/>
      <c r="G30" s="29"/>
      <c r="H30" s="29"/>
      <c r="I30" s="50"/>
      <c r="J30" s="20" t="s">
        <v>837</v>
      </c>
    </row>
    <row r="31">
      <c r="A31" s="9" t="s">
        <v>838</v>
      </c>
      <c r="B31" s="36">
        <f>SUM(B18:E18,G18:H18)</f>
        <v>6</v>
      </c>
      <c r="C31" s="36"/>
      <c r="D31" s="36"/>
      <c r="E31" s="36"/>
      <c r="F31" s="36"/>
      <c r="G31" s="36"/>
      <c r="H31" s="36"/>
      <c r="I31" s="87"/>
      <c r="J31" s="20"/>
    </row>
    <row r="32">
      <c r="A32" s="9" t="s">
        <v>839</v>
      </c>
      <c r="B32" s="36">
        <f>COUNT(B12:E12,G12:H12)</f>
        <v>6</v>
      </c>
      <c r="C32" s="36"/>
      <c r="D32" s="36"/>
      <c r="E32" s="36"/>
      <c r="F32" s="36"/>
      <c r="G32" s="36"/>
      <c r="H32" s="36"/>
      <c r="I32" s="87"/>
      <c r="J32" s="20"/>
    </row>
    <row r="33">
      <c r="A33" s="9" t="s">
        <v>840</v>
      </c>
      <c r="B33" s="89">
        <v>8</v>
      </c>
      <c r="C33" s="36"/>
      <c r="D33" s="36"/>
      <c r="E33" s="36"/>
      <c r="F33" s="36"/>
      <c r="G33" s="36"/>
      <c r="H33" s="36"/>
      <c r="I33" s="87"/>
      <c r="J33" s="20" t="s">
        <v>813</v>
      </c>
    </row>
    <row r="34" ht="26.25">
      <c r="A34" s="116" t="s">
        <v>841</v>
      </c>
      <c r="B34" s="29">
        <f>(B33*B30+B31)/(B33+B32)</f>
        <v>0.8742857142857143</v>
      </c>
      <c r="C34" s="29"/>
      <c r="D34" s="29"/>
      <c r="E34" s="29"/>
      <c r="F34" s="29"/>
      <c r="G34" s="29"/>
      <c r="H34" s="29"/>
      <c r="I34" s="50"/>
      <c r="J34" s="20"/>
    </row>
    <row r="35">
      <c r="A35" s="23" t="s">
        <v>842</v>
      </c>
      <c r="B35" s="65">
        <v>-0.254</v>
      </c>
      <c r="C35" s="29"/>
      <c r="D35" s="29"/>
      <c r="E35" s="29"/>
      <c r="F35" s="29"/>
      <c r="G35" s="29"/>
      <c r="H35" s="29"/>
      <c r="I35" s="50"/>
      <c r="J35" s="20" t="s">
        <v>843</v>
      </c>
    </row>
    <row r="36" ht="26.25">
      <c r="A36" s="114" t="s">
        <v>844</v>
      </c>
      <c r="B36" s="85">
        <f>B34+B35</f>
        <v>0.6202857142857143</v>
      </c>
      <c r="C36" s="85"/>
      <c r="D36" s="85"/>
      <c r="E36" s="85"/>
      <c r="F36" s="85"/>
      <c r="G36" s="85"/>
      <c r="H36" s="85"/>
      <c r="I36" s="88"/>
      <c r="J36" s="20" t="s">
        <v>845</v>
      </c>
    </row>
    <row r="37">
      <c r="A37" s="9" t="s">
        <v>47</v>
      </c>
      <c r="B37" s="32" t="s">
        <v>846</v>
      </c>
      <c r="C37" s="30"/>
      <c r="D37" s="30"/>
      <c r="E37" s="30"/>
      <c r="F37" s="30"/>
      <c r="G37" s="30"/>
      <c r="H37" s="30"/>
      <c r="I37" s="86"/>
      <c r="J37" s="20"/>
    </row>
    <row r="38">
      <c r="A38" s="9"/>
      <c r="B38" s="9"/>
      <c r="C38" s="9"/>
      <c r="D38" s="9"/>
      <c r="E38" s="9"/>
      <c r="F38" s="9"/>
      <c r="G38" s="9"/>
      <c r="H38" s="9"/>
      <c r="I38" s="69"/>
      <c r="J38" s="20"/>
    </row>
    <row r="39">
      <c r="A39" s="35" t="s">
        <v>847</v>
      </c>
      <c r="B39" s="115" t="s">
        <v>824</v>
      </c>
      <c r="C39" s="115" t="s">
        <v>848</v>
      </c>
      <c r="D39" s="33"/>
      <c r="E39" s="33"/>
      <c r="F39" s="33"/>
      <c r="G39" s="33"/>
      <c r="H39" s="33"/>
      <c r="I39" s="53"/>
      <c r="J39" s="20"/>
    </row>
    <row r="40">
      <c r="A40" s="9" t="s">
        <v>849</v>
      </c>
      <c r="B40" s="84">
        <v>0.98</v>
      </c>
      <c r="C40" s="84">
        <v>29210</v>
      </c>
      <c r="D40" s="83"/>
      <c r="E40" s="83"/>
      <c r="F40" s="83"/>
      <c r="G40" s="83"/>
      <c r="H40" s="83"/>
      <c r="I40" s="82"/>
      <c r="J40" s="20" t="s">
        <v>850</v>
      </c>
    </row>
    <row r="41">
      <c r="A41" s="9" t="s">
        <v>851</v>
      </c>
      <c r="B41" s="84">
        <v>0.987</v>
      </c>
      <c r="C41" s="83"/>
      <c r="D41" s="83"/>
      <c r="E41" s="83"/>
      <c r="F41" s="83"/>
      <c r="G41" s="83"/>
      <c r="H41" s="83"/>
      <c r="I41" s="82"/>
      <c r="J41" s="20" t="s">
        <v>852</v>
      </c>
    </row>
    <row r="42" ht="26.25">
      <c r="A42" s="106" t="s">
        <v>853</v>
      </c>
      <c r="B42" s="39">
        <v>-140</v>
      </c>
      <c r="C42" s="39">
        <v>-119</v>
      </c>
      <c r="D42" s="40"/>
      <c r="E42" s="40"/>
      <c r="F42" s="40"/>
      <c r="G42" s="40"/>
      <c r="H42" s="40"/>
      <c r="I42" s="41"/>
      <c r="J42" s="20" t="s">
        <v>854</v>
      </c>
    </row>
    <row r="43">
      <c r="A43" s="9"/>
      <c r="B43" s="9"/>
      <c r="C43" s="9"/>
      <c r="D43" s="9"/>
      <c r="E43" s="9"/>
      <c r="F43" s="9"/>
      <c r="G43" s="9"/>
      <c r="H43" s="9"/>
      <c r="I43" s="69"/>
      <c r="J43" s="20"/>
    </row>
    <row r="44">
      <c r="A44" s="35" t="s">
        <v>855</v>
      </c>
      <c r="B44" s="115" t="s">
        <v>824</v>
      </c>
      <c r="C44" s="33"/>
      <c r="D44" s="33"/>
      <c r="E44" s="33"/>
      <c r="F44" s="33"/>
      <c r="G44" s="33"/>
      <c r="H44" s="33"/>
      <c r="I44" s="53"/>
      <c r="J44" s="20"/>
    </row>
    <row r="45">
      <c r="A45" s="9" t="s">
        <v>856</v>
      </c>
      <c r="B45" s="103" t="s">
        <v>857</v>
      </c>
      <c r="C45" s="30"/>
      <c r="D45" s="30"/>
      <c r="E45" s="30"/>
      <c r="F45" s="30"/>
      <c r="G45" s="30"/>
      <c r="H45" s="30"/>
      <c r="I45" s="86"/>
      <c r="J45" s="20"/>
    </row>
    <row r="46">
      <c r="A46" s="9" t="s">
        <v>858</v>
      </c>
      <c r="B46" s="103" t="s">
        <v>10</v>
      </c>
      <c r="C46" s="30"/>
      <c r="D46" s="30"/>
      <c r="E46" s="30"/>
      <c r="F46" s="30"/>
      <c r="G46" s="30"/>
      <c r="H46" s="30"/>
      <c r="I46" s="86"/>
      <c r="J46" s="20"/>
    </row>
    <row r="47">
      <c r="A47" s="9" t="s">
        <v>859</v>
      </c>
      <c r="B47" s="103" t="s">
        <v>8</v>
      </c>
      <c r="C47" s="30"/>
      <c r="D47" s="30"/>
      <c r="E47" s="30"/>
      <c r="F47" s="30"/>
      <c r="G47" s="30"/>
      <c r="H47" s="30"/>
      <c r="I47" s="86"/>
      <c r="J47" s="20"/>
    </row>
    <row r="48">
      <c r="A48" s="9" t="s">
        <v>860</v>
      </c>
      <c r="B48" s="103" t="s">
        <v>861</v>
      </c>
      <c r="C48" s="30"/>
      <c r="D48" s="30"/>
      <c r="E48" s="30"/>
      <c r="F48" s="30"/>
      <c r="G48" s="30"/>
      <c r="H48" s="30"/>
      <c r="I48" s="86"/>
      <c r="J48" s="20"/>
    </row>
    <row r="49">
      <c r="A49" s="9" t="s">
        <v>800</v>
      </c>
      <c r="B49" s="103" t="s">
        <v>862</v>
      </c>
      <c r="C49" s="30"/>
      <c r="D49" s="30"/>
      <c r="E49" s="30"/>
      <c r="F49" s="30"/>
      <c r="G49" s="30"/>
      <c r="H49" s="30"/>
      <c r="I49" s="86"/>
      <c r="J49" s="20"/>
    </row>
    <row r="50">
      <c r="A50" s="9" t="s">
        <v>863</v>
      </c>
      <c r="B50" s="103" t="s">
        <v>864</v>
      </c>
      <c r="C50" s="30"/>
      <c r="D50" s="30"/>
      <c r="E50" s="30"/>
      <c r="F50" s="30"/>
      <c r="G50" s="30"/>
      <c r="H50" s="30"/>
      <c r="I50" s="86"/>
      <c r="J50" s="20"/>
    </row>
    <row r="51">
      <c r="A51" s="9" t="s">
        <v>865</v>
      </c>
      <c r="B51" s="84">
        <v>19</v>
      </c>
      <c r="C51" s="83"/>
      <c r="D51" s="83"/>
      <c r="E51" s="83"/>
      <c r="F51" s="83"/>
      <c r="G51" s="83"/>
      <c r="H51" s="83"/>
      <c r="I51" s="82"/>
      <c r="J51" s="20" t="s">
        <v>813</v>
      </c>
    </row>
    <row r="52">
      <c r="A52" s="9" t="s">
        <v>866</v>
      </c>
      <c r="B52" s="84">
        <v>0.99</v>
      </c>
      <c r="C52" s="83"/>
      <c r="D52" s="83"/>
      <c r="E52" s="83"/>
      <c r="F52" s="83"/>
      <c r="G52" s="83"/>
      <c r="H52" s="83"/>
      <c r="I52" s="82"/>
      <c r="J52" s="20" t="s">
        <v>813</v>
      </c>
    </row>
    <row r="53">
      <c r="A53" s="9" t="s">
        <v>867</v>
      </c>
      <c r="B53" s="103" t="s">
        <v>868</v>
      </c>
      <c r="C53" s="30"/>
      <c r="D53" s="30"/>
      <c r="E53" s="30"/>
      <c r="F53" s="30"/>
      <c r="G53" s="30"/>
      <c r="H53" s="30"/>
      <c r="I53" s="86"/>
      <c r="J53" s="20"/>
    </row>
    <row r="54">
      <c r="A54" s="9" t="s">
        <v>869</v>
      </c>
      <c r="B54" s="84">
        <v>29208.04</v>
      </c>
      <c r="C54" s="83"/>
      <c r="D54" s="83"/>
      <c r="E54" s="83"/>
      <c r="F54" s="83"/>
      <c r="G54" s="83"/>
      <c r="H54" s="83"/>
      <c r="I54" s="82"/>
      <c r="J54" s="20" t="s">
        <v>813</v>
      </c>
    </row>
    <row r="55">
      <c r="A55" s="9" t="s">
        <v>870</v>
      </c>
      <c r="B55" s="103" t="s">
        <v>871</v>
      </c>
      <c r="C55" s="30"/>
      <c r="D55" s="30"/>
      <c r="E55" s="30"/>
      <c r="F55" s="30"/>
      <c r="G55" s="30"/>
      <c r="H55" s="30"/>
      <c r="I55" s="86"/>
      <c r="J55" s="20"/>
    </row>
    <row r="56">
      <c r="A56" s="9" t="s">
        <v>872</v>
      </c>
      <c r="B56" s="103" t="s">
        <v>873</v>
      </c>
      <c r="C56" s="30"/>
      <c r="D56" s="30"/>
      <c r="E56" s="30"/>
      <c r="F56" s="30"/>
      <c r="G56" s="30"/>
      <c r="H56" s="30"/>
      <c r="I56" s="86"/>
      <c r="J56" s="20"/>
    </row>
    <row r="57">
      <c r="A57" s="9" t="s">
        <v>874</v>
      </c>
      <c r="B57" s="103" t="s">
        <v>875</v>
      </c>
      <c r="C57" s="30"/>
      <c r="D57" s="30"/>
      <c r="E57" s="30"/>
      <c r="F57" s="30"/>
      <c r="G57" s="30"/>
      <c r="H57" s="30"/>
      <c r="I57" s="86"/>
      <c r="J57" s="20"/>
    </row>
    <row r="58">
      <c r="A58" s="9" t="s">
        <v>876</v>
      </c>
      <c r="B58" s="103" t="s">
        <v>871</v>
      </c>
      <c r="C58" s="30"/>
      <c r="D58" s="30"/>
      <c r="E58" s="30"/>
      <c r="F58" s="30"/>
      <c r="G58" s="30"/>
      <c r="H58" s="30"/>
      <c r="I58" s="86"/>
      <c r="J58" s="20"/>
    </row>
    <row r="59">
      <c r="A59" s="9" t="s">
        <v>877</v>
      </c>
      <c r="B59" s="103" t="s">
        <v>871</v>
      </c>
      <c r="C59" s="30"/>
      <c r="D59" s="30"/>
      <c r="E59" s="30"/>
      <c r="F59" s="30"/>
      <c r="G59" s="30"/>
      <c r="H59" s="30"/>
      <c r="I59" s="86"/>
      <c r="J59" s="20"/>
    </row>
    <row r="60">
      <c r="A60" s="9" t="s">
        <v>878</v>
      </c>
      <c r="B60" s="103" t="s">
        <v>879</v>
      </c>
      <c r="C60" s="30"/>
      <c r="D60" s="30"/>
      <c r="E60" s="30"/>
      <c r="F60" s="30"/>
      <c r="G60" s="30"/>
      <c r="H60" s="30"/>
      <c r="I60" s="86"/>
      <c r="J60" s="20"/>
    </row>
    <row r="61">
      <c r="A61" s="9" t="s">
        <v>880</v>
      </c>
      <c r="B61" s="103" t="s">
        <v>871</v>
      </c>
      <c r="C61" s="30"/>
      <c r="D61" s="30"/>
      <c r="E61" s="30"/>
      <c r="F61" s="30"/>
      <c r="G61" s="30"/>
      <c r="H61" s="30"/>
      <c r="I61" s="86"/>
      <c r="J61" s="20"/>
    </row>
    <row r="62">
      <c r="A62" s="9" t="s">
        <v>881</v>
      </c>
      <c r="B62" s="103" t="s">
        <v>882</v>
      </c>
      <c r="C62" s="30"/>
      <c r="D62" s="30"/>
      <c r="E62" s="30"/>
      <c r="F62" s="30"/>
      <c r="G62" s="30"/>
      <c r="H62" s="30"/>
      <c r="I62" s="86"/>
      <c r="J62" s="20"/>
    </row>
    <row r="63">
      <c r="A63" s="9" t="s">
        <v>858</v>
      </c>
      <c r="B63" s="103" t="s">
        <v>10</v>
      </c>
      <c r="C63" s="30"/>
      <c r="D63" s="30"/>
      <c r="E63" s="30"/>
      <c r="F63" s="30"/>
      <c r="G63" s="30"/>
      <c r="H63" s="30"/>
      <c r="I63" s="86"/>
      <c r="J63" s="20"/>
    </row>
    <row r="64">
      <c r="A64" s="9" t="s">
        <v>883</v>
      </c>
      <c r="B64" s="103" t="s">
        <v>8</v>
      </c>
      <c r="C64" s="30"/>
      <c r="D64" s="30"/>
      <c r="E64" s="30"/>
      <c r="F64" s="30"/>
      <c r="G64" s="30"/>
      <c r="H64" s="30"/>
      <c r="I64" s="86"/>
      <c r="J64" s="20"/>
    </row>
    <row r="65">
      <c r="A65" s="9" t="s">
        <v>884</v>
      </c>
      <c r="B65" s="103" t="s">
        <v>885</v>
      </c>
      <c r="C65" s="30"/>
      <c r="D65" s="30"/>
      <c r="E65" s="30"/>
      <c r="F65" s="30"/>
      <c r="G65" s="30"/>
      <c r="H65" s="30"/>
      <c r="I65" s="86"/>
      <c r="J65" s="20"/>
    </row>
    <row r="66">
      <c r="A66" s="9" t="s">
        <v>886</v>
      </c>
      <c r="B66" s="103">
        <v>173341</v>
      </c>
      <c r="C66" s="30"/>
      <c r="D66" s="30"/>
      <c r="E66" s="30"/>
      <c r="F66" s="30"/>
      <c r="G66" s="30"/>
      <c r="H66" s="30"/>
      <c r="I66" s="86"/>
      <c r="J66" s="20"/>
    </row>
    <row r="67">
      <c r="A67" s="9" t="s">
        <v>887</v>
      </c>
      <c r="B67" s="103" t="s">
        <v>871</v>
      </c>
      <c r="C67" s="30"/>
      <c r="D67" s="30"/>
      <c r="E67" s="30"/>
      <c r="F67" s="30"/>
      <c r="G67" s="30"/>
      <c r="H67" s="30"/>
      <c r="I67" s="86"/>
      <c r="J67" s="20"/>
    </row>
    <row r="68">
      <c r="A68" s="9" t="s">
        <v>888</v>
      </c>
      <c r="B68" s="103" t="s">
        <v>889</v>
      </c>
      <c r="C68" s="30"/>
      <c r="D68" s="30"/>
      <c r="E68" s="30"/>
      <c r="F68" s="30"/>
      <c r="G68" s="30"/>
      <c r="H68" s="30"/>
      <c r="I68" s="86"/>
      <c r="J68" s="20"/>
    </row>
    <row r="69">
      <c r="A69" s="9" t="s">
        <v>890</v>
      </c>
      <c r="B69" s="103" t="s">
        <v>861</v>
      </c>
      <c r="C69" s="30"/>
      <c r="D69" s="30"/>
      <c r="E69" s="30"/>
      <c r="F69" s="30"/>
      <c r="G69" s="30"/>
      <c r="H69" s="30"/>
      <c r="I69" s="86"/>
      <c r="J69" s="20"/>
    </row>
    <row r="70">
      <c r="A70" s="9" t="s">
        <v>891</v>
      </c>
      <c r="B70" s="103" t="s">
        <v>862</v>
      </c>
      <c r="C70" s="30"/>
      <c r="D70" s="30"/>
      <c r="E70" s="30"/>
      <c r="F70" s="30"/>
      <c r="G70" s="30"/>
      <c r="H70" s="30"/>
      <c r="I70" s="86"/>
      <c r="J70" s="20"/>
    </row>
    <row r="71">
      <c r="A71" s="9" t="s">
        <v>892</v>
      </c>
      <c r="B71" s="103" t="s">
        <v>893</v>
      </c>
      <c r="C71" s="30"/>
      <c r="D71" s="30"/>
      <c r="E71" s="30"/>
      <c r="F71" s="30"/>
      <c r="G71" s="30"/>
      <c r="H71" s="30"/>
      <c r="I71" s="86"/>
      <c r="J71" s="20"/>
    </row>
    <row r="72">
      <c r="A72" s="9" t="s">
        <v>867</v>
      </c>
      <c r="B72" s="103" t="s">
        <v>894</v>
      </c>
      <c r="C72" s="30"/>
      <c r="D72" s="30"/>
      <c r="E72" s="30"/>
      <c r="F72" s="30"/>
      <c r="G72" s="30"/>
      <c r="H72" s="30"/>
      <c r="I72" s="86"/>
      <c r="J72" s="20"/>
    </row>
    <row r="73">
      <c r="A73" s="9" t="s">
        <v>895</v>
      </c>
      <c r="B73" s="32">
        <v>19</v>
      </c>
      <c r="C73" s="30"/>
      <c r="D73" s="30"/>
      <c r="E73" s="30"/>
      <c r="F73" s="30"/>
      <c r="G73" s="30"/>
      <c r="H73" s="30"/>
      <c r="I73" s="86"/>
      <c r="J73" s="20"/>
    </row>
    <row r="74">
      <c r="A74" s="9" t="s">
        <v>896</v>
      </c>
      <c r="B74" s="32">
        <v>20</v>
      </c>
      <c r="C74" s="30"/>
      <c r="D74" s="30"/>
      <c r="E74" s="30"/>
      <c r="F74" s="30"/>
      <c r="G74" s="30"/>
      <c r="H74" s="30"/>
      <c r="I74" s="86"/>
      <c r="J74" s="20"/>
    </row>
    <row r="75">
      <c r="A75" s="9" t="s">
        <v>897</v>
      </c>
      <c r="B75" s="30"/>
      <c r="C75" s="30"/>
      <c r="D75" s="30"/>
      <c r="E75" s="30"/>
      <c r="F75" s="30"/>
      <c r="G75" s="30"/>
      <c r="H75" s="30"/>
      <c r="I75" s="86"/>
      <c r="J75" s="20"/>
    </row>
    <row r="76">
      <c r="A76" s="9" t="s">
        <v>898</v>
      </c>
      <c r="B76" s="84">
        <v>0.99</v>
      </c>
      <c r="C76" s="83"/>
      <c r="D76" s="83"/>
      <c r="E76" s="83"/>
      <c r="F76" s="83"/>
      <c r="G76" s="83"/>
      <c r="H76" s="83"/>
      <c r="I76" s="82"/>
      <c r="J76" s="20" t="s">
        <v>813</v>
      </c>
    </row>
    <row r="77">
      <c r="A77" s="9" t="s">
        <v>899</v>
      </c>
      <c r="B77" s="84">
        <v>0.99</v>
      </c>
      <c r="C77" s="83"/>
      <c r="D77" s="83"/>
      <c r="E77" s="83"/>
      <c r="F77" s="83"/>
      <c r="G77" s="83"/>
      <c r="H77" s="83"/>
      <c r="I77" s="82"/>
      <c r="J77" s="20" t="s">
        <v>813</v>
      </c>
    </row>
    <row r="78">
      <c r="A78" s="9" t="s">
        <v>900</v>
      </c>
      <c r="B78" s="84">
        <v>1.06</v>
      </c>
      <c r="C78" s="83"/>
      <c r="D78" s="83"/>
      <c r="E78" s="83"/>
      <c r="F78" s="83"/>
      <c r="G78" s="83"/>
      <c r="H78" s="83"/>
      <c r="I78" s="82"/>
      <c r="J78" s="20" t="s">
        <v>813</v>
      </c>
    </row>
    <row r="79">
      <c r="A79" s="9" t="s">
        <v>901</v>
      </c>
      <c r="B79" s="84">
        <v>0.93</v>
      </c>
      <c r="C79" s="83"/>
      <c r="D79" s="83"/>
      <c r="E79" s="83"/>
      <c r="F79" s="83"/>
      <c r="G79" s="83"/>
      <c r="H79" s="83"/>
      <c r="I79" s="82"/>
      <c r="J79" s="20" t="s">
        <v>813</v>
      </c>
    </row>
    <row r="80">
      <c r="A80" s="9" t="s">
        <v>902</v>
      </c>
      <c r="B80" s="84">
        <v>0.03</v>
      </c>
      <c r="C80" s="83"/>
      <c r="D80" s="83"/>
      <c r="E80" s="83"/>
      <c r="F80" s="83"/>
      <c r="G80" s="83"/>
      <c r="H80" s="83"/>
      <c r="I80" s="82"/>
      <c r="J80" s="20" t="s">
        <v>813</v>
      </c>
    </row>
    <row r="81">
      <c r="A81" s="9" t="s">
        <v>903</v>
      </c>
      <c r="B81" s="84">
        <v>19</v>
      </c>
      <c r="C81" s="83"/>
      <c r="D81" s="83"/>
      <c r="E81" s="83"/>
      <c r="F81" s="83"/>
      <c r="G81" s="83"/>
      <c r="H81" s="83"/>
      <c r="I81" s="82"/>
      <c r="J81" s="20" t="s">
        <v>813</v>
      </c>
    </row>
    <row r="82">
      <c r="A82" s="9" t="s">
        <v>904</v>
      </c>
      <c r="B82" s="30"/>
      <c r="C82" s="30"/>
      <c r="D82" s="30"/>
      <c r="E82" s="30"/>
      <c r="F82" s="30"/>
      <c r="G82" s="30"/>
      <c r="H82" s="30"/>
      <c r="I82" s="86"/>
      <c r="J82" s="20"/>
    </row>
    <row r="83">
      <c r="A83" s="9" t="s">
        <v>905</v>
      </c>
      <c r="B83" s="30"/>
      <c r="C83" s="30"/>
      <c r="D83" s="30"/>
      <c r="E83" s="30"/>
      <c r="F83" s="30"/>
      <c r="G83" s="30"/>
      <c r="H83" s="30"/>
      <c r="I83" s="86"/>
      <c r="J83" s="20"/>
    </row>
    <row r="84">
      <c r="A84" s="9" t="s">
        <v>906</v>
      </c>
      <c r="B84" s="30"/>
      <c r="C84" s="30"/>
      <c r="D84" s="30"/>
      <c r="E84" s="30"/>
      <c r="F84" s="30"/>
      <c r="G84" s="30"/>
      <c r="H84" s="30"/>
      <c r="I84" s="86"/>
      <c r="J84" s="20"/>
    </row>
    <row r="85">
      <c r="A85" s="9" t="s">
        <v>907</v>
      </c>
      <c r="B85" s="84">
        <v>0.88</v>
      </c>
      <c r="C85" s="83"/>
      <c r="D85" s="83"/>
      <c r="E85" s="83"/>
      <c r="F85" s="83"/>
      <c r="G85" s="83"/>
      <c r="H85" s="83"/>
      <c r="I85" s="82"/>
      <c r="J85" s="20" t="s">
        <v>813</v>
      </c>
    </row>
    <row r="86">
      <c r="A86" s="9" t="s">
        <v>908</v>
      </c>
      <c r="B86" s="84">
        <v>0.87</v>
      </c>
      <c r="C86" s="83"/>
      <c r="D86" s="83"/>
      <c r="E86" s="83"/>
      <c r="F86" s="83"/>
      <c r="G86" s="83"/>
      <c r="H86" s="83"/>
      <c r="I86" s="82"/>
      <c r="J86" s="20" t="s">
        <v>813</v>
      </c>
    </row>
    <row r="87">
      <c r="A87" s="9" t="s">
        <v>909</v>
      </c>
      <c r="B87" s="84">
        <v>0.97</v>
      </c>
      <c r="C87" s="83"/>
      <c r="D87" s="83"/>
      <c r="E87" s="83"/>
      <c r="F87" s="83"/>
      <c r="G87" s="83"/>
      <c r="H87" s="83"/>
      <c r="I87" s="82"/>
      <c r="J87" s="20" t="s">
        <v>813</v>
      </c>
    </row>
    <row r="88">
      <c r="A88" s="9" t="s">
        <v>910</v>
      </c>
      <c r="B88" s="84">
        <v>0.77</v>
      </c>
      <c r="C88" s="83"/>
      <c r="D88" s="83"/>
      <c r="E88" s="83"/>
      <c r="F88" s="83"/>
      <c r="G88" s="83"/>
      <c r="H88" s="83"/>
      <c r="I88" s="82"/>
      <c r="J88" s="20" t="s">
        <v>813</v>
      </c>
    </row>
    <row r="89">
      <c r="A89" s="9" t="s">
        <v>911</v>
      </c>
      <c r="B89" s="84">
        <v>0.05</v>
      </c>
      <c r="C89" s="83"/>
      <c r="D89" s="83"/>
      <c r="E89" s="83"/>
      <c r="F89" s="83"/>
      <c r="G89" s="83"/>
      <c r="H89" s="83"/>
      <c r="I89" s="82"/>
      <c r="J89" s="20" t="s">
        <v>813</v>
      </c>
    </row>
    <row r="90">
      <c r="A90" s="9" t="s">
        <v>912</v>
      </c>
      <c r="B90" s="84">
        <v>11</v>
      </c>
      <c r="C90" s="83"/>
      <c r="D90" s="83"/>
      <c r="E90" s="83"/>
      <c r="F90" s="83"/>
      <c r="G90" s="83"/>
      <c r="H90" s="83"/>
      <c r="I90" s="82"/>
      <c r="J90" s="20" t="s">
        <v>813</v>
      </c>
    </row>
    <row r="91">
      <c r="A91" s="9" t="s">
        <v>913</v>
      </c>
      <c r="B91" s="30"/>
      <c r="C91" s="30"/>
      <c r="D91" s="30"/>
      <c r="E91" s="30"/>
      <c r="F91" s="30"/>
      <c r="G91" s="30"/>
      <c r="H91" s="30"/>
      <c r="I91" s="86"/>
      <c r="J91" s="20"/>
    </row>
    <row r="92">
      <c r="A92" s="9" t="s">
        <v>914</v>
      </c>
      <c r="B92" s="30"/>
      <c r="C92" s="30"/>
      <c r="D92" s="30"/>
      <c r="E92" s="30"/>
      <c r="F92" s="30"/>
      <c r="G92" s="30"/>
      <c r="H92" s="30"/>
      <c r="I92" s="86"/>
      <c r="J92" s="20"/>
    </row>
    <row r="93">
      <c r="A93" s="9" t="s">
        <v>915</v>
      </c>
      <c r="B93" s="30"/>
      <c r="C93" s="30"/>
      <c r="D93" s="30"/>
      <c r="E93" s="30"/>
      <c r="F93" s="30"/>
      <c r="G93" s="30"/>
      <c r="H93" s="30"/>
      <c r="I93" s="86"/>
      <c r="J93" s="20"/>
    </row>
    <row r="94">
      <c r="A94" s="9" t="s">
        <v>916</v>
      </c>
      <c r="B94" s="84">
        <v>29208.04</v>
      </c>
      <c r="C94" s="83"/>
      <c r="D94" s="83"/>
      <c r="E94" s="83"/>
      <c r="F94" s="83"/>
      <c r="G94" s="83"/>
      <c r="H94" s="83"/>
      <c r="I94" s="82"/>
      <c r="J94" s="20" t="s">
        <v>813</v>
      </c>
    </row>
    <row r="95">
      <c r="A95" s="9" t="s">
        <v>917</v>
      </c>
      <c r="B95" s="84">
        <v>29112.72</v>
      </c>
      <c r="C95" s="83"/>
      <c r="D95" s="83"/>
      <c r="E95" s="83"/>
      <c r="F95" s="83"/>
      <c r="G95" s="83"/>
      <c r="H95" s="83"/>
      <c r="I95" s="82"/>
      <c r="J95" s="20" t="s">
        <v>813</v>
      </c>
    </row>
    <row r="96">
      <c r="A96" s="9" t="s">
        <v>918</v>
      </c>
      <c r="B96" s="84">
        <v>29900</v>
      </c>
      <c r="C96" s="83"/>
      <c r="D96" s="83"/>
      <c r="E96" s="83"/>
      <c r="F96" s="83"/>
      <c r="G96" s="83"/>
      <c r="H96" s="83"/>
      <c r="I96" s="82"/>
      <c r="J96" s="20" t="s">
        <v>813</v>
      </c>
    </row>
    <row r="97">
      <c r="A97" s="9" t="s">
        <v>919</v>
      </c>
      <c r="B97" s="84">
        <v>28660.01</v>
      </c>
      <c r="C97" s="83"/>
      <c r="D97" s="83"/>
      <c r="E97" s="83"/>
      <c r="F97" s="83"/>
      <c r="G97" s="83"/>
      <c r="H97" s="83"/>
      <c r="I97" s="82"/>
      <c r="J97" s="20" t="s">
        <v>813</v>
      </c>
    </row>
    <row r="98">
      <c r="A98" s="9" t="s">
        <v>920</v>
      </c>
      <c r="B98" s="84">
        <v>335.9</v>
      </c>
      <c r="C98" s="83"/>
      <c r="D98" s="83"/>
      <c r="E98" s="83"/>
      <c r="F98" s="83"/>
      <c r="G98" s="83"/>
      <c r="H98" s="83"/>
      <c r="I98" s="82"/>
      <c r="J98" s="20" t="s">
        <v>813</v>
      </c>
    </row>
    <row r="99">
      <c r="A99" s="9" t="s">
        <v>921</v>
      </c>
      <c r="B99" s="84">
        <v>17</v>
      </c>
      <c r="C99" s="83"/>
      <c r="D99" s="83"/>
      <c r="E99" s="83"/>
      <c r="F99" s="83"/>
      <c r="G99" s="83"/>
      <c r="H99" s="83"/>
      <c r="I99" s="82"/>
      <c r="J99" s="20" t="s">
        <v>813</v>
      </c>
    </row>
    <row r="100">
      <c r="A100" s="9" t="s">
        <v>922</v>
      </c>
      <c r="B100" s="30"/>
      <c r="C100" s="30"/>
      <c r="D100" s="30"/>
      <c r="E100" s="30"/>
      <c r="F100" s="30"/>
      <c r="G100" s="30"/>
      <c r="H100" s="30"/>
      <c r="I100" s="86"/>
      <c r="J100" s="20"/>
    </row>
    <row r="101">
      <c r="A101" s="9" t="s">
        <v>923</v>
      </c>
      <c r="B101" s="30"/>
      <c r="C101" s="30"/>
      <c r="D101" s="30"/>
      <c r="E101" s="30"/>
      <c r="F101" s="30"/>
      <c r="G101" s="30"/>
      <c r="H101" s="30"/>
      <c r="I101" s="86"/>
      <c r="J101" s="20"/>
    </row>
    <row r="102">
      <c r="A102" s="9" t="s">
        <v>924</v>
      </c>
      <c r="B102" s="30"/>
      <c r="C102" s="30"/>
      <c r="D102" s="30"/>
      <c r="E102" s="30"/>
      <c r="F102" s="30"/>
      <c r="G102" s="30"/>
      <c r="H102" s="30"/>
      <c r="I102" s="86"/>
      <c r="J102" s="20"/>
    </row>
    <row r="103">
      <c r="A103" s="9" t="s">
        <v>925</v>
      </c>
      <c r="B103" s="84">
        <v>8892.69</v>
      </c>
      <c r="C103" s="83"/>
      <c r="D103" s="83"/>
      <c r="E103" s="83"/>
      <c r="F103" s="83"/>
      <c r="G103" s="83"/>
      <c r="H103" s="83"/>
      <c r="I103" s="82"/>
      <c r="J103" s="20" t="s">
        <v>813</v>
      </c>
    </row>
    <row r="104">
      <c r="A104" s="9" t="s">
        <v>926</v>
      </c>
      <c r="B104" s="84">
        <v>5081.23</v>
      </c>
      <c r="C104" s="83"/>
      <c r="D104" s="83"/>
      <c r="E104" s="83"/>
      <c r="F104" s="83"/>
      <c r="G104" s="83"/>
      <c r="H104" s="83"/>
      <c r="I104" s="82"/>
      <c r="J104" s="20" t="s">
        <v>813</v>
      </c>
    </row>
    <row r="105">
      <c r="A105" s="9" t="s">
        <v>927</v>
      </c>
      <c r="B105" s="84">
        <v>3951.13</v>
      </c>
      <c r="C105" s="83"/>
      <c r="D105" s="83"/>
      <c r="E105" s="83"/>
      <c r="F105" s="83"/>
      <c r="G105" s="83"/>
      <c r="H105" s="83"/>
      <c r="I105" s="82"/>
      <c r="J105" s="20" t="s">
        <v>813</v>
      </c>
    </row>
    <row r="106">
      <c r="A106" s="9" t="s">
        <v>928</v>
      </c>
      <c r="B106" s="84">
        <v>4160.64</v>
      </c>
      <c r="C106" s="83"/>
      <c r="D106" s="83"/>
      <c r="E106" s="83"/>
      <c r="F106" s="83"/>
      <c r="G106" s="83"/>
      <c r="H106" s="83"/>
      <c r="I106" s="82"/>
      <c r="J106" s="20" t="s">
        <v>813</v>
      </c>
    </row>
    <row r="107">
      <c r="A107" s="9" t="s">
        <v>929</v>
      </c>
      <c r="B107" s="84">
        <v>3510</v>
      </c>
      <c r="C107" s="83"/>
      <c r="D107" s="83"/>
      <c r="E107" s="83"/>
      <c r="F107" s="83"/>
      <c r="G107" s="83"/>
      <c r="H107" s="83"/>
      <c r="I107" s="82"/>
      <c r="J107" s="20" t="s">
        <v>813</v>
      </c>
    </row>
    <row r="108">
      <c r="A108" s="9" t="s">
        <v>930</v>
      </c>
      <c r="B108" s="84">
        <v>3144.08</v>
      </c>
      <c r="C108" s="83"/>
      <c r="D108" s="83"/>
      <c r="E108" s="83"/>
      <c r="F108" s="83"/>
      <c r="G108" s="83"/>
      <c r="H108" s="83"/>
      <c r="I108" s="82"/>
      <c r="J108" s="20" t="s">
        <v>813</v>
      </c>
    </row>
    <row r="109">
      <c r="A109" s="9" t="s">
        <v>931</v>
      </c>
      <c r="B109" s="30"/>
      <c r="C109" s="30"/>
      <c r="D109" s="30"/>
      <c r="E109" s="30"/>
      <c r="F109" s="30"/>
      <c r="G109" s="30"/>
      <c r="H109" s="30"/>
      <c r="I109" s="86"/>
      <c r="J109" s="20"/>
    </row>
    <row r="110">
      <c r="A110" s="9" t="s">
        <v>932</v>
      </c>
      <c r="B110" s="30"/>
      <c r="C110" s="30"/>
      <c r="D110" s="30"/>
      <c r="E110" s="30"/>
      <c r="F110" s="30"/>
      <c r="G110" s="30"/>
      <c r="H110" s="30"/>
      <c r="I110" s="86"/>
      <c r="J110" s="20"/>
    </row>
    <row r="111">
      <c r="A111" s="9" t="s">
        <v>933</v>
      </c>
      <c r="B111" s="84">
        <v>3780.89</v>
      </c>
      <c r="C111" s="83"/>
      <c r="D111" s="83"/>
      <c r="E111" s="83"/>
      <c r="F111" s="83"/>
      <c r="G111" s="83"/>
      <c r="H111" s="83"/>
      <c r="I111" s="82"/>
      <c r="J111" s="20" t="s">
        <v>813</v>
      </c>
    </row>
    <row r="112">
      <c r="A112" s="9" t="s">
        <v>934</v>
      </c>
      <c r="B112" s="30"/>
      <c r="C112" s="30"/>
      <c r="D112" s="30"/>
      <c r="E112" s="30"/>
      <c r="F112" s="30"/>
      <c r="G112" s="30"/>
      <c r="H112" s="30"/>
      <c r="I112" s="86"/>
      <c r="J112" s="20"/>
    </row>
    <row r="113">
      <c r="A113" s="9" t="s">
        <v>935</v>
      </c>
      <c r="B113" s="30"/>
      <c r="C113" s="30"/>
      <c r="D113" s="30"/>
      <c r="E113" s="30"/>
      <c r="F113" s="30"/>
      <c r="G113" s="30"/>
      <c r="H113" s="30"/>
      <c r="I113" s="86"/>
      <c r="J113" s="20"/>
    </row>
    <row r="114">
      <c r="A114" s="9" t="s">
        <v>936</v>
      </c>
      <c r="B114" s="30"/>
      <c r="C114" s="30"/>
      <c r="D114" s="30"/>
      <c r="E114" s="30"/>
      <c r="F114" s="30"/>
      <c r="G114" s="30"/>
      <c r="H114" s="30"/>
      <c r="I114" s="86"/>
      <c r="J114" s="20"/>
    </row>
    <row r="115">
      <c r="A115" s="9" t="s">
        <v>937</v>
      </c>
      <c r="B115" s="84">
        <v>-1023.67</v>
      </c>
      <c r="C115" s="83"/>
      <c r="D115" s="83"/>
      <c r="E115" s="83"/>
      <c r="F115" s="83"/>
      <c r="G115" s="83"/>
      <c r="H115" s="83"/>
      <c r="I115" s="82"/>
      <c r="J115" s="20" t="s">
        <v>813</v>
      </c>
    </row>
    <row r="116">
      <c r="A116" s="9" t="s">
        <v>938</v>
      </c>
      <c r="B116" s="84">
        <v>81488.5</v>
      </c>
      <c r="C116" s="83"/>
      <c r="D116" s="83"/>
      <c r="E116" s="83"/>
      <c r="F116" s="83"/>
      <c r="G116" s="83"/>
      <c r="H116" s="83"/>
      <c r="I116" s="82"/>
      <c r="J116" s="20" t="s">
        <v>813</v>
      </c>
    </row>
    <row r="117">
      <c r="A117" s="9" t="s">
        <v>939</v>
      </c>
      <c r="B117" s="30"/>
      <c r="C117" s="30"/>
      <c r="D117" s="30"/>
      <c r="E117" s="30"/>
      <c r="F117" s="30"/>
      <c r="G117" s="30"/>
      <c r="H117" s="30"/>
      <c r="I117" s="86"/>
      <c r="J117" s="20"/>
    </row>
    <row r="118">
      <c r="A118" s="9" t="s">
        <v>940</v>
      </c>
      <c r="B118" s="30"/>
      <c r="C118" s="30"/>
      <c r="D118" s="30"/>
      <c r="E118" s="30"/>
      <c r="F118" s="30"/>
      <c r="G118" s="30"/>
      <c r="H118" s="30"/>
      <c r="I118" s="86"/>
      <c r="J118" s="20"/>
    </row>
    <row r="119">
      <c r="A119" s="9" t="s">
        <v>941</v>
      </c>
      <c r="B119" s="84">
        <v>28.63</v>
      </c>
      <c r="C119" s="83"/>
      <c r="D119" s="83"/>
      <c r="E119" s="83"/>
      <c r="F119" s="83"/>
      <c r="G119" s="83"/>
      <c r="H119" s="83"/>
      <c r="I119" s="82"/>
      <c r="J119" s="20" t="s">
        <v>813</v>
      </c>
    </row>
    <row r="120">
      <c r="A120" s="9" t="s">
        <v>942</v>
      </c>
      <c r="B120" s="84">
        <v>28.25</v>
      </c>
      <c r="C120" s="83"/>
      <c r="D120" s="83"/>
      <c r="E120" s="83"/>
      <c r="F120" s="83"/>
      <c r="G120" s="83"/>
      <c r="H120" s="83"/>
      <c r="I120" s="82"/>
      <c r="J120" s="20" t="s">
        <v>813</v>
      </c>
    </row>
    <row r="121">
      <c r="A121" s="9" t="s">
        <v>943</v>
      </c>
      <c r="B121" s="84">
        <v>44</v>
      </c>
      <c r="C121" s="83"/>
      <c r="D121" s="83"/>
      <c r="E121" s="83"/>
      <c r="F121" s="83"/>
      <c r="G121" s="83"/>
      <c r="H121" s="83"/>
      <c r="I121" s="82"/>
      <c r="J121" s="20" t="s">
        <v>813</v>
      </c>
    </row>
    <row r="122">
      <c r="A122" s="9" t="s">
        <v>944</v>
      </c>
      <c r="B122" s="84">
        <v>17</v>
      </c>
      <c r="C122" s="83"/>
      <c r="D122" s="83"/>
      <c r="E122" s="83"/>
      <c r="F122" s="83"/>
      <c r="G122" s="83"/>
      <c r="H122" s="83"/>
      <c r="I122" s="82"/>
      <c r="J122" s="20" t="s">
        <v>813</v>
      </c>
    </row>
    <row r="123">
      <c r="A123" s="9" t="s">
        <v>945</v>
      </c>
      <c r="B123" s="84">
        <v>6.42</v>
      </c>
      <c r="C123" s="83"/>
      <c r="D123" s="83"/>
      <c r="E123" s="83"/>
      <c r="F123" s="83"/>
      <c r="G123" s="83"/>
      <c r="H123" s="83"/>
      <c r="I123" s="82"/>
      <c r="J123" s="20" t="s">
        <v>813</v>
      </c>
    </row>
    <row r="124">
      <c r="A124" s="9" t="s">
        <v>946</v>
      </c>
      <c r="B124" s="84">
        <v>22</v>
      </c>
      <c r="C124" s="83"/>
      <c r="D124" s="83"/>
      <c r="E124" s="83"/>
      <c r="F124" s="83"/>
      <c r="G124" s="83"/>
      <c r="H124" s="83"/>
      <c r="I124" s="82"/>
      <c r="J124" s="20" t="s">
        <v>813</v>
      </c>
    </row>
    <row r="125">
      <c r="A125" s="9" t="s">
        <v>947</v>
      </c>
      <c r="B125" s="103" t="s">
        <v>948</v>
      </c>
      <c r="C125" s="30"/>
      <c r="D125" s="30"/>
      <c r="E125" s="30"/>
      <c r="F125" s="30"/>
      <c r="G125" s="30"/>
      <c r="H125" s="30"/>
      <c r="I125" s="86"/>
      <c r="J125" s="20"/>
    </row>
    <row r="126">
      <c r="A126" s="9" t="s">
        <v>949</v>
      </c>
      <c r="B126" s="84">
        <v>2.63</v>
      </c>
      <c r="C126" s="83"/>
      <c r="D126" s="83"/>
      <c r="E126" s="83"/>
      <c r="F126" s="83"/>
      <c r="G126" s="83"/>
      <c r="H126" s="83"/>
      <c r="I126" s="82"/>
      <c r="J126" s="20" t="s">
        <v>813</v>
      </c>
    </row>
    <row r="127">
      <c r="A127" s="9" t="s">
        <v>950</v>
      </c>
      <c r="B127" s="84">
        <v>21.9</v>
      </c>
      <c r="C127" s="83"/>
      <c r="D127" s="83"/>
      <c r="E127" s="83"/>
      <c r="F127" s="83"/>
      <c r="G127" s="83"/>
      <c r="H127" s="83"/>
      <c r="I127" s="82"/>
      <c r="J127" s="20" t="s">
        <v>813</v>
      </c>
    </row>
    <row r="128">
      <c r="A128" s="9" t="s">
        <v>951</v>
      </c>
      <c r="B128" s="103" t="s">
        <v>952</v>
      </c>
      <c r="C128" s="30"/>
      <c r="D128" s="30"/>
      <c r="E128" s="30"/>
      <c r="F128" s="30"/>
      <c r="G128" s="30"/>
      <c r="H128" s="30"/>
      <c r="I128" s="86"/>
      <c r="J128" s="20"/>
    </row>
    <row r="129">
      <c r="A129" s="9" t="s">
        <v>953</v>
      </c>
      <c r="B129" s="103" t="s">
        <v>864</v>
      </c>
      <c r="C129" s="30"/>
      <c r="D129" s="30"/>
      <c r="E129" s="30"/>
      <c r="F129" s="30"/>
      <c r="G129" s="30"/>
      <c r="H129" s="30"/>
      <c r="I129" s="86"/>
      <c r="J129" s="20"/>
    </row>
    <row r="130">
      <c r="A130" s="9" t="s">
        <v>954</v>
      </c>
      <c r="B130" s="103" t="s">
        <v>955</v>
      </c>
      <c r="C130" s="30"/>
      <c r="D130" s="30"/>
      <c r="E130" s="30"/>
      <c r="F130" s="30"/>
      <c r="G130" s="30"/>
      <c r="H130" s="30"/>
      <c r="I130" s="86"/>
      <c r="J130" s="20"/>
    </row>
    <row r="131">
      <c r="A131" s="9"/>
      <c r="B131" s="9"/>
      <c r="C131" s="9"/>
      <c r="D131" s="9"/>
      <c r="E131" s="9"/>
      <c r="F131" s="9"/>
      <c r="G131" s="9"/>
      <c r="H131" s="9"/>
      <c r="I131" s="9"/>
      <c r="J131" s="20"/>
    </row>
    <row r="132">
      <c r="A132" s="9"/>
      <c r="B132" s="9"/>
      <c r="C132" s="9"/>
      <c r="D132" s="9"/>
      <c r="E132" s="9"/>
      <c r="F132" s="9"/>
      <c r="G132" s="9"/>
      <c r="H132" s="9"/>
      <c r="I132" s="9"/>
      <c r="J132" s="20"/>
    </row>
    <row r="133">
      <c r="A133" s="9"/>
      <c r="B133" s="9"/>
      <c r="C133" s="9"/>
      <c r="D133" s="9"/>
      <c r="E133" s="9"/>
      <c r="F133" s="9"/>
      <c r="G133" s="9"/>
      <c r="H133" s="9"/>
      <c r="I133" s="9"/>
      <c r="J133" s="20"/>
    </row>
    <row r="134">
      <c r="A134" s="9"/>
      <c r="B134" s="9"/>
      <c r="C134" s="9"/>
      <c r="D134" s="9"/>
      <c r="E134" s="9"/>
      <c r="F134" s="9"/>
      <c r="G134" s="9"/>
      <c r="H134" s="9"/>
      <c r="I134" s="9"/>
      <c r="J134" s="9"/>
    </row>
    <row r="135">
      <c r="A135" s="9"/>
      <c r="B135" s="9"/>
      <c r="C135" s="9"/>
      <c r="D135" s="9"/>
      <c r="E135" s="9"/>
      <c r="F135" s="9"/>
      <c r="G135" s="9"/>
      <c r="H135" s="9"/>
      <c r="I135" s="9"/>
      <c r="J135" s="9"/>
    </row>
    <row r="136">
      <c r="A136" s="9"/>
      <c r="B136" s="9"/>
      <c r="C136" s="9"/>
      <c r="D136" s="9"/>
      <c r="E136" s="9"/>
      <c r="F136" s="9"/>
      <c r="G136" s="9"/>
      <c r="H136" s="9"/>
      <c r="I136" s="9"/>
      <c r="J136" s="9"/>
    </row>
    <row r="137">
      <c r="A137" s="9"/>
      <c r="B137" s="9"/>
      <c r="C137" s="9"/>
      <c r="D137" s="9"/>
      <c r="E137" s="9"/>
      <c r="F137" s="9"/>
      <c r="G137" s="9"/>
      <c r="H137" s="9"/>
      <c r="I137" s="9"/>
      <c r="J137" s="9"/>
    </row>
    <row r="138">
      <c r="A138" s="9"/>
      <c r="B138" s="9"/>
      <c r="C138" s="9"/>
      <c r="D138" s="9"/>
      <c r="E138" s="9"/>
      <c r="F138" s="9"/>
      <c r="G138" s="9"/>
      <c r="H138" s="9"/>
      <c r="I138" s="9"/>
      <c r="J138" s="9"/>
    </row>
    <row r="139">
      <c r="A139" s="9"/>
      <c r="B139" s="9"/>
      <c r="C139" s="9"/>
      <c r="D139" s="9"/>
      <c r="E139" s="9"/>
      <c r="F139" s="9"/>
      <c r="G139" s="9"/>
      <c r="H139" s="9"/>
      <c r="I139" s="9"/>
      <c r="J139" s="9"/>
    </row>
    <row r="140">
      <c r="A140" s="9"/>
      <c r="B140" s="9"/>
      <c r="C140" s="9"/>
      <c r="D140" s="9"/>
      <c r="E140" s="9"/>
      <c r="F140" s="9"/>
      <c r="G140" s="9"/>
      <c r="H140" s="9"/>
      <c r="I140" s="9"/>
      <c r="J140" s="9"/>
    </row>
    <row r="141">
      <c r="A141" s="9"/>
      <c r="B141" s="9"/>
      <c r="C141" s="9"/>
      <c r="D141" s="9"/>
      <c r="E141" s="9"/>
      <c r="F141" s="9"/>
      <c r="G141" s="9"/>
      <c r="H141" s="9"/>
      <c r="I141" s="9"/>
      <c r="J141" s="9"/>
    </row>
    <row r="142">
      <c r="A142" s="9"/>
      <c r="B142" s="9"/>
      <c r="C142" s="9"/>
      <c r="D142" s="9"/>
      <c r="E142" s="9"/>
      <c r="F142" s="9"/>
      <c r="G142" s="9"/>
      <c r="H142" s="9"/>
      <c r="I142" s="9"/>
      <c r="J142" s="9"/>
    </row>
    <row r="143">
      <c r="A143" s="9"/>
      <c r="B143" s="9"/>
      <c r="C143" s="9"/>
      <c r="D143" s="9"/>
      <c r="E143" s="9"/>
      <c r="F143" s="9"/>
      <c r="G143" s="9"/>
      <c r="H143" s="9"/>
      <c r="I143" s="9"/>
      <c r="J143" s="9"/>
    </row>
  </sheetData>
</worksheet>
</file>

<file path=xl/worksheets/sheet15.xml><?xml version="1.0" encoding="utf-8"?>
<worksheet xmlns="http://schemas.openxmlformats.org/spreadsheetml/2006/main" xmlns:r="http://schemas.openxmlformats.org/officeDocument/2006/relationships">
  <dimension ref="A1:J51"/>
  <sheetViews>
    <sheetView showGridLines="0" workbookViewId="0"/>
  </sheetViews>
  <sheetFormatPr defaultColWidth="8.42578125" defaultRowHeight="15"/>
  <cols>
    <col min="1" max="1" width="32" customWidth="1"/>
    <col min="2" max="9" width="12" customWidth="1"/>
    <col min="10" max="10" width="14" customWidth="1"/>
  </cols>
  <sheetData>
    <row r="1">
      <c r="A1" s="26" t="s">
        <v>0</v>
      </c>
      <c r="B1" s="9"/>
      <c r="C1" s="9"/>
      <c r="D1" s="9"/>
      <c r="E1" s="9"/>
      <c r="F1" s="9"/>
      <c r="G1" s="9"/>
      <c r="H1" s="9"/>
      <c r="I1" s="9"/>
      <c r="J1" s="9"/>
    </row>
    <row r="2">
      <c r="A2" s="35" t="s">
        <v>956</v>
      </c>
      <c r="B2" s="9"/>
      <c r="C2" s="9"/>
      <c r="D2" s="9"/>
      <c r="E2" s="9"/>
      <c r="F2" s="9"/>
      <c r="G2" s="9"/>
      <c r="H2" s="9"/>
      <c r="I2" s="9"/>
      <c r="J2" s="9"/>
    </row>
    <row r="3">
      <c r="A3" s="23" t="s">
        <v>2</v>
      </c>
      <c r="B3" s="9"/>
      <c r="C3" s="9"/>
      <c r="D3" s="9"/>
      <c r="E3" s="9"/>
      <c r="F3" s="9"/>
      <c r="G3" s="9"/>
      <c r="H3" s="9"/>
      <c r="I3" s="9"/>
      <c r="J3" s="9"/>
    </row>
    <row r="4">
      <c r="A4" s="37" t="s">
        <v>957</v>
      </c>
      <c r="B4" s="17"/>
      <c r="C4" s="17"/>
      <c r="D4" s="17"/>
      <c r="E4" s="17"/>
      <c r="F4" s="17"/>
      <c r="G4" s="17"/>
      <c r="H4" s="17"/>
      <c r="I4" s="17"/>
      <c r="J4" s="37" t="s">
        <v>61</v>
      </c>
    </row>
    <row r="5">
      <c r="A5" s="24" t="s">
        <v>756</v>
      </c>
      <c r="B5" s="10"/>
      <c r="C5" s="10"/>
      <c r="D5" s="10"/>
      <c r="E5" s="10"/>
      <c r="F5" s="10"/>
      <c r="G5" s="10"/>
      <c r="H5" s="10"/>
      <c r="I5" s="10"/>
      <c r="J5" s="24"/>
    </row>
    <row r="6">
      <c r="A6" s="28" t="s">
        <v>757</v>
      </c>
      <c r="B6" s="21"/>
      <c r="C6" s="21"/>
      <c r="D6" s="21"/>
      <c r="E6" s="21"/>
      <c r="F6" s="21"/>
      <c r="G6" s="21"/>
      <c r="H6" s="21"/>
      <c r="I6" s="21"/>
      <c r="J6" s="28"/>
    </row>
    <row r="7">
      <c r="A7" s="9"/>
      <c r="B7" s="9"/>
      <c r="C7" s="9"/>
      <c r="D7" s="9"/>
      <c r="E7" s="9"/>
      <c r="F7" s="9"/>
      <c r="G7" s="9"/>
      <c r="H7" s="9"/>
      <c r="I7" s="9"/>
      <c r="J7" s="9"/>
    </row>
    <row r="8" ht="26.25">
      <c r="A8" s="35" t="s">
        <v>958</v>
      </c>
      <c r="B8" s="109" t="s">
        <v>959</v>
      </c>
      <c r="C8" s="109" t="s">
        <v>960</v>
      </c>
      <c r="D8" s="12" t="s">
        <v>961</v>
      </c>
      <c r="E8" s="12"/>
      <c r="F8" s="12"/>
      <c r="G8" s="12"/>
      <c r="H8" s="12"/>
      <c r="I8" s="12"/>
      <c r="J8" s="20" t="s">
        <v>962</v>
      </c>
    </row>
    <row r="9">
      <c r="A9" s="9" t="s">
        <v>963</v>
      </c>
      <c r="B9" s="16" t="s">
        <v>775</v>
      </c>
      <c r="C9" s="16" t="s">
        <v>964</v>
      </c>
      <c r="D9" s="16" t="s">
        <v>965</v>
      </c>
      <c r="E9" s="14"/>
      <c r="F9" s="14"/>
      <c r="G9" s="14"/>
      <c r="H9" s="14"/>
      <c r="I9" s="14"/>
      <c r="J9" s="20" t="s">
        <v>966</v>
      </c>
    </row>
    <row r="10">
      <c r="A10" s="9" t="s">
        <v>967</v>
      </c>
      <c r="B10" s="16" t="s">
        <v>775</v>
      </c>
      <c r="C10" s="16" t="s">
        <v>964</v>
      </c>
      <c r="D10" s="16" t="s">
        <v>968</v>
      </c>
      <c r="E10" s="14"/>
      <c r="F10" s="14"/>
      <c r="G10" s="14"/>
      <c r="H10" s="14"/>
      <c r="I10" s="14"/>
      <c r="J10" s="20" t="s">
        <v>969</v>
      </c>
    </row>
    <row r="11">
      <c r="A11" s="9" t="s">
        <v>970</v>
      </c>
      <c r="B11" s="16" t="s">
        <v>788</v>
      </c>
      <c r="C11" s="16" t="s">
        <v>964</v>
      </c>
      <c r="D11" s="16" t="s">
        <v>965</v>
      </c>
      <c r="E11" s="14"/>
      <c r="F11" s="14"/>
      <c r="G11" s="14"/>
      <c r="H11" s="14"/>
      <c r="I11" s="14"/>
      <c r="J11" s="20" t="s">
        <v>971</v>
      </c>
    </row>
    <row r="12">
      <c r="A12" s="9" t="s">
        <v>182</v>
      </c>
      <c r="B12" s="16" t="s">
        <v>775</v>
      </c>
      <c r="C12" s="16" t="s">
        <v>964</v>
      </c>
      <c r="D12" s="16" t="s">
        <v>972</v>
      </c>
      <c r="E12" s="14"/>
      <c r="F12" s="14"/>
      <c r="G12" s="14"/>
      <c r="H12" s="14"/>
      <c r="I12" s="14"/>
      <c r="J12" s="20" t="s">
        <v>973</v>
      </c>
    </row>
    <row r="13">
      <c r="A13" s="9" t="s">
        <v>974</v>
      </c>
      <c r="B13" s="16" t="s">
        <v>782</v>
      </c>
      <c r="C13" s="16" t="s">
        <v>964</v>
      </c>
      <c r="D13" s="16" t="s">
        <v>975</v>
      </c>
      <c r="E13" s="14"/>
      <c r="F13" s="14"/>
      <c r="G13" s="14"/>
      <c r="H13" s="14"/>
      <c r="I13" s="14"/>
      <c r="J13" s="20" t="s">
        <v>976</v>
      </c>
    </row>
    <row r="14">
      <c r="A14" s="9" t="s">
        <v>977</v>
      </c>
      <c r="B14" s="16" t="s">
        <v>978</v>
      </c>
      <c r="C14" s="16" t="s">
        <v>964</v>
      </c>
      <c r="D14" s="16" t="s">
        <v>965</v>
      </c>
      <c r="E14" s="14"/>
      <c r="F14" s="14"/>
      <c r="G14" s="14"/>
      <c r="H14" s="14"/>
      <c r="I14" s="14"/>
      <c r="J14" s="20" t="s">
        <v>979</v>
      </c>
    </row>
    <row r="15">
      <c r="A15" s="9" t="s">
        <v>980</v>
      </c>
      <c r="B15" s="16" t="s">
        <v>811</v>
      </c>
      <c r="C15" s="16" t="s">
        <v>964</v>
      </c>
      <c r="D15" s="16" t="s">
        <v>965</v>
      </c>
      <c r="E15" s="14"/>
      <c r="F15" s="14"/>
      <c r="G15" s="14"/>
      <c r="H15" s="14"/>
      <c r="I15" s="14"/>
      <c r="J15" s="20" t="s">
        <v>981</v>
      </c>
    </row>
    <row r="16">
      <c r="A16" s="9" t="s">
        <v>982</v>
      </c>
      <c r="B16" s="16" t="s">
        <v>810</v>
      </c>
      <c r="C16" s="16" t="s">
        <v>964</v>
      </c>
      <c r="D16" s="16" t="s">
        <v>965</v>
      </c>
      <c r="E16" s="14"/>
      <c r="F16" s="14"/>
      <c r="G16" s="14"/>
      <c r="H16" s="14"/>
      <c r="I16" s="14"/>
      <c r="J16" s="20" t="s">
        <v>983</v>
      </c>
    </row>
    <row r="17">
      <c r="A17" s="9" t="s">
        <v>984</v>
      </c>
      <c r="B17" s="16" t="s">
        <v>809</v>
      </c>
      <c r="C17" s="16" t="s">
        <v>964</v>
      </c>
      <c r="D17" s="16" t="s">
        <v>965</v>
      </c>
      <c r="E17" s="14"/>
      <c r="F17" s="14"/>
      <c r="G17" s="14"/>
      <c r="H17" s="14"/>
      <c r="I17" s="14"/>
      <c r="J17" s="20" t="s">
        <v>985</v>
      </c>
    </row>
    <row r="18">
      <c r="A18" s="9" t="s">
        <v>986</v>
      </c>
      <c r="B18" s="16" t="s">
        <v>808</v>
      </c>
      <c r="C18" s="16" t="s">
        <v>964</v>
      </c>
      <c r="D18" s="16" t="s">
        <v>965</v>
      </c>
      <c r="E18" s="14"/>
      <c r="F18" s="14"/>
      <c r="G18" s="14"/>
      <c r="H18" s="14"/>
      <c r="I18" s="14"/>
      <c r="J18" s="20" t="s">
        <v>987</v>
      </c>
    </row>
    <row r="19">
      <c r="A19" s="9" t="s">
        <v>712</v>
      </c>
      <c r="B19" s="16" t="s">
        <v>988</v>
      </c>
      <c r="C19" s="16" t="s">
        <v>964</v>
      </c>
      <c r="D19" s="16" t="s">
        <v>989</v>
      </c>
      <c r="E19" s="14"/>
      <c r="F19" s="14"/>
      <c r="G19" s="14"/>
      <c r="H19" s="14"/>
      <c r="I19" s="14"/>
      <c r="J19" s="20" t="s">
        <v>990</v>
      </c>
    </row>
    <row r="20">
      <c r="A20" s="9" t="s">
        <v>991</v>
      </c>
      <c r="B20" s="16" t="s">
        <v>775</v>
      </c>
      <c r="C20" s="16" t="s">
        <v>964</v>
      </c>
      <c r="D20" s="16" t="s">
        <v>992</v>
      </c>
      <c r="E20" s="14"/>
      <c r="F20" s="14"/>
      <c r="G20" s="14"/>
      <c r="H20" s="14"/>
      <c r="I20" s="14"/>
      <c r="J20" s="20" t="s">
        <v>993</v>
      </c>
    </row>
    <row r="21">
      <c r="A21" s="9" t="s">
        <v>994</v>
      </c>
      <c r="B21" s="16" t="s">
        <v>775</v>
      </c>
      <c r="C21" s="16" t="s">
        <v>964</v>
      </c>
      <c r="D21" s="16" t="s">
        <v>995</v>
      </c>
      <c r="E21" s="14"/>
      <c r="F21" s="14"/>
      <c r="G21" s="14"/>
      <c r="H21" s="14"/>
      <c r="I21" s="14"/>
      <c r="J21" s="20" t="s">
        <v>996</v>
      </c>
    </row>
    <row r="22">
      <c r="A22" s="9" t="s">
        <v>26</v>
      </c>
      <c r="B22" s="16" t="s">
        <v>997</v>
      </c>
      <c r="C22" s="16" t="s">
        <v>964</v>
      </c>
      <c r="D22" s="16" t="s">
        <v>998</v>
      </c>
      <c r="E22" s="14"/>
      <c r="F22" s="14"/>
      <c r="G22" s="14"/>
      <c r="H22" s="14"/>
      <c r="I22" s="14"/>
      <c r="J22" s="20" t="s">
        <v>999</v>
      </c>
    </row>
    <row r="23">
      <c r="A23" s="9" t="s">
        <v>1000</v>
      </c>
      <c r="B23" s="16" t="s">
        <v>1001</v>
      </c>
      <c r="C23" s="16" t="s">
        <v>964</v>
      </c>
      <c r="D23" s="16" t="s">
        <v>1002</v>
      </c>
      <c r="E23" s="14"/>
      <c r="F23" s="14"/>
      <c r="G23" s="14"/>
      <c r="H23" s="14"/>
      <c r="I23" s="14"/>
      <c r="J23" s="20" t="s">
        <v>1003</v>
      </c>
    </row>
    <row r="24">
      <c r="A24" s="9" t="s">
        <v>1004</v>
      </c>
      <c r="B24" s="16" t="s">
        <v>1005</v>
      </c>
      <c r="C24" s="16" t="s">
        <v>964</v>
      </c>
      <c r="D24" s="16" t="s">
        <v>1006</v>
      </c>
      <c r="E24" s="14"/>
      <c r="F24" s="14"/>
      <c r="G24" s="14"/>
      <c r="H24" s="14"/>
      <c r="I24" s="14"/>
      <c r="J24" s="20" t="s">
        <v>1007</v>
      </c>
    </row>
    <row r="25">
      <c r="A25" s="9" t="s">
        <v>1008</v>
      </c>
      <c r="B25" s="16" t="s">
        <v>997</v>
      </c>
      <c r="C25" s="16" t="s">
        <v>964</v>
      </c>
      <c r="D25" s="16" t="s">
        <v>1009</v>
      </c>
      <c r="E25" s="14"/>
      <c r="F25" s="14"/>
      <c r="G25" s="14"/>
      <c r="H25" s="14"/>
      <c r="I25" s="14"/>
      <c r="J25" s="20" t="s">
        <v>1010</v>
      </c>
    </row>
    <row r="26">
      <c r="A26" s="9" t="s">
        <v>1011</v>
      </c>
      <c r="B26" s="16" t="s">
        <v>1005</v>
      </c>
      <c r="C26" s="16" t="s">
        <v>964</v>
      </c>
      <c r="D26" s="16" t="s">
        <v>1012</v>
      </c>
      <c r="E26" s="14"/>
      <c r="F26" s="14"/>
      <c r="G26" s="14"/>
      <c r="H26" s="14"/>
      <c r="I26" s="14"/>
      <c r="J26" s="20" t="s">
        <v>1013</v>
      </c>
    </row>
    <row r="27">
      <c r="A27" s="9" t="s">
        <v>301</v>
      </c>
      <c r="B27" s="16" t="s">
        <v>1014</v>
      </c>
      <c r="C27" s="16" t="s">
        <v>964</v>
      </c>
      <c r="D27" s="16" t="s">
        <v>1015</v>
      </c>
      <c r="E27" s="14"/>
      <c r="F27" s="14"/>
      <c r="G27" s="14"/>
      <c r="H27" s="14"/>
      <c r="I27" s="14"/>
      <c r="J27" s="20" t="s">
        <v>1016</v>
      </c>
    </row>
    <row r="28">
      <c r="A28" s="9" t="s">
        <v>813</v>
      </c>
      <c r="B28" s="16" t="s">
        <v>864</v>
      </c>
      <c r="C28" s="16" t="s">
        <v>964</v>
      </c>
      <c r="D28" s="16" t="s">
        <v>1017</v>
      </c>
      <c r="E28" s="14"/>
      <c r="F28" s="14"/>
      <c r="G28" s="14"/>
      <c r="H28" s="14"/>
      <c r="I28" s="14"/>
      <c r="J28" s="20" t="s">
        <v>1018</v>
      </c>
    </row>
    <row r="29">
      <c r="A29" s="9" t="s">
        <v>1019</v>
      </c>
      <c r="B29" s="16" t="s">
        <v>1014</v>
      </c>
      <c r="C29" s="16" t="s">
        <v>964</v>
      </c>
      <c r="D29" s="16" t="s">
        <v>1020</v>
      </c>
      <c r="E29" s="14"/>
      <c r="F29" s="14"/>
      <c r="G29" s="14"/>
      <c r="H29" s="14"/>
      <c r="I29" s="14"/>
      <c r="J29" s="20" t="s">
        <v>1021</v>
      </c>
    </row>
    <row r="30">
      <c r="A30" s="9" t="s">
        <v>1022</v>
      </c>
      <c r="B30" s="16" t="s">
        <v>1023</v>
      </c>
      <c r="C30" s="16" t="s">
        <v>964</v>
      </c>
      <c r="D30" s="16" t="s">
        <v>1024</v>
      </c>
      <c r="E30" s="14"/>
      <c r="F30" s="14"/>
      <c r="G30" s="14"/>
      <c r="H30" s="14"/>
      <c r="I30" s="14"/>
      <c r="J30" s="20" t="s">
        <v>1025</v>
      </c>
    </row>
    <row r="31">
      <c r="A31" s="9" t="s">
        <v>1026</v>
      </c>
      <c r="B31" s="16" t="s">
        <v>1027</v>
      </c>
      <c r="C31" s="16" t="s">
        <v>964</v>
      </c>
      <c r="D31" s="16" t="s">
        <v>1028</v>
      </c>
      <c r="E31" s="14"/>
      <c r="F31" s="14"/>
      <c r="G31" s="14"/>
      <c r="H31" s="14"/>
      <c r="I31" s="14"/>
      <c r="J31" s="20" t="s">
        <v>1029</v>
      </c>
    </row>
    <row r="32">
      <c r="A32" s="9" t="s">
        <v>1030</v>
      </c>
      <c r="B32" s="16" t="s">
        <v>1031</v>
      </c>
      <c r="C32" s="16" t="s">
        <v>964</v>
      </c>
      <c r="D32" s="16" t="s">
        <v>1032</v>
      </c>
      <c r="E32" s="14"/>
      <c r="F32" s="14"/>
      <c r="G32" s="14"/>
      <c r="H32" s="14"/>
      <c r="I32" s="14"/>
      <c r="J32" s="20" t="s">
        <v>1033</v>
      </c>
    </row>
    <row r="33">
      <c r="A33" s="9" t="s">
        <v>1034</v>
      </c>
      <c r="B33" s="16" t="s">
        <v>1035</v>
      </c>
      <c r="C33" s="16" t="s">
        <v>964</v>
      </c>
      <c r="D33" s="16" t="s">
        <v>1036</v>
      </c>
      <c r="E33" s="14"/>
      <c r="F33" s="14"/>
      <c r="G33" s="14"/>
      <c r="H33" s="14"/>
      <c r="I33" s="14"/>
      <c r="J33" s="20" t="s">
        <v>1037</v>
      </c>
    </row>
    <row r="34">
      <c r="A34" s="9" t="s">
        <v>1038</v>
      </c>
      <c r="B34" s="16" t="s">
        <v>775</v>
      </c>
      <c r="C34" s="16" t="s">
        <v>964</v>
      </c>
      <c r="D34" s="16" t="s">
        <v>1039</v>
      </c>
      <c r="E34" s="14"/>
      <c r="F34" s="14"/>
      <c r="G34" s="14"/>
      <c r="H34" s="14"/>
      <c r="I34" s="14"/>
      <c r="J34" s="20" t="s">
        <v>1040</v>
      </c>
    </row>
    <row r="35">
      <c r="A35" s="9" t="s">
        <v>1041</v>
      </c>
      <c r="B35" s="111" t="s">
        <v>1014</v>
      </c>
      <c r="C35" s="111" t="s">
        <v>964</v>
      </c>
      <c r="D35" s="111" t="s">
        <v>1042</v>
      </c>
      <c r="E35" s="108"/>
      <c r="F35" s="108"/>
      <c r="G35" s="108"/>
      <c r="H35" s="108"/>
      <c r="I35" s="108"/>
      <c r="J35" s="20" t="s">
        <v>1043</v>
      </c>
    </row>
    <row r="36">
      <c r="A36" s="112" t="s">
        <v>1044</v>
      </c>
      <c r="B36" s="111" t="s">
        <v>1045</v>
      </c>
      <c r="C36" s="111" t="s">
        <v>964</v>
      </c>
      <c r="D36" s="111" t="s">
        <v>1046</v>
      </c>
      <c r="E36" s="107"/>
      <c r="F36" s="107"/>
      <c r="G36" s="107"/>
      <c r="H36" s="107"/>
      <c r="I36" s="107"/>
      <c r="J36" s="110" t="s">
        <v>1047</v>
      </c>
    </row>
    <row r="37">
      <c r="B37" s="14"/>
      <c r="C37" s="14"/>
      <c r="D37" s="14"/>
      <c r="E37" s="14"/>
      <c r="F37" s="14"/>
      <c r="G37" s="14"/>
      <c r="H37" s="14"/>
      <c r="I37" s="14"/>
    </row>
    <row r="38">
      <c r="A38" s="9" t="s">
        <v>1048</v>
      </c>
      <c r="B38" s="14"/>
      <c r="C38" s="14"/>
      <c r="D38" s="14"/>
      <c r="E38" s="14"/>
      <c r="F38" s="14"/>
      <c r="G38" s="14"/>
      <c r="H38" s="14"/>
      <c r="I38" s="14"/>
      <c r="J38" s="20" t="s">
        <v>1049</v>
      </c>
    </row>
    <row r="39">
      <c r="A39" s="9" t="s">
        <v>1050</v>
      </c>
      <c r="B39" s="9"/>
      <c r="C39" s="9"/>
      <c r="D39" s="9"/>
      <c r="E39" s="9"/>
      <c r="F39" s="9"/>
      <c r="G39" s="9"/>
      <c r="H39" s="9"/>
      <c r="I39" s="9"/>
      <c r="J39" s="20" t="s">
        <v>1051</v>
      </c>
    </row>
    <row r="40">
      <c r="A40" s="9" t="s">
        <v>1052</v>
      </c>
      <c r="B40" s="9"/>
      <c r="C40" s="9"/>
      <c r="D40" s="9"/>
      <c r="E40" s="9"/>
      <c r="F40" s="9"/>
      <c r="G40" s="9"/>
      <c r="H40" s="9"/>
      <c r="I40" s="9"/>
      <c r="J40" s="20" t="s">
        <v>1053</v>
      </c>
    </row>
    <row r="41">
      <c r="A41" s="9" t="s">
        <v>1054</v>
      </c>
      <c r="B41" s="9"/>
      <c r="C41" s="9"/>
      <c r="D41" s="9"/>
      <c r="E41" s="9"/>
      <c r="F41" s="9"/>
      <c r="G41" s="9"/>
      <c r="H41" s="9"/>
      <c r="I41" s="9"/>
      <c r="J41" s="20" t="s">
        <v>1055</v>
      </c>
    </row>
    <row r="42">
      <c r="A42" s="9"/>
      <c r="B42" s="9"/>
      <c r="C42" s="9"/>
      <c r="D42" s="9"/>
      <c r="E42" s="9"/>
      <c r="F42" s="9"/>
      <c r="G42" s="9"/>
      <c r="H42" s="9"/>
      <c r="I42" s="9"/>
      <c r="J42" s="9"/>
    </row>
    <row r="43">
      <c r="A43" s="9"/>
      <c r="B43" s="9"/>
      <c r="C43" s="9"/>
      <c r="D43" s="9"/>
      <c r="E43" s="9"/>
      <c r="F43" s="9"/>
      <c r="G43" s="9"/>
      <c r="H43" s="9"/>
      <c r="I43" s="9"/>
      <c r="J43" s="9"/>
    </row>
    <row r="44">
      <c r="A44" s="9"/>
      <c r="B44" s="9"/>
      <c r="C44" s="9"/>
      <c r="D44" s="9"/>
      <c r="E44" s="9"/>
      <c r="F44" s="9"/>
      <c r="G44" s="9"/>
      <c r="H44" s="9"/>
      <c r="I44" s="9"/>
      <c r="J44" s="9"/>
    </row>
    <row r="45">
      <c r="A45" s="9"/>
      <c r="B45" s="9"/>
      <c r="C45" s="9"/>
      <c r="D45" s="9"/>
      <c r="E45" s="9"/>
      <c r="F45" s="9"/>
      <c r="G45" s="9"/>
      <c r="H45" s="9"/>
      <c r="I45" s="9"/>
      <c r="J45" s="9"/>
    </row>
    <row r="46">
      <c r="A46" s="9"/>
      <c r="B46" s="9"/>
      <c r="C46" s="9"/>
      <c r="D46" s="9"/>
      <c r="E46" s="9"/>
      <c r="F46" s="9"/>
      <c r="G46" s="9"/>
      <c r="H46" s="9"/>
      <c r="I46" s="9"/>
      <c r="J46" s="9"/>
    </row>
    <row r="47">
      <c r="A47" s="9"/>
      <c r="B47" s="9"/>
      <c r="C47" s="9"/>
      <c r="D47" s="9"/>
      <c r="E47" s="9"/>
      <c r="F47" s="9"/>
      <c r="G47" s="9"/>
      <c r="H47" s="9"/>
      <c r="I47" s="9"/>
      <c r="J47" s="9"/>
    </row>
    <row r="48">
      <c r="A48" s="9"/>
      <c r="B48" s="9"/>
      <c r="C48" s="9"/>
      <c r="D48" s="9"/>
      <c r="E48" s="9"/>
      <c r="F48" s="9"/>
      <c r="G48" s="9"/>
      <c r="H48" s="9"/>
      <c r="I48" s="9"/>
      <c r="J48" s="9"/>
    </row>
    <row r="49">
      <c r="A49" s="9"/>
      <c r="B49" s="9"/>
      <c r="C49" s="9"/>
      <c r="D49" s="9"/>
      <c r="E49" s="9"/>
      <c r="F49" s="9"/>
      <c r="G49" s="9"/>
      <c r="H49" s="9"/>
      <c r="I49" s="9"/>
      <c r="J49" s="9"/>
    </row>
    <row r="50">
      <c r="A50" s="9"/>
      <c r="B50" s="9"/>
      <c r="C50" s="9"/>
      <c r="D50" s="9"/>
      <c r="E50" s="9"/>
      <c r="F50" s="9"/>
      <c r="G50" s="9"/>
      <c r="H50" s="9"/>
      <c r="I50" s="9"/>
      <c r="J50" s="9"/>
    </row>
    <row r="51">
      <c r="A51" s="9"/>
      <c r="B51" s="9"/>
      <c r="C51" s="9"/>
      <c r="D51" s="9"/>
      <c r="E51" s="9"/>
      <c r="F51" s="9"/>
      <c r="G51" s="9"/>
      <c r="H51" s="9"/>
      <c r="I51" s="9"/>
      <c r="J51" s="9"/>
    </row>
  </sheetData>
</worksheet>
</file>