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Real Estate" sheetId="3" r:id="rId4"/>
    <sheet name="Segment - Private Equity" sheetId="4" r:id="rId5"/>
    <sheet name="Segment - Credit &amp; Insurance" sheetId="5" r:id="rId6"/>
    <sheet name="Segment - Multi-Asset Investing" sheetId="6" r:id="rId7"/>
    <sheet name="Income Statement" sheetId="7" r:id="rId8"/>
    <sheet name="Balance Sheet" sheetId="8" r:id="rId9"/>
    <sheet name="Cash Flow Statement" sheetId="9" r:id="rId10"/>
    <sheet name="Share Count" sheetId="10" r:id="rId11"/>
    <sheet name="Guidance" sheetId="11" r:id="rId12"/>
    <sheet name="Sources" sheetId="12" r:id="rId13"/>
    <sheet name="Inputs" sheetId="13" r:id="rId14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H109" authorId="0">
      <text>
        <t>Blackstone press release 22-Sep-2026 | Intra-Quarter Realization Update | in excess of $350 million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F130" authorId="0">
      <text>
        <t>BREIT 10-Q 1Q26 (R18) | Due to Affiliates | Performance participation allocation 156,706</t>
      </text>
    </comment>
    <comment ref="G130" authorId="0">
      <text>
        <t>breit-20260630.htm | Statement of Operations | Performance participation allocation 243,066</t>
      </text>
    </comment>
    <comment ref="H136" authorId="0">
      <text>
        <t>breitnavaugust2026.htm | Components of NAV | Accrued performance participation allocation (152,094)</t>
      </text>
    </comment>
    <comment ref="H137" authorId="0">
      <text>
        <t>breitnavaugust2026.htm | Components of NAV | Net asset value $57,730,320</t>
      </text>
    </comment>
    <comment ref="H227" authorId="0">
      <text>
        <t>breitnavjuly2026a.htm | Portfolio Update | Class I total return was 1.2%</t>
      </text>
    </comment>
    <comment ref="H228" authorId="0">
      <text>
        <t>breitnavaugust2026.htm | Portfolio Update | Class I total return was 0.6%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G139" authorId="0">
      <text>
        <t>bxpe-20260630.htm | Aggregator Statement of Operations | Performance Participation Allocation 180,948</t>
      </text>
    </comment>
    <comment ref="H140" authorId="0">
      <text>
        <t>BXPE 8-K Jul-22-2026 | Item 7.01 | approximately $25.3 billion</t>
      </text>
    </comment>
    <comment ref="H141" authorId="0">
      <text>
        <t>BXPE 8-K Jul-22-2026 | Transactional NAV | Series I $39.01</t>
      </text>
    </comment>
    <comment ref="H142" authorId="0">
      <text>
        <t>BXPE 8-K Sep-29-2026 | Transactional NAV | Class I-Series I $39.72</t>
      </text>
    </comment>
  </commentList>
</comments>
</file>

<file path=xl/sharedStrings.xml><?xml version="1.0" encoding="utf-8"?>
<sst xmlns="http://schemas.openxmlformats.org/spreadsheetml/2006/main" count="3927" uniqueCount="1164">
  <si>
    <t>Blackstone Inc. (NYSE: BX)</t>
  </si>
  <si>
    <t>Company Model — built by Shortcut</t>
  </si>
  <si>
    <t>$ millions, except per share</t>
  </si>
  <si>
    <t>Period columns: n/a on this tab – see in-table column headers</t>
  </si>
  <si>
    <t>Notes</t>
  </si>
  <si>
    <t>Company</t>
  </si>
  <si>
    <t>Blackstone Inc.</t>
  </si>
  <si>
    <t>Ticker / exchange</t>
  </si>
  <si>
    <t>BX / New York Stock Exchange (NYSE:BX)</t>
  </si>
  <si>
    <t>Fiscal year end</t>
  </si>
  <si>
    <t>December 31 (FQ3 2026 = quarter ended 2026-09-30)</t>
  </si>
  <si>
    <t>Reporting currency</t>
  </si>
  <si>
    <t>USD; amounts in $ millions</t>
  </si>
  <si>
    <t>EPS basis (consensus)</t>
  </si>
  <si>
    <t>Distributable Earnings per common share (CapIQ normalized diluted EPS), USD</t>
  </si>
  <si>
    <t>Revenue basis (consensus)</t>
  </si>
  <si>
    <t>Total Segment Revenues (non-GAAP), equals CapIQ revenue actuals</t>
  </si>
  <si>
    <t>Information cutoff</t>
  </si>
  <si>
    <t>2026-10-18 21:34 UTC</t>
  </si>
  <si>
    <t>Expected report date</t>
  </si>
  <si>
    <t>2026-10-22, before market open (issuer-confirmed, S20); CapIQ supplied 2026-10-22</t>
  </si>
  <si>
    <t>Author</t>
  </si>
  <si>
    <t>Shortcut (model built by Shortcut)</t>
  </si>
  <si>
    <t>Headline: 3Q26E estimate vs consensus vs guidance</t>
  </si>
  <si>
    <t>Metric</t>
  </si>
  <si>
    <t>Shortcut est.</t>
  </si>
  <si>
    <t>Consensus</t>
  </si>
  <si>
    <t>Var. ($)</t>
  </si>
  <si>
    <t>Var. (%)</t>
  </si>
  <si>
    <t>Guide mid.</t>
  </si>
  <si>
    <t>Basis</t>
  </si>
  <si>
    <t>Total segment revenues ($m)</t>
  </si>
  <si>
    <t>n/a</t>
  </si>
  <si>
    <t>Non-GAAP</t>
  </si>
  <si>
    <t>Consensus: CapIQ revenue mean, 4 of 7 contributors (S18)</t>
  </si>
  <si>
    <t>Base management fees ($m)</t>
  </si>
  <si>
    <t>Segment</t>
  </si>
  <si>
    <t>Guidance midpoint implied by "similar Y/Y growth as Q2" (S8)</t>
  </si>
  <si>
    <t>Net income – DE to common ($m)</t>
  </si>
  <si>
    <t>EPS basis</t>
  </si>
  <si>
    <t>Net income on the EPS basis = DE attributable to common shareholders; no CapIQ consensus on this exact basis</t>
  </si>
  <si>
    <t>Distributable earnings, total ($m)</t>
  </si>
  <si>
    <t>CapIQ net_income_excl_excep 1,698.38; mapping to total DE (all units) is unverified (1,698.38 / $1.28 = 1,327m implied shares vs 800.4m common, 1,243.5m DE shares) – variance indicative only</t>
  </si>
  <si>
    <t>EPS – DE per common share ($)</t>
  </si>
  <si>
    <t>Normalized</t>
  </si>
  <si>
    <t>Scored target; CapIQ mean 1.28, median 1.27, n=19</t>
  </si>
  <si>
    <t>GAAP NI attrib. to BX Inc. ($m)</t>
  </si>
  <si>
    <t>n/m</t>
  </si>
  <si>
    <t>GAAP</t>
  </si>
  <si>
    <t>CapIQ net_income_gaap appears to be on a DE basis (CapIQ GAAP EPS history equals DE/share); not comparable</t>
  </si>
  <si>
    <t>GAAP diluted EPS ($)</t>
  </si>
  <si>
    <t>CapIQ eps_gaap_mean 1.29 (n=13); CapIQ GAAP actuals equal DE/share, so treat as DE-basis</t>
  </si>
  <si>
    <t>Overall model check (genuine reconciliations only)</t>
  </si>
  <si>
    <t>Excludes identities that are 0 by construction: Cover C33:C35, IS H254/H258/H263 (H245 plug), IS row 281, CF H54/H56. Includes 3Q26E BS H38.</t>
  </si>
  <si>
    <t>P(beat consensus EPS)</t>
  </si>
  <si>
    <t>Confidence</t>
  </si>
  <si>
    <t>Cover link ties (identities, 0 by construction; excluded from C28)</t>
  </si>
  <si>
    <t>EPS tie: Cover - Income Statement</t>
  </si>
  <si>
    <t>Revenue tie: Cover - Revenue summary</t>
  </si>
  <si>
    <t>NI tie: Cover - Income Statement</t>
  </si>
  <si>
    <t>Other consensus observations (not the scoring baseline)</t>
  </si>
  <si>
    <t>Zacks consensus EPS, 16-Oct-2026</t>
  </si>
  <si>
    <t>S24; revised down 1.5% in prior 7 days; not the scoring baseline</t>
  </si>
  <si>
    <t>Zacks consensus revenue $m, 16-Oct</t>
  </si>
  <si>
    <t>S24</t>
  </si>
  <si>
    <t>UBS RPR+PII estimate $m, 23-Sep</t>
  </si>
  <si>
    <t>S22; Street RPR+PII estimate then ~$710m vs model see Revenue summary driver</t>
  </si>
  <si>
    <t>CapIQ EPS median / high / low</t>
  </si>
  <si>
    <t>Key drivers: realizations tracked below Street (update &gt;$350m to 9/22); BREIT/BXPE fee-related performance revenues lower Q/Q;</t>
  </si>
  <si>
    <t>base fees per guidance (~+4.7% Y/Y); taxes &amp; payables 8.5% of pre-tax DE (Q3 seasonal true-up). See Guidance and Sources.</t>
  </si>
  <si>
    <t>Revenue summary (segment revenues, non-GAAP basis = CapIQ revenue basis)</t>
  </si>
  <si>
    <t>Period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</si>
  <si>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</si>
  <si>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</si>
  <si>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</si>
  <si>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</si>
  <si>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</si>
  <si>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</si>
  <si>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</si>
  <si>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</si>
  <si>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Segment revenues ($ millions)</t>
  </si>
  <si>
    <t>Real Estate</t>
  </si>
  <si>
    <t>% Y/Y</t>
  </si>
  <si>
    <t>% Q/Q</t>
  </si>
  <si>
    <t>% of total revenue</t>
  </si>
  <si>
    <t>Organic growth (n/d)</t>
  </si>
  <si>
    <t>n/d</t>
  </si>
  <si>
    <t>M&amp;A and FX impacts not disclosed; organic unavailable</t>
  </si>
  <si>
    <t>M&amp;A / scope impact (n/d)</t>
  </si>
  <si>
    <t>FX impact (n/d)</t>
  </si>
  <si>
    <t>Private Equity</t>
  </si>
  <si>
    <t>Credit &amp; Insurance</t>
  </si>
  <si>
    <t>Multi-Asset Investing</t>
  </si>
  <si>
    <t>Total segment revenues</t>
  </si>
  <si>
    <t>Organic = (1+Y/Y)/((1+M&amp;A)*(1+FX))-1; issuer does not disclose M&amp;A or FX impacts, so unavailable</t>
  </si>
  <si>
    <t>Not disclosed by issuer</t>
  </si>
  <si>
    <t>Check: segments - by type (=0)</t>
  </si>
  <si>
    <t>Memo: CapIQ revenue actual</t>
  </si>
  <si>
    <t>CapIQ revenue = Blackstone Total Segment Revenues (ties to 2 dp)</t>
  </si>
  <si>
    <t>Check: model - CapIQ (rounded, =0)</t>
  </si>
  <si>
    <t>Check: FY25 vs reported FY25 (=0)</t>
  </si>
  <si>
    <t>FY25 = sum of four quarters; compared with reported FY25 segment revenues (segment memo rows)</t>
  </si>
  <si>
    <t>Revenue by type – total firm ($ millions)</t>
  </si>
  <si>
    <t>Base management fees</t>
  </si>
  <si>
    <t>Transaction, advisory &amp; other fees</t>
  </si>
  <si>
    <t>Management fee offsets</t>
  </si>
  <si>
    <t>Total mgmt &amp; advisory fees, net</t>
  </si>
  <si>
    <t>Fee related performance revenues</t>
  </si>
  <si>
    <t>Fee revenues</t>
  </si>
  <si>
    <t>Realized performance revenues</t>
  </si>
  <si>
    <t>Realized principal investment income</t>
  </si>
  <si>
    <t>Total segment revenues (by type)</t>
  </si>
  <si>
    <t>Firm realization driver – 3Q26E ($ millions)</t>
  </si>
  <si>
    <t>QTD update: RPR+PII to 9/22</t>
  </si>
  <si>
    <t>S10: "in excess of $350 million", ~90% RPR (Jul 1–Sep 22)</t>
  </si>
  <si>
    <t>Full-quarter / update ratio (avg.)</t>
  </si>
  <si>
    <t>Average of 7 prior updates vs reported (Guidance tab)</t>
  </si>
  <si>
    <t>RPR + PII (driver)</t>
  </si>
  <si>
    <t>Q/Q change ($)</t>
  </si>
  <si>
    <t>RPR share of RPR+PII</t>
  </si>
  <si>
    <t>3Q26E: update said ~90% RPR at 9/22; 88% allows quarter-end PII</t>
  </si>
  <si>
    <t>Change Q/Q (bps)</t>
  </si>
  <si>
    <t>Change Y/Y (bps)</t>
  </si>
  <si>
    <t>Firm RPR (driver)</t>
  </si>
  <si>
    <t>Firm PII (driver)</t>
  </si>
  <si>
    <t>Check: segment shares sum to 100%</t>
  </si>
  <si>
    <t>Geography: Blackstone does not disclose revenue by geography (10-Q 2Q26, 10-K 2025 segment notes); Geo tab omitted.</t>
  </si>
  <si>
    <t>Firm operating metrics – sum of segment tabs ($ millions)</t>
  </si>
  <si>
    <t>Total AUM – closing balance</t>
  </si>
  <si>
    <t>Fee-earning AUM – closing balance</t>
  </si>
  <si>
    <t>Total AUM net flows (inflows - outflows)</t>
  </si>
  <si>
    <t>Sum of segment tabs row 49 (excludes realizations and market activity)</t>
  </si>
  <si>
    <t>Fee-earning AUM net flows</t>
  </si>
  <si>
    <t>Sum of segment tabs row 17</t>
  </si>
  <si>
    <t>Target metrics not applicable to Blackstone</t>
  </si>
  <si>
    <t>Operating income</t>
  </si>
  <si>
    <t>Not issuer-defined; GAAP income before taxes tracked at Income Statement row 109</t>
  </si>
  <si>
    <t>Operating margin</t>
  </si>
  <si>
    <t>Not issuer-defined; GAAP pre-tax margin proxy at Income Statement row 133 (not scored)</t>
  </si>
  <si>
    <t>Gross profit</t>
  </si>
  <si>
    <t>Alternative asset manager: no cost of sales / gross profit line in GAAP presentation</t>
  </si>
  <si>
    <t>Gross margin</t>
  </si>
  <si>
    <t>Alternative asset manager: no gross margin</t>
  </si>
  <si>
    <t>Segment - Real Estate</t>
  </si>
  <si>
    <t>Fee-earning AUM rollforward ($ millions)</t>
  </si>
  <si>
    <t>FEAUM – opening balance</t>
  </si>
  <si>
    <t>S3-S6 rollforward pages; opening = prior closing</t>
  </si>
  <si>
    <t>Inflows (gross additions)</t>
  </si>
  <si>
    <t>S1,S3-S6; 3Q26E assumption</t>
  </si>
  <si>
    <t>Outflows (redemptions / churn)</t>
  </si>
  <si>
    <t>3Q26E = opening x outflow rate</t>
  </si>
  <si>
    <t>Net flows</t>
  </si>
  <si>
    <t>Realizations</t>
  </si>
  <si>
    <t>3Q26E judgmental assumption (above 2Q26 -4,474); not derived from S9 – CFO "realizations down sequentially" is tested on Total AUM realizations (Guidance row 14), not FEAUM</t>
  </si>
  <si>
    <t>Market activity</t>
  </si>
  <si>
    <t>3Q26E assumption</t>
  </si>
  <si>
    <t>FEAUM – closing balance</t>
  </si>
  <si>
    <t>Memo: reported closing FEAUM</t>
  </si>
  <si>
    <t>S1 supplemental ($000s / 1,000)</t>
  </si>
  <si>
    <t>Check: vs reported (0 = within 5)</t>
  </si>
  <si>
    <t>Rollforward lines are reported in rounded $m; differences up to $5m are rounding</t>
  </si>
  <si>
    <t>Average FEAUM (weighted)</t>
  </si>
  <si>
    <t>S1 weighted-average FEAUM; 3Q26E = average of opening and closing</t>
  </si>
  <si>
    <t>Outflow rate (% of opening FEAUM)</t>
  </si>
  <si>
    <t>3Q26E assumption (blue); FY25 (E34) = ANNUAL outflows / FY opening FEAUM – annual rate, not comparable with quarterly columns</t>
  </si>
  <si>
    <t>Net flow rate (% of opening FEAUM)</t>
  </si>
  <si>
    <t>FY25 (E37) = ANNUAL net flows / FY opening FEAUM – annual rate, not comparable with quarterly columns</t>
  </si>
  <si>
    <t>Total AUM rollforward ($ millions)</t>
  </si>
  <si>
    <t>Total AUM – opening balance</t>
  </si>
  <si>
    <t>Inflows</t>
  </si>
  <si>
    <t>Outflows</t>
  </si>
  <si>
    <t>Memo: reported closing Total AUM</t>
  </si>
  <si>
    <t>Rounded $m rollforward; differences up to $5m are rounding</t>
  </si>
  <si>
    <t>Fee-earning share of Total AUM</t>
  </si>
  <si>
    <t>Capital metrics by strategy ($ millions)</t>
  </si>
  <si>
    <t>Inflows – total segment</t>
  </si>
  <si>
    <t>Links Total AUM inflows above</t>
  </si>
  <si>
    <t>Inflows – Opportunistic</t>
  </si>
  <si>
    <t>3Q26E = segment total x trailing-4-quarter mix</t>
  </si>
  <si>
    <t>Inflows – Core+</t>
  </si>
  <si>
    <t>Inflows – Debt Strategies</t>
  </si>
  <si>
    <t>Capital deployed – total segment</t>
  </si>
  <si>
    <t>S1; 3Q26E assumption (not an earnings driver in this model)</t>
  </si>
  <si>
    <t>Deployed – Opportunistic</t>
  </si>
  <si>
    <t>Deployed – Core+</t>
  </si>
  <si>
    <t>Deployed – Debt Strategies</t>
  </si>
  <si>
    <t>Realizations – total segment</t>
  </si>
  <si>
    <t>Links Total AUM realizations above (sign flipped)</t>
  </si>
  <si>
    <t>Realizations – Opportunistic</t>
  </si>
  <si>
    <t>Realizations – Core+</t>
  </si>
  <si>
    <t>Realizations – Debt Strategies</t>
  </si>
  <si>
    <t>Revenue build ($ millions)</t>
  </si>
  <si>
    <t>3Q26E = fee rate x avg FEAUM x days/365</t>
  </si>
  <si>
    <t>Base fee rate (bps, annualized)</t>
  </si>
  <si>
    <t>3Q26E assumption (blue); mgmt guided 3Q26 base fee Y/Y growth similar to 2Q26 (S8)</t>
  </si>
  <si>
    <t>FRPR driver: BREIT perf. partic.</t>
  </si>
  <si>
    <t>BREIT perf. participation</t>
  </si>
  <si>
    <t>S14 BREIT 10-Q; 3Q26E = Jul-Aug accrual + Sept estimate</t>
  </si>
  <si>
    <t>Jul–Aug accrued (actual)</t>
  </si>
  <si>
    <t>S15 BREIT Aug-26 NAV supplement: accrued PPA at 8/31</t>
  </si>
  <si>
    <t>BREIT NAV, Aug 31 ($m)</t>
  </si>
  <si>
    <t>BREIT Sept return (assumed)</t>
  </si>
  <si>
    <t>Jul 1.2%, Aug 0.6% (S15); Sept not yet published at cutoff</t>
  </si>
  <si>
    <t>BREIT perf. participation rate</t>
  </si>
  <si>
    <t>12.5% of total return (BREIT prospectus)</t>
  </si>
  <si>
    <t>September accrual (estimate)</t>
  </si>
  <si>
    <t>12.5% of gross-up of net return; calibrated to Jul/Aug accruals</t>
  </si>
  <si>
    <t>Other RE FRPR</t>
  </si>
  <si>
    <t>History: RE FRPR less BREIT PPA (≈0)</t>
  </si>
  <si>
    <t>3Q26E: see driver rows</t>
  </si>
  <si>
    <t>n/m where |year-ago base| &lt; 5% of current value (near-zero base); applied to the cell(s) in this row that exceed it</t>
  </si>
  <si>
    <t>3Q26E = firm RPR driver x segment share</t>
  </si>
  <si>
    <t>Share of firm RPR (%)</t>
  </si>
  <si>
    <t>3Q26E = firm PII driver x segment share</t>
  </si>
  <si>
    <t>Share of firm PII (%)</t>
  </si>
  <si>
    <t>Segment revenues</t>
  </si>
  <si>
    <t>Memo: reported segment revenues</t>
  </si>
  <si>
    <t>S1 / S2 supplemental</t>
  </si>
  <si>
    <t>Check: built - reported (=0)</t>
  </si>
  <si>
    <t>Expenses and segment earnings ($ millions)</t>
  </si>
  <si>
    <t>Fee related compensation</t>
  </si>
  <si>
    <t>3Q26E = -(FRC ratio x fee revenues)</t>
  </si>
  <si>
    <t>FRC ratio (% of fee revenues)</t>
  </si>
  <si>
    <t>Other operating expenses</t>
  </si>
  <si>
    <t>Fee related earnings</t>
  </si>
  <si>
    <t>FRE margin (% of fee revenues)</t>
  </si>
  <si>
    <t>Realized performance compensation</t>
  </si>
  <si>
    <t>3Q26E = -(comp ratio x RPR)</t>
  </si>
  <si>
    <t>Realized perf. comp ratio (% RPR)</t>
  </si>
  <si>
    <t>Net realizations</t>
  </si>
  <si>
    <t>Segment distributable earnings</t>
  </si>
  <si>
    <t>Segment DE margin (% of seg. rev.)</t>
  </si>
  <si>
    <t>Memo: reported segment DE</t>
  </si>
  <si>
    <t>Investment performance (fund appreciation / gross return)</t>
  </si>
  <si>
    <t>Opportunistic</t>
  </si>
  <si>
    <t>S3-S7 investment performance; context, not forecast</t>
  </si>
  <si>
    <t>Core+</t>
  </si>
  <si>
    <t>BREIT July net return (Class I)</t>
  </si>
  <si>
    <t>BREIT August net return (Class I)</t>
  </si>
  <si>
    <t>Memo: BREIT Q3 net return (Jul-Sep)</t>
  </si>
  <si>
    <t>Jul and Aug reported (S15); Sept assumed</t>
  </si>
  <si>
    <t>Net accrued performance revenues (NAPR, $ millions)</t>
  </si>
  <si>
    <t>BREP Global</t>
  </si>
  <si>
    <t>S5/S6 NAPR by fund; balance (FY = 4Q); not forecast</t>
  </si>
  <si>
    <t>BREP Europe</t>
  </si>
  <si>
    <t>BREP Asia</t>
  </si>
  <si>
    <t>BPP</t>
  </si>
  <si>
    <t>BREDS</t>
  </si>
  <si>
    <t>NAPR – segment total</t>
  </si>
  <si>
    <t>Memo: reported segment NAPR</t>
  </si>
  <si>
    <t>Check: funds vs reported (tol. 2)</t>
  </si>
  <si>
    <t>Fund-level NAPR is reported in rounded $m; differences up to $2m are rounding</t>
  </si>
  <si>
    <t>Notes: 3Q26E (column H, shaded) cells in blue are assumptions; black are formulas; green link other tabs.</t>
  </si>
  <si>
    <t>Segment - Private Equity</t>
  </si>
  <si>
    <t>3Q26E judgmental assumption (below 2Q26 -4,559); not derived from S9 – CFO "realizations down sequentially" is tested on Total AUM realizations (Guidance row 14), not FEAUM</t>
  </si>
  <si>
    <t>Inflows – Corporate Private Equity</t>
  </si>
  <si>
    <t>Inflows – Tactical Opportunities</t>
  </si>
  <si>
    <t>Inflows – Secondaries</t>
  </si>
  <si>
    <t>Inflows – Infrastructure</t>
  </si>
  <si>
    <t>Deployed – Corporate PE</t>
  </si>
  <si>
    <t>Deployed – Tactical Opportunities</t>
  </si>
  <si>
    <t>Deployed – Secondaries</t>
  </si>
  <si>
    <t>Deployed – Infrastructure</t>
  </si>
  <si>
    <t>Realizations – Corporate PE</t>
  </si>
  <si>
    <t>Realizations – Tactical Opps</t>
  </si>
  <si>
    <t>Realizations – Secondaries</t>
  </si>
  <si>
    <t>Realizations – Infrastructure</t>
  </si>
  <si>
    <t>FRPR driver: BXPE perf. partic.</t>
  </si>
  <si>
    <t>BXPE U.S. Aggregator PPA (memo)</t>
  </si>
  <si>
    <t>S16 BXPE 10-Q: U.S. aggregator only (~70% of program); memo</t>
  </si>
  <si>
    <t>BXPE program NAV, Jun 30 ($m)</t>
  </si>
  <si>
    <t>BXPE Class I NAV/unit, Jun 30</t>
  </si>
  <si>
    <t>BXPE Class I NAV/unit, Aug 31</t>
  </si>
  <si>
    <t>Jul–Aug net return (actual)</t>
  </si>
  <si>
    <t>Sept net return (assumption)</t>
  </si>
  <si>
    <t>Sept NAV not published at cutoff</t>
  </si>
  <si>
    <t>BXPE 3Q26 net return</t>
  </si>
  <si>
    <t>BXPE perf. participation rate</t>
  </si>
  <si>
    <t>12.5% of total return (BXPE 10-Q)</t>
  </si>
  <si>
    <t>BXPE perf. participation (est.)</t>
  </si>
  <si>
    <t>Rate x net return grossed up, x NAV</t>
  </si>
  <si>
    <t>Other PE FRPR (BIP, BXINFRA)</t>
  </si>
  <si>
    <t>3Q26E assumption; Q1 implied ~$14m, Q2 ~$133m (seasonal crystallizations)</t>
  </si>
  <si>
    <t>Corporate Private Equity</t>
  </si>
  <si>
    <t>Tactical Opportunities</t>
  </si>
  <si>
    <t>Secondaries</t>
  </si>
  <si>
    <t>Infrastructure</t>
  </si>
  <si>
    <t>Memo: BXPE 3Q26 net return (est.)</t>
  </si>
  <si>
    <t>BCP Global</t>
  </si>
  <si>
    <t>BCP Asia</t>
  </si>
  <si>
    <t>Energy/Energy Transition</t>
  </si>
  <si>
    <t>Core Private Equity</t>
  </si>
  <si>
    <t>Life Sciences</t>
  </si>
  <si>
    <t>BTAS (incl. BXPE where shown)</t>
  </si>
  <si>
    <t>Segment - Credit &amp; Insurance</t>
  </si>
  <si>
    <t>3Q26E judgmental assumption (above 2Q26 -8,037); not derived from S9 – CFO "realizations down sequentially" is tested on Total AUM realizations (Guidance row 14), not FEAUM</t>
  </si>
  <si>
    <t>3Q26E assumption: BCRED/BXSL income incentive fees trending down (S1)</t>
  </si>
  <si>
    <t>Private Credit</t>
  </si>
  <si>
    <t>Liquid Credit</t>
  </si>
  <si>
    <t>S5/S6; balance; not forecast</t>
  </si>
  <si>
    <t>Segment - Multi-Asset Investing</t>
  </si>
  <si>
    <t>3Q26E judgmental assumption (above 2Q26 -677); not derived from S9 – CFO "realizations down sequentially" is tested on Total AUM realizations (Guidance row 14), not FEAUM</t>
  </si>
  <si>
    <t>Multi-Asset Investing reports no FRPR line</t>
  </si>
  <si>
    <t>Absolute Return Composite</t>
  </si>
  <si>
    <t>Income Statement (GAAP) with GAAP-to-DE bridge and DE per share</t>
  </si>
  <si>
    <t>GAAP consolidated statement of operations ($ millions)</t>
  </si>
  <si>
    <t>Revenues</t>
  </si>
  <si>
    <t>Management &amp; advisory fees, net</t>
  </si>
  <si>
    <t>3Q26E = segment fees + GAAP adjustment</t>
  </si>
  <si>
    <t>Incentive fees</t>
  </si>
  <si>
    <t>Perf. allocations – realized</t>
  </si>
  <si>
    <t>3Q26E = segment FRPR + RPR - incentive fees</t>
  </si>
  <si>
    <t>Perf. allocations – unrealized</t>
  </si>
  <si>
    <t>Principal investments – realized</t>
  </si>
  <si>
    <t>Principal investments – unrealized</t>
  </si>
  <si>
    <t>Total investment income</t>
  </si>
  <si>
    <t>Interest &amp; dividend revenue</t>
  </si>
  <si>
    <t>Other revenue</t>
  </si>
  <si>
    <t>3Q26E assumption (FX-driven; not forecast)</t>
  </si>
  <si>
    <t>Total revenues</t>
  </si>
  <si>
    <t>Expenses</t>
  </si>
  <si>
    <t>Compensation</t>
  </si>
  <si>
    <t>3Q26E = segment FRC - fee-related perf comp + equity comp</t>
  </si>
  <si>
    <t>Incentive fee compensation</t>
  </si>
  <si>
    <t>Perf. alloc. comp – realized</t>
  </si>
  <si>
    <t>Perf. alloc. comp – unrealized</t>
  </si>
  <si>
    <t>Total compensation &amp; benefits</t>
  </si>
  <si>
    <t>General, administrative &amp; other</t>
  </si>
  <si>
    <t>Interest expense</t>
  </si>
  <si>
    <t>3Q26E assumption (2Q26 $145m)</t>
  </si>
  <si>
    <t>Fund expenses</t>
  </si>
  <si>
    <t>Total expenses</t>
  </si>
  <si>
    <t>Other income</t>
  </si>
  <si>
    <t>Change in TRA liability</t>
  </si>
  <si>
    <t>Net gains from fund investment act.</t>
  </si>
  <si>
    <t>Total other income</t>
  </si>
  <si>
    <t>Income before provision for taxes</t>
  </si>
  <si>
    <t>Provision for taxes</t>
  </si>
  <si>
    <t>Net income</t>
  </si>
  <si>
    <t>Less: redeemable NCI</t>
  </si>
  <si>
    <t>Less: NCI – consolidated entities</t>
  </si>
  <si>
    <t>Less: NCI – Blackstone Holdings</t>
  </si>
  <si>
    <t>NI attributable to BX Inc.</t>
  </si>
  <si>
    <t>Memo: reported NI to BX Inc.</t>
  </si>
  <si>
    <t>Check: computed - reported (=0)</t>
  </si>
  <si>
    <t>Memo: reported total revenues</t>
  </si>
  <si>
    <t>Margins and per-share (GAAP)</t>
  </si>
  <si>
    <t>Pre-tax margin (% of revenues)</t>
  </si>
  <si>
    <t>Effective tax rate</t>
  </si>
  <si>
    <t>3Q26E GAAP effective tax rate assumption (blue)</t>
  </si>
  <si>
    <t>Net margin attrib. to BX Inc.</t>
  </si>
  <si>
    <t>Weighted-avg. basic shares (m)</t>
  </si>
  <si>
    <t>Weighted-avg. diluted shares (m)</t>
  </si>
  <si>
    <t>GAAP EPS – basic</t>
  </si>
  <si>
    <t>GAAP EPS – diluted</t>
  </si>
  <si>
    <t>Memo: reported GAAP diluted EPS</t>
  </si>
  <si>
    <t>S3-S6 press releases</t>
  </si>
  <si>
    <t>Check: ROUND(EPS,2) - reported</t>
  </si>
  <si>
    <t>GAAP forecast assumptions (3Q26E inputs; history = implied)</t>
  </si>
  <si>
    <t>GAAP - segment mgmt fees</t>
  </si>
  <si>
    <t>Consolidated-fund fee add-back / NAV-based fee gross-up</t>
  </si>
  <si>
    <t>GAAP incentive fees</t>
  </si>
  <si>
    <t>3Q26E assumption (2Q26 $159m)</t>
  </si>
  <si>
    <t>Unrealized perf. allocations</t>
  </si>
  <si>
    <t>Modest Q3 appreciation net of realizations (BXPE +2.3%, BREIT +2.2%)</t>
  </si>
  <si>
    <t>GAAP - segment realized PI</t>
  </si>
  <si>
    <t>Unrealized principal investments</t>
  </si>
  <si>
    <t>Fee related perf. comp (reported)</t>
  </si>
  <si>
    <t>S6 reconciliation</t>
  </si>
  <si>
    <t>FRPC % of FRPR</t>
  </si>
  <si>
    <t>Fee related perf. comp (3Q26E)</t>
  </si>
  <si>
    <t>Equity-based comp – fee related</t>
  </si>
  <si>
    <t>S6 reconciliation; 1Q seasonally high</t>
  </si>
  <si>
    <t>Equity-based comp – performance</t>
  </si>
  <si>
    <t>Unreal. perf. comp % unreal. PA</t>
  </si>
  <si>
    <t>GAAP G&amp;A - segment other opex</t>
  </si>
  <si>
    <t>Holdings NCI share of NI</t>
  </si>
  <si>
    <t>Segment basis summary (sum of segment tabs, $ millions)</t>
  </si>
  <si>
    <t>Fee related perf. revenues</t>
  </si>
  <si>
    <t>Fee related earnings (FRE)</t>
  </si>
  <si>
    <t>Realized performance comp.</t>
  </si>
  <si>
    <t>Realized principal inv. income</t>
  </si>
  <si>
    <t>Total segment DE</t>
  </si>
  <si>
    <t>Distributable earnings (DE) build ($ millions)</t>
  </si>
  <si>
    <t>Net interest &amp; dividend inc.</t>
  </si>
  <si>
    <t>DE before taxes &amp; related payables</t>
  </si>
  <si>
    <t>Taxes &amp; payables rate (% pre-tax DE)</t>
  </si>
  <si>
    <t>3Q26E 8.5% (retained judgment): H1-26 10.1%; Q3 rate below H1 in 2024 (3Q24 8.6% vs H1-24 11.9%, S7) and 2025 (3Q25 3.9% vs H1-25 11.4%). Sensitivity at frozen inputs (scenarios, not replacements): DE/share $1.2644 at 2Q26 rate 9.59%; $1.2534 at H1-26 rate 10.08%</t>
  </si>
  <si>
    <t>Taxes &amp; related payables</t>
  </si>
  <si>
    <t>Distributable earnings</t>
  </si>
  <si>
    <t>Memo: reported DE</t>
  </si>
  <si>
    <t>DE margin (% of segment revenues)</t>
  </si>
  <si>
    <t>GAAP to DE bridge – one row per adjustment ($ millions)</t>
  </si>
  <si>
    <t>Transaction-related items</t>
  </si>
  <si>
    <t>Amortization of intangibles</t>
  </si>
  <si>
    <t>Impact of consolidation</t>
  </si>
  <si>
    <t>3Q26E balancing plug (history -$108m to -$259m, 1Q25-2Q26); makes H254/H258/H263 identities</t>
  </si>
  <si>
    <t>Unrealized performance revenues</t>
  </si>
  <si>
    <t>Unrealized perf. allocations comp.</t>
  </si>
  <si>
    <t>Unrealized principal inv. (inc.)</t>
  </si>
  <si>
    <t>Other revenues</t>
  </si>
  <si>
    <t>Equity-based compensation</t>
  </si>
  <si>
    <t>Administrative fee adjustment</t>
  </si>
  <si>
    <t>Distributable earnings (bridge)</t>
  </si>
  <si>
    <t>Check: bridge DE - built DE (=0)</t>
  </si>
  <si>
    <t>3Q26E: identity by construction (H245 plug) – not a validation; excluded from Cover!C28</t>
  </si>
  <si>
    <t>Add back: taxes &amp; related payables</t>
  </si>
  <si>
    <t>Add back: net interest</t>
  </si>
  <si>
    <t>Total segment DE (bridge)</t>
  </si>
  <si>
    <t>Check: vs sum of segment tabs (=0)</t>
  </si>
  <si>
    <t>Less: realized perf. revenues</t>
  </si>
  <si>
    <t>Less: realized performance comp.</t>
  </si>
  <si>
    <t>Less: realized PI income</t>
  </si>
  <si>
    <t>Fee related earnings (bridge)</t>
  </si>
  <si>
    <t>Check: vs sum of segment FRE (=0)</t>
  </si>
  <si>
    <t>3Q26E: identity by construction (segment DE = FRE + net realizations) – excluded from Cover!C28</t>
  </si>
  <si>
    <t>DE per common share – consensus (normalized) EPS basis</t>
  </si>
  <si>
    <t>Other payables attrib. to common</t>
  </si>
  <si>
    <t>S3-S6 Shareholder Dividends page; 3Q26E = taxes &amp; payables less partnership-level portion</t>
  </si>
  <si>
    <t>Taxes not attrib. to common</t>
  </si>
  <si>
    <t>3Q26E assumption (2Q26 $43m, 1Q26 $49m)</t>
  </si>
  <si>
    <t>DE before certain payables</t>
  </si>
  <si>
    <t>% to common shareholders</t>
  </si>
  <si>
    <t>Participating common / DE shares (period end); FY = implied</t>
  </si>
  <si>
    <t>DE bef. payables attrib. to common</t>
  </si>
  <si>
    <t>DE attributable to common</t>
  </si>
  <si>
    <t>Participating common shares (m)</t>
  </si>
  <si>
    <t>DE per common share (normalized EPS)</t>
  </si>
  <si>
    <t>Blackstone reports FY DE/share as the sum of quarters</t>
  </si>
  <si>
    <t>Q/Q change ($/share)</t>
  </si>
  <si>
    <t>Memo: reported DE per common share</t>
  </si>
  <si>
    <t>S3-S6; equals CapIQ eps_normalized_actual</t>
  </si>
  <si>
    <t>Check: EPS - NI / shares (=0)</t>
  </si>
  <si>
    <t>Identity (row 276 = row 273 / row 275) – arithmetic tie only; excluded from Cover!C28</t>
  </si>
  <si>
    <t>CapIQ consensus normalized EPS</t>
  </si>
  <si>
    <t>Estimate - consensus ($/share)</t>
  </si>
  <si>
    <t>Dividend per common share</t>
  </si>
  <si>
    <t>FY = sum of quarterly dividends (S4)</t>
  </si>
  <si>
    <t>Dividend payout (% of DE/share)</t>
  </si>
  <si>
    <t>FRE per DE share</t>
  </si>
  <si>
    <t>Adjusted EBITDA (issuer-defined, $ millions)</t>
  </si>
  <si>
    <t>Interest expense (segment basis)</t>
  </si>
  <si>
    <t>Depreciation &amp; amortization</t>
  </si>
  <si>
    <t>Adjusted EBITDA</t>
  </si>
  <si>
    <t>Memo: reported Adjusted EBITDA</t>
  </si>
  <si>
    <t>Balance Sheet (GAAP condensed consolidated statement of financial condition)</t>
  </si>
  <si>
    <t>Assets ($ millions)</t>
  </si>
  <si>
    <t>Cash &amp; cash equivalents</t>
  </si>
  <si>
    <t>3Q26E = CF ending cash less fund cash</t>
  </si>
  <si>
    <t>Cash held by BX Funds &amp; other</t>
  </si>
  <si>
    <t>3Q26E held flat</t>
  </si>
  <si>
    <t>Investments</t>
  </si>
  <si>
    <t>3Q26E + unrealized gains</t>
  </si>
  <si>
    <t>Accounts receivable</t>
  </si>
  <si>
    <t>Due from affiliates</t>
  </si>
  <si>
    <t>Intangible assets, net</t>
  </si>
  <si>
    <t>Goodwill</t>
  </si>
  <si>
    <t>Other assets</t>
  </si>
  <si>
    <t>3Q26E + capex - depreciation</t>
  </si>
  <si>
    <t>Right-of-use assets</t>
  </si>
  <si>
    <t>Deferred tax assets</t>
  </si>
  <si>
    <t>Total assets</t>
  </si>
  <si>
    <t>Liabilities, redeemable NCI and equity ($ millions)</t>
  </si>
  <si>
    <t>Loans payable</t>
  </si>
  <si>
    <t>Due to affiliates</t>
  </si>
  <si>
    <t>Accrued compensation &amp; benefits</t>
  </si>
  <si>
    <t>3Q26E + unrealized perf. comp accrual</t>
  </si>
  <si>
    <t>Operating lease liabilities</t>
  </si>
  <si>
    <t>AP, accrued expenses &amp; other</t>
  </si>
  <si>
    <t>Total liabilities</t>
  </si>
  <si>
    <t>Redeemable NCI in consol. entities</t>
  </si>
  <si>
    <t>3Q26E: income distributed (flat)</t>
  </si>
  <si>
    <t>Common stock</t>
  </si>
  <si>
    <t>Additional paid-in capital</t>
  </si>
  <si>
    <t>Retained earnings (deficit)</t>
  </si>
  <si>
    <t>Accumulated OCI</t>
  </si>
  <si>
    <t>NCI in consolidated entities</t>
  </si>
  <si>
    <t>NCI in Blackstone Holdings</t>
  </si>
  <si>
    <t>Total equity</t>
  </si>
  <si>
    <t>Total liabilities &amp; equity</t>
  </si>
  <si>
    <t>Check: assets - liabilities - equity</t>
  </si>
  <si>
    <t>Equity includes redeemable NCI (mezzanine)</t>
  </si>
  <si>
    <t>Memo: reported total assets</t>
  </si>
  <si>
    <t>Check: total assets - reported (=0)</t>
  </si>
  <si>
    <t>Balance sheet ratios</t>
  </si>
  <si>
    <t>Loans payable / total equity</t>
  </si>
  <si>
    <t>Change Q/Q (x)</t>
  </si>
  <si>
    <t>Cash Flow Statement (GAAP, discrete quarters derived from YTD filings)</t>
  </si>
  <si>
    <t>Operating activities ($ millions)</t>
  </si>
  <si>
    <t>Net realized gains on investments</t>
  </si>
  <si>
    <t>3Q26E: not forecast (set to 0; working-capital and fund flows unpredictable)</t>
  </si>
  <si>
    <t>Changes in unrealized (gains) losses</t>
  </si>
  <si>
    <t>Non-cash performance allocations</t>
  </si>
  <si>
    <t>Non-cash perf. &amp; incentive comp</t>
  </si>
  <si>
    <t>Other non-cash amounts</t>
  </si>
  <si>
    <t>Cash acquired with consolidation</t>
  </si>
  <si>
    <t>Cash relinquished, deconsol.</t>
  </si>
  <si>
    <t>AP, accrued expenses &amp; other liab.</t>
  </si>
  <si>
    <t>Investments purchased</t>
  </si>
  <si>
    <t>Cash proceeds from sale of invest.</t>
  </si>
  <si>
    <t>Net cash from operating activities</t>
  </si>
  <si>
    <t>3Q26E = SIMPLIFIED / UNVERIFIED scenario (zero working-capital and zero realization-flow), not an independently developed issuer cash-flow forecast: H11, H18:H27 are 0 placeholders, not disclosed zeros (hist. H11+H27 net +42 to +197/qtr)</t>
  </si>
  <si>
    <t>Check: vs reported (=0)</t>
  </si>
  <si>
    <t>Investing activities</t>
  </si>
  <si>
    <t>Purchase of furniture, equip. &amp; LHI</t>
  </si>
  <si>
    <t>Net cash used in investing activities</t>
  </si>
  <si>
    <t>Financing activities</t>
  </si>
  <si>
    <t>Distributions to NCI</t>
  </si>
  <si>
    <t>Contributions from NCI</t>
  </si>
  <si>
    <t>Payments under TRA</t>
  </si>
  <si>
    <t>Net settlement &amp; buybacks</t>
  </si>
  <si>
    <t>Proceeds from loans payable</t>
  </si>
  <si>
    <t>Repayment of loans payable</t>
  </si>
  <si>
    <t>Dividends / distributions to holders</t>
  </si>
  <si>
    <t>3Q26E = 2Q26 dividend $1.29 paid Aug-10 on common + partnership units</t>
  </si>
  <si>
    <t>Net cash from financing activities</t>
  </si>
  <si>
    <t>Memo: dividend per share paid</t>
  </si>
  <si>
    <t>Memo: dividends to common</t>
  </si>
  <si>
    <t>Memo: distributions to unitholders</t>
  </si>
  <si>
    <t>Effect of exchange rate changes</t>
  </si>
  <si>
    <t>3Q26E: not forecast (0 placeholder, not a disclosed zero)</t>
  </si>
  <si>
    <t>Net change in cash (incl. fund cash)</t>
  </si>
  <si>
    <t>Cash – beginning of period</t>
  </si>
  <si>
    <t>Cash – end of period</t>
  </si>
  <si>
    <t>Check: end cash - BS cash (=0)</t>
  </si>
  <si>
    <t>Ties to Balance Sheet cash + cash held by Blackstone Funds; 3Q26E is an identity (BS!H10 = H53 - BS!H11), excluded from Cover!C28</t>
  </si>
  <si>
    <t>Check: end cash vs reported (=0)</t>
  </si>
  <si>
    <t>Ending cash per 10-Q/10-K (S11-S13)</t>
  </si>
  <si>
    <t>Check: CF net income - IS (=0)</t>
  </si>
  <si>
    <t>3Q26E is an identity (H10 links to Income Statement!H116); excluded from Cover!C28</t>
  </si>
  <si>
    <t>Free cash flow (not issuer-defined)</t>
  </si>
  <si>
    <t>CFO less capex</t>
  </si>
  <si>
    <t>Blackstone does not define FCF; shown for reference only (consolidated-fund flows included); 3Q26E = SIMPLIFIED / UNVERIFIED scenario – see I28</t>
  </si>
  <si>
    <t>Share Count (GAAP weighted shares, DE shares, buybacks)</t>
  </si>
  <si>
    <t>GAAP weighted-average shares (millions)</t>
  </si>
  <si>
    <t>Weighted-avg. basic shares</t>
  </si>
  <si>
    <t>S3-S6; 3Q26E = average of period-start and period-end participating common shares</t>
  </si>
  <si>
    <t>Unvested deferred restricted</t>
  </si>
  <si>
    <t>Weighted-avg. diluted shares</t>
  </si>
  <si>
    <t>Period-end shares (millions)</t>
  </si>
  <si>
    <t>GAAP common shares outstanding</t>
  </si>
  <si>
    <t>Unvested participating common</t>
  </si>
  <si>
    <t>Participating common shares</t>
  </si>
  <si>
    <t>Participating partnership units</t>
  </si>
  <si>
    <t>DE shares outstanding</t>
  </si>
  <si>
    <t>Common % of DE shares</t>
  </si>
  <si>
    <t>Unit exchanges into common (m)</t>
  </si>
  <si>
    <t>3Q26E assumption (~0.8-1.1m per quarter)</t>
  </si>
  <si>
    <t>Net issuance / (forfeit.) (m)</t>
  </si>
  <si>
    <t>3Q26E assumption: all other changes (vesting, forfeitures, buybacks); H21 has no separate buyback term, so H42 0.2m is not deducted separately. Unresolved: if -0.3 excludes it, deducting H42 = +$0.0002 EPS</t>
  </si>
  <si>
    <t>Buybacks and capital return</t>
  </si>
  <si>
    <t>Shares repurchased (m)</t>
  </si>
  <si>
    <t>S3-S6 ("0.2 million" each quarter)</t>
  </si>
  <si>
    <t>Assumed repurchase price ($)</t>
  </si>
  <si>
    <t>Remaining authorization ($m)</t>
  </si>
  <si>
    <t>Shares behind the 3Q26E EPS</t>
  </si>
  <si>
    <t>DE/share denominator (part. common)</t>
  </si>
  <si>
    <t>GAAP diluted EPS denominator</t>
  </si>
  <si>
    <t>Guidance and management outlook</t>
  </si>
  <si>
    <t>Guidance given for 3Q26 (Blackstone does not issue EPS or revenue guidance)</t>
  </si>
  <si>
    <t>Guidance item</t>
  </si>
  <si>
    <t>Date</t>
  </si>
  <si>
    <t>Low</t>
  </si>
  <si>
    <t>High</t>
  </si>
  <si>
    <t>Midpoint</t>
  </si>
  <si>
    <t>Actual/est.</t>
  </si>
  <si>
    <t>Beat/Miss</t>
  </si>
  <si>
    <t>Source</t>
  </si>
  <si>
    <t>Base mgmt fee growth Y/Y</t>
  </si>
  <si>
    <t>3Q26</t>
  </si>
  <si>
    <t>S8</t>
  </si>
  <si>
    <t>"similar year-over-year base management fee growth ... in the third quarter as in Q2" (2Q26 = midpoint)</t>
  </si>
  <si>
    <t>Implied 3Q26 base mgmt fees ($m)</t>
  </si>
  <si>
    <t>3Q25 base fees x (1 + guided growth); used as Cover guidance midpoint for base fees</t>
  </si>
  <si>
    <t>Net realizations: sequential decel.</t>
  </si>
  <si>
    <t>"we do expect a sequential deceleration in net realizations in the third quarter"; high = 2Q26 actual</t>
  </si>
  <si>
    <t>Capital realizations down Q/Q</t>
  </si>
  <si>
    <t>S9</t>
  </si>
  <si>
    <t>CFO at Barclays conference: "we expect realizations to be down sequentially in the third quarter"</t>
  </si>
  <si>
    <t>RPR+PII Jul 1–Sep 22 (floor)</t>
  </si>
  <si>
    <t>3Q26 QTD</t>
  </si>
  <si>
    <t>S10</t>
  </si>
  <si>
    <t>"in excess of $350 million, comprised of approximately 90% Realized Performance Revenues"</t>
  </si>
  <si>
    <t>2027 base mgmt fee growth</t>
  </si>
  <si>
    <t>FY27</t>
  </si>
  <si>
    <t>Future period</t>
  </si>
  <si>
    <t>"a return to double-digit growth in base management fees in 2027"</t>
  </si>
  <si>
    <t>EPS / revenue guidance</t>
  </si>
  <si>
    <t>Not provided</t>
  </si>
  <si>
    <t>S18</t>
  </si>
  <si>
    <t>Issuer gives no EPS/revenue guidance; CapIQ guidance fields are blank</t>
  </si>
  <si>
    <t>Intra-quarter realization updates vs reported RPR+PII (record and calibration)</t>
  </si>
  <si>
    <t>Quarter</t>
  </si>
  <si>
    <t>Update floor</t>
  </si>
  <si>
    <t>Rep. RPR</t>
  </si>
  <si>
    <t>Rep. PII</t>
  </si>
  <si>
    <t>Rep. RPR+PII</t>
  </si>
  <si>
    <t>Ratio (x)</t>
  </si>
  <si>
    <t>4Q24 update</t>
  </si>
  <si>
    <t>4Q24</t>
  </si>
  <si>
    <t>S17</t>
  </si>
  <si>
    <t>1Q25 update</t>
  </si>
  <si>
    <t>1Q25</t>
  </si>
  <si>
    <t>S17; the 1Q25 update floor excluded the pending Bistro sale (closed in 1Q25), so this ratio is inflated; retained in the I29 average (judgment). Excluding it: avg 1.339x, EPS -$0.0034</t>
  </si>
  <si>
    <t>2Q25 update</t>
  </si>
  <si>
    <t>2Q25</t>
  </si>
  <si>
    <t>3Q25 update</t>
  </si>
  <si>
    <t>3Q25</t>
  </si>
  <si>
    <t>4Q25 update</t>
  </si>
  <si>
    <t>4Q25</t>
  </si>
  <si>
    <t>1Q26 update</t>
  </si>
  <si>
    <t>1Q26</t>
  </si>
  <si>
    <t>2Q26 update</t>
  </si>
  <si>
    <t>2Q26</t>
  </si>
  <si>
    <t>3Q26 update (forecast)</t>
  </si>
  <si>
    <t>Pending</t>
  </si>
  <si>
    <t>3Q26E = floor x average ratio</t>
  </si>
  <si>
    <t>Average ratio, 7 prior updates</t>
  </si>
  <si>
    <t>Median ratio, 7 prior updates</t>
  </si>
  <si>
    <t>Minimum ratio</t>
  </si>
  <si>
    <t>Maximum ratio</t>
  </si>
  <si>
    <t>Sources</t>
  </si>
  <si>
    <t>Source register (all publication dates precede the 2026-10-18 21:34 UTC information cutoff)</t>
  </si>
  <si>
    <t>ID</t>
  </si>
  <si>
    <t>Published</t>
  </si>
  <si>
    <t>Retrieved</t>
  </si>
  <si>
    <t>Publisher</t>
  </si>
  <si>
    <t>What it feeds</t>
  </si>
  <si>
    <t>URL or file</t>
  </si>
  <si>
    <t>2Q26 Supplemental Financial Data</t>
  </si>
  <si>
    <t>S1</t>
  </si>
  <si>
    <t>Blackstone</t>
  </si>
  <si>
    <t>Segment &amp; GAAP quarterly history 1Q24-2Q26, FY21-25; reconciliation</t>
  </si>
  <si>
    <t>https://s23.q4cdn.com/714267708/files/doc_financials/2026/q2/Blackstone2Q26SupplementalFinancialData.pdf</t>
  </si>
  <si>
    <t>1Q25 and 2Q25 earnings releases</t>
  </si>
  <si>
    <t>S2</t>
  </si>
  <si>
    <t>PY (1Q25, 2Q25) AUM rollforwards and capital metrics [published 2025-04-17 / 2025-07-24]</t>
  </si>
  <si>
    <t>https://www.blackstone.com/wp-content/uploads/sites/2/2025/04/Blackstone1Q25EarningsPressRelease.pdf ; .../2025/07/Blackstone2Q25EarningsPressRelease.pdf</t>
  </si>
  <si>
    <t>3Q25 earnings release</t>
  </si>
  <si>
    <t>S3</t>
  </si>
  <si>
    <t>3Q25 rollforwards, capital metrics, performance</t>
  </si>
  <si>
    <t>https://www.blackstone.com/wp-content/uploads/sites/2/2025/10/Blackstone3Q25EarningsPressRelease.pdf</t>
  </si>
  <si>
    <t>4Q25 earnings release</t>
  </si>
  <si>
    <t>S4</t>
  </si>
  <si>
    <t>4Q25/FY25 rollforwards, NAPR by fund, dividends, shares</t>
  </si>
  <si>
    <t>https://www.blackstone.com/wp-content/uploads/sites/2/2026/01/Blackstone4Q25EarningsPressRelease.pdf</t>
  </si>
  <si>
    <t>1Q26 earnings release</t>
  </si>
  <si>
    <t>S5</t>
  </si>
  <si>
    <t>1Q26 rollforwards, capital metrics, performance</t>
  </si>
  <si>
    <t>https://www.blackstone.com/wp-content/uploads/sites/2/2026/04/Blackstone1Q26EarningsPressRelease.pdf</t>
  </si>
  <si>
    <t>2Q26 earnings release</t>
  </si>
  <si>
    <t>S6</t>
  </si>
  <si>
    <t>2Q26 balance sheet, DE/share, shares, NAPR, reconciliation</t>
  </si>
  <si>
    <t>https://www.blackstone.com/wp-content/uploads/sites/2/2026/07/Blackstone2Q26EarningsPressRelease.pdf</t>
  </si>
  <si>
    <t>3Q24 and 4Q24 earnings releases</t>
  </si>
  <si>
    <t>S7</t>
  </si>
  <si>
    <t>PY (3Q24, 4Q24) AUM rollforwards and capital metrics by strategy [published 2024-10-17 / 2025-01-30]; 1Q24-3Q24 taxes &amp; related payables rates (Income Statement!I227)</t>
  </si>
  <si>
    <t>https://www.blackstone.com/wp-content/uploads/sites/2/2024/10/Blackstone3Q24EarningsPressRelease.pdf ; https://www.blackstone.com/wp-content/uploads/sites/2/2025/01/Blackstone4Q24EarningsPressRelease.pdf</t>
  </si>
  <si>
    <t>2Q26 investor call transcript</t>
  </si>
  <si>
    <t>2Q26 investor call: base-fee and net-realization guidance</t>
  </si>
  <si>
    <t>https://s23.q4cdn.com/714267708/files/doc_financials/2026/q2/Blackstone-Second-Quarter-2026-Investor-Call.pdf</t>
  </si>
  <si>
    <t>Barclays conference transcript</t>
  </si>
  <si>
    <t>StockAnalysis (transcript)</t>
  </si>
  <si>
    <t>CFO at Barclays conf.: realizations down Q/Q; BCRED</t>
  </si>
  <si>
    <t>https://stockanalysis.com/stocks/bx/transcripts/740247-barclays-24th-annual-global-financial-services-conference/</t>
  </si>
  <si>
    <t>3Q26 intra-quarter update</t>
  </si>
  <si>
    <t>3Q26 intra-quarter realization update (&gt;$350m)</t>
  </si>
  <si>
    <t>https://www.blackstone.com/news/press/blackstone-announces-intra-quarter-realization-update-relating-to-the-third-quarter-3/</t>
  </si>
  <si>
    <t>10-Q, quarter ended 6/30/2026</t>
  </si>
  <si>
    <t>S11</t>
  </si>
  <si>
    <t>SEC EDGAR</t>
  </si>
  <si>
    <t>10-Q 2Q26: cash flow 6M26/6M25; segment note (no geography)</t>
  </si>
  <si>
    <t>https://www.sec.gov/Archives/edgar/data/1393818/000119312526340208/d158269d10q.htm</t>
  </si>
  <si>
    <t>10-Q, quarter ended 9/30/2025</t>
  </si>
  <si>
    <t>S12</t>
  </si>
  <si>
    <t>10-Q 3Q25: cash flow 9M25</t>
  </si>
  <si>
    <t>https://www.sec.gov/Archives/edgar/data/1393818/000119312525272343/d48696d10q.htm</t>
  </si>
  <si>
    <t>10-K 2025 and 10-Q 1Q26</t>
  </si>
  <si>
    <t>S13</t>
  </si>
  <si>
    <t>10-K 2025 (R8) cash flow FY25; 10-Q 1Q26 cash flow 3M26 [published 2026-02-27 / 2026-05-08]</t>
  </si>
  <si>
    <t>https://www.sec.gov/Archives/edgar/data/1393818/000119312526082531/R8.htm ; https://www.sec.gov/Archives/edgar/data/1393818/000119312526214609/d60424d10q.htm</t>
  </si>
  <si>
    <t>BREIT 10-Q, 6/30/2026</t>
  </si>
  <si>
    <t>S14</t>
  </si>
  <si>
    <t>SEC EDGAR (BREIT)</t>
  </si>
  <si>
    <t>BREIT performance participation 1Q26/2Q26</t>
  </si>
  <si>
    <t>https://www.sec.gov/Archives/edgar/data/1662972/000166297226000111/breit-20260630.htm</t>
  </si>
  <si>
    <t>BREIT NAV supplements Jul/Aug 2026</t>
  </si>
  <si>
    <t>S15</t>
  </si>
  <si>
    <t>BREIT Jul/Aug NAV, returns, accrued PPA [published 2026-08-17 / 2026-09-16]</t>
  </si>
  <si>
    <t>https://www.sec.gov/Archives/edgar/data/1662972/000166297226000136/breitnavaugust2026.htm</t>
  </si>
  <si>
    <t>BXPE 10-Q and 8-Ks</t>
  </si>
  <si>
    <t>S16</t>
  </si>
  <si>
    <t>SEC EDGAR (BXPE)</t>
  </si>
  <si>
    <t>BXPE PPA, NAV/unit Jun-30 and Aug-31, program NAV [published 2026-08-13 / 2026-09-29]</t>
  </si>
  <si>
    <t>https://www.sec.gov/Archives/edgar/data/1930054/000193005426000016/bxpe-20260630.htm</t>
  </si>
  <si>
    <t>Prior intra-quarter updates</t>
  </si>
  <si>
    <t>Prior intra-quarter realization updates (calibration) [published 2024-12-23 to 2026-06-23]</t>
  </si>
  <si>
    <t>https://www.blackstone.com/news/press/ (releases dated 2024-12-23, 2025-03-25, 2025-06-24, 2025-09-24, 2025-12-23, 2026-03-24, 2026-06-23)</t>
  </si>
  <si>
    <t>CapIQ consensus snapshot</t>
  </si>
  <si>
    <t>S&amp;P Capital IQ</t>
  </si>
  <si>
    <t>Frozen consensus (BX_consensus.json): EPS 1.28, revenue 3,334.15</t>
  </si>
  <si>
    <t>BX_consensus.json (attached)</t>
  </si>
  <si>
    <t>CapIQ six-quarter history</t>
  </si>
  <si>
    <t>S19</t>
  </si>
  <si>
    <t>Six-quarter actual vs consensus history</t>
  </si>
  <si>
    <t>BX_history.csv (attached)</t>
  </si>
  <si>
    <t>3Q26 investor call notice</t>
  </si>
  <si>
    <t>S20</t>
  </si>
  <si>
    <t>Third-quarter investor call 22-Oct-2026 (report date)</t>
  </si>
  <si>
    <t>https://www.blackstone.com/news/press/blackstone-announces-third-quarter-2026-investor-call/</t>
  </si>
  <si>
    <t>BCRED Q3 repurchase letter</t>
  </si>
  <si>
    <t>S21</t>
  </si>
  <si>
    <t>SEC EDGAR (BCRED)</t>
  </si>
  <si>
    <t>BCRED Q3 repurchase requests ~10%, 5% fulfilled</t>
  </si>
  <si>
    <t>https://www.sec.gov/Archives/edgar/data/1803498/000121390026096935/ea0244647-03_ex99a1vii.htm</t>
  </si>
  <si>
    <t>UBS realization note</t>
  </si>
  <si>
    <t>S22</t>
  </si>
  <si>
    <t>Investing.com (UBS)</t>
  </si>
  <si>
    <t>Realizations tracking below consensus (~$0.10 risk)</t>
  </si>
  <si>
    <t>https://www.investing.com/news/analyst-ratings/ubs-reiterates-blackstone-stock-rating-on-lower-realization-outlook-93CH-4913388</t>
  </si>
  <si>
    <t>S&amp;P 500 3Q26 market data</t>
  </si>
  <si>
    <t>S23</t>
  </si>
  <si>
    <t>Morningstar / Dow Jones</t>
  </si>
  <si>
    <t>S&amp;P 500 +2.03% in 3Q26; 10Y yield +87bp</t>
  </si>
  <si>
    <t>https://www.morningstar.com/news/dow-jones/202609307962/sp-500-rises-203-this-quarter-to-765154-data-talk</t>
  </si>
  <si>
    <t>Zacks earnings preview</t>
  </si>
  <si>
    <t>Zacks via Yahoo Finance</t>
  </si>
  <si>
    <t>Newer consensus $1.31 (recorded, not used for scoring)</t>
  </si>
  <si>
    <t>https://finance.yahoo.com/markets/stocks/articles/blackstones-q3-earnings-deck-whats-111300998.html</t>
  </si>
  <si>
    <t>Market cap and index membership</t>
  </si>
  <si>
    <t>S25</t>
  </si>
  <si>
    <t>whichindex / BlackRock iShares</t>
  </si>
  <si>
    <t>S&amp;P 500 membership; price $106.63, market value</t>
  </si>
  <si>
    <t>https://whichindex.com/companies/blackstone-inc/ ; https://www.globalbankingandfinance.com/blackstone-bx-falls-2026-10-16/</t>
  </si>
  <si>
    <t>Analyst target changes</t>
  </si>
  <si>
    <t>S26</t>
  </si>
  <si>
    <t>TheFly / Investing.com</t>
  </si>
  <si>
    <t>Target cuts (BofA, Barclays, TD Cowen); AirTrunk REIT IPO delay [published 2026-10-05 to 2026-10-13]</t>
  </si>
  <si>
    <t>https://www.investing.com/news/stock-market-news/why-is-blackstone-stock-sliding-3-today-93CH-4947315</t>
  </si>
  <si>
    <t>KKR intra-quarter update</t>
  </si>
  <si>
    <t>S27</t>
  </si>
  <si>
    <t>KKR (Business Wire)</t>
  </si>
  <si>
    <t>Peer intra-quarter monetization update (&gt;$750m)</t>
  </si>
  <si>
    <t>https://www.nasdaq.com/press-release/kkr-announces-intra-quarter-monetization-activity-update-third-quarter-2026-09-25</t>
  </si>
  <si>
    <t>BlackRock 3Q26 results</t>
  </si>
  <si>
    <t>S28</t>
  </si>
  <si>
    <t>BlackRock</t>
  </si>
  <si>
    <t>Peer 3Q26 results: private markets inflows $15.3bn</t>
  </si>
  <si>
    <t>https://www.blackrock.com/corporate/newsroom/media/press-releases/blackrock-reports-third-quarter-2026</t>
  </si>
  <si>
    <t>Omitted tab: Geo – Blackstone does not disclose revenue by geography (checked 10-Q 2Q26 S11 and 10-K 2025 S13).</t>
  </si>
  <si>
    <t>Retrieved = date of web retrieval in this run; full text saved under workspace/web_fetch/.</t>
  </si>
  <si>
    <t>Inputs – S&amp;P Capital IQ snapshot (raw) and issuer comparatives</t>
  </si>
  <si>
    <t>Raw S&amp;P Capital IQ file embed required by the task brief; consensus at the cutoff is presented on the Cover.</t>
  </si>
  <si>
    <t>A. S&amp;P Capital IQ consensus file (BX_consensus.json) – top-level fields</t>
  </si>
  <si>
    <t>source</t>
  </si>
  <si>
    <t>ticker</t>
  </si>
  <si>
    <t>BX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</si>
  <si>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</si>
  <si>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</si>
  <si>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</si>
  <si>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</si>
  <si>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</si>
  <si>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</si>
  <si>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</si>
  <si>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</si>
  <si>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</si>
  <si>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</si>
  <si>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</si>
  <si>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</si>
  <si>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</si>
  <si>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</si>
  <si>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</si>
  <si>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</si>
  <si>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</si>
  <si>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</si>
  <si>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</si>
  <si>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</si>
  <si>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</si>
  <si>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</si>
  <si>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</si>
  <si>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B. CapIQ summary_row – complete raw fields (blank = blank in source)</t>
  </si>
  <si>
    <t>company_name</t>
  </si>
  <si>
    <t>exchange_ticker</t>
  </si>
  <si>
    <t>NYSE:BX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</si>
  <si>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</si>
  <si>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</si>
  <si>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</si>
  <si>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</si>
  <si>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</si>
  <si>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</si>
  <si>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</si>
  <si>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</si>
  <si>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</si>
  <si>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</si>
  <si>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</si>
  <si>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blank in source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</si>
  <si>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</si>
  <si>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</si>
  <si>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</si>
  <si>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</si>
  <si>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</si>
  <si>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</si>
  <si>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</si>
  <si>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</si>
  <si>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</si>
  <si>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</si>
  <si>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</si>
  <si>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</si>
  <si>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</si>
  <si>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</si>
  <si>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</si>
  <si>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</si>
  <si>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</si>
  <si>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</si>
  <si>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</si>
  <si>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</si>
  <si>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</si>
  <si>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</si>
  <si>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</si>
  <si>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</si>
  <si>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</si>
  <si>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</si>
  <si>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</si>
  <si>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</si>
  <si>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</si>
  <si>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</si>
  <si>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</si>
  <si>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</si>
  <si>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</si>
  <si>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</si>
  <si>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</si>
  <si>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</si>
  <si>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</si>
  <si>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</si>
  <si>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</si>
  <si>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</si>
  <si>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</si>
  <si>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</si>
  <si>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</si>
  <si>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</si>
  <si>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</si>
  <si>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</si>
  <si>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</si>
  <si>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</si>
  <si>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</si>
  <si>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</si>
  <si>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</si>
  <si>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</si>
  <si>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</si>
  <si>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</si>
  <si>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165.14/101.73</t>
  </si>
  <si>
    <t>estimates_captured_at</t>
  </si>
  <si>
    <t>notes</t>
  </si>
  <si>
    <t>CapIQ normalized EPS for BX is distributable earnings per share, which is the figure the street quotes; revenue consensus rests on only 4 of 7 contributors</t>
  </si>
  <si>
    <t>C. CapIQ history (BX_history.csv) – all six rows</t>
  </si>
  <si>
    <t>Field →</t>
  </si>
  <si>
    <t>report_date</t>
  </si>
  <si>
    <t>eps_norm_cons</t>
  </si>
  <si>
    <t>eps_norm_act</t>
  </si>
  <si>
    <t>eps_gaap_cons</t>
  </si>
  <si>
    <t>eps_gaap_act</t>
  </si>
  <si>
    <t>rev_m_cons</t>
  </si>
  <si>
    <t>rev_m_act</t>
  </si>
  <si>
    <t>period_end 2025-03-31</t>
  </si>
  <si>
    <t>period_end 2025-06-30</t>
  </si>
  <si>
    <t>period_end 2025-09-30</t>
  </si>
  <si>
    <t>period_end 2025-12-31</t>
  </si>
  <si>
    <t>period_end 2026-03-31</t>
  </si>
  <si>
    <t>period_end 2026-06-30</t>
  </si>
  <si>
    <t>Strict beats, normalized EPS (b)</t>
  </si>
  <si>
    <t>Valid pairs (n)</t>
  </si>
  <si>
    <t>Avg. surprise ($/share)</t>
  </si>
  <si>
    <t>D. Issuer prior-year comparatives (S1, S2, S7; $m) – C=3Q24 D=4Q24 E=FY24 F=1Q25 G=2Q25</t>
  </si>
  <si>
    <t>Line (year-ago value for column)</t>
  </si>
  <si>
    <t>3Q24A</t>
  </si>
  <si>
    <t>4Q24A</t>
  </si>
  <si>
    <t>FY24A</t>
  </si>
  <si>
    <t>1Q25A</t>
  </si>
  <si>
    <t>2Q25A</t>
  </si>
  <si>
    <t>All: Days in year-ago period</t>
  </si>
  <si>
    <t>Firm: RPR</t>
  </si>
  <si>
    <t>Firm: PII</t>
  </si>
  <si>
    <t>RE: FEAUM closing</t>
  </si>
  <si>
    <t>RE: FEAUM opening</t>
  </si>
  <si>
    <t>RE: Inflows (gross additions)</t>
  </si>
  <si>
    <t>RE: Outflows (redemptions / churn)</t>
  </si>
  <si>
    <t>RE: FEAUM net flows</t>
  </si>
  <si>
    <t>RE: Realizations</t>
  </si>
  <si>
    <t>RE: Market activity</t>
  </si>
  <si>
    <t>RE: Average FEAUM</t>
  </si>
  <si>
    <t>RE: Total AUM closing</t>
  </si>
  <si>
    <t>RE: AUM opening</t>
  </si>
  <si>
    <t>RE: Inflows</t>
  </si>
  <si>
    <t>RE: Outflows</t>
  </si>
  <si>
    <t>RE: AUM net flows</t>
  </si>
  <si>
    <t>RE: Inflows – Opportunistic</t>
  </si>
  <si>
    <t>RE: Inflows – Core+</t>
  </si>
  <si>
    <t>RE: Inflows – Debt Strategies</t>
  </si>
  <si>
    <t>RE: Capital deployed</t>
  </si>
  <si>
    <t>RE: Deployed – Opportunistic</t>
  </si>
  <si>
    <t>RE: Deployed – Core+</t>
  </si>
  <si>
    <t>RE: Deployed – Debt Strategies</t>
  </si>
  <si>
    <t>RE: Realizations – Opportunistic</t>
  </si>
  <si>
    <t>RE: Realizations – Core+</t>
  </si>
  <si>
    <t>RE: Realizations – Debt Strategies</t>
  </si>
  <si>
    <t>RE: Base Mgmt Fees</t>
  </si>
  <si>
    <t xml:space="preserve">RE: Transaction, Advisory and Other </t>
  </si>
  <si>
    <t>RE: Mgmt Fee Offsets</t>
  </si>
  <si>
    <t>RE: Total Mgmt and Advisory Fees, Ne</t>
  </si>
  <si>
    <t>RE: Fee Related Performance Revenues</t>
  </si>
  <si>
    <t>RE: Realized Performance Revenues</t>
  </si>
  <si>
    <t>RE: Realized Principal Investment In</t>
  </si>
  <si>
    <t>RE: Segment Revenues</t>
  </si>
  <si>
    <t>RE: Fee Related Compensation</t>
  </si>
  <si>
    <t>RE: Other Operating Expenses</t>
  </si>
  <si>
    <t>RE: Fee Related Earnings</t>
  </si>
  <si>
    <t>RE: Realized Performance Compensatio</t>
  </si>
  <si>
    <t>RE: Total Net Realizations</t>
  </si>
  <si>
    <t>RE: Segment Distributable Earnings</t>
  </si>
  <si>
    <t>RE: Fee revenues</t>
  </si>
  <si>
    <t>RE: Perf. Opportunistic</t>
  </si>
  <si>
    <t>RE: Perf. Core+</t>
  </si>
  <si>
    <t>RE: NAPR BREP Global</t>
  </si>
  <si>
    <t>RE: NAPR BREP Europe</t>
  </si>
  <si>
    <t>RE: NAPR BREP Asia</t>
  </si>
  <si>
    <t>RE: NAPR BPP</t>
  </si>
  <si>
    <t>RE: NAPR BREDS</t>
  </si>
  <si>
    <t>PE: FEAUM closing</t>
  </si>
  <si>
    <t>PE: FEAUM opening</t>
  </si>
  <si>
    <t>PE: Inflows (gross additions)</t>
  </si>
  <si>
    <t>PE: Outflows (redemptions / churn)</t>
  </si>
  <si>
    <t>PE: FEAUM net flows</t>
  </si>
  <si>
    <t>PE: Realizations</t>
  </si>
  <si>
    <t>PE: Market activity</t>
  </si>
  <si>
    <t>PE: Average FEAUM</t>
  </si>
  <si>
    <t>PE: Total AUM closing</t>
  </si>
  <si>
    <t>PE: AUM opening</t>
  </si>
  <si>
    <t>PE: Inflows</t>
  </si>
  <si>
    <t>PE: Outflows</t>
  </si>
  <si>
    <t>PE: AUM net flows</t>
  </si>
  <si>
    <t>PE: Inflows – Corp. PE</t>
  </si>
  <si>
    <t>PE: Inflows – Tac. Opps</t>
  </si>
  <si>
    <t>PE: Inflows – Secondaries</t>
  </si>
  <si>
    <t>PE: Inflows – Infrastructure</t>
  </si>
  <si>
    <t>PE: Capital deployed</t>
  </si>
  <si>
    <t>PE: Deployed – Corp. PE</t>
  </si>
  <si>
    <t>PE: Deployed – Tac. Opps</t>
  </si>
  <si>
    <t>PE: Deployed – Secondaries</t>
  </si>
  <si>
    <t>PE: Deployed – Infrastructure</t>
  </si>
  <si>
    <t>PE: Realizations – Corp. PE</t>
  </si>
  <si>
    <t>PE: Realizations – Tac. Opps</t>
  </si>
  <si>
    <t>PE: Realizations – Secondaries</t>
  </si>
  <si>
    <t>PE: Realizations – Infrastructure</t>
  </si>
  <si>
    <t>PE: Base Mgmt Fees</t>
  </si>
  <si>
    <t xml:space="preserve">PE: Transaction, Advisory and Other </t>
  </si>
  <si>
    <t>PE: Mgmt Fee Offsets</t>
  </si>
  <si>
    <t>PE: Total Mgmt and Advisory Fees, Ne</t>
  </si>
  <si>
    <t>PE: Fee Related Performance Revenues</t>
  </si>
  <si>
    <t>PE: Realized Performance Revenues</t>
  </si>
  <si>
    <t>PE: Realized Principal Investment In</t>
  </si>
  <si>
    <t>PE: Segment Revenues</t>
  </si>
  <si>
    <t>PE: Fee Related Compensation</t>
  </si>
  <si>
    <t>PE: Other Operating Expenses</t>
  </si>
  <si>
    <t>PE: Fee Related Earnings</t>
  </si>
  <si>
    <t>PE: Realized Performance Compensatio</t>
  </si>
  <si>
    <t>PE: Total Net Realizations</t>
  </si>
  <si>
    <t>PE: Segment Distributable Earnings</t>
  </si>
  <si>
    <t>PE: Fee revenues</t>
  </si>
  <si>
    <t>PE: Perf. Corp. PE</t>
  </si>
  <si>
    <t>PE: Perf. Tac. Opps</t>
  </si>
  <si>
    <t>PE: Perf. Secondaries</t>
  </si>
  <si>
    <t>PE: Perf. Infrastructure</t>
  </si>
  <si>
    <t>PE: NAPR BCP Global</t>
  </si>
  <si>
    <t>PE: NAPR BCP Asia</t>
  </si>
  <si>
    <t>PE: NAPR Energy/Energy Transition</t>
  </si>
  <si>
    <t>PE: NAPR Core Private Equity</t>
  </si>
  <si>
    <t>PE: NAPR Tac. Opps</t>
  </si>
  <si>
    <t>PE: NAPR Secondaries</t>
  </si>
  <si>
    <t>PE: NAPR Infrastructure</t>
  </si>
  <si>
    <t>PE: NAPR Life Sciences</t>
  </si>
  <si>
    <t>PE: NAPR BTAS</t>
  </si>
  <si>
    <t>CI: FEAUM closing</t>
  </si>
  <si>
    <t>CI: FEAUM opening</t>
  </si>
  <si>
    <t>CI: Inflows (gross additions)</t>
  </si>
  <si>
    <t>CI: Outflows (redemptions / churn)</t>
  </si>
  <si>
    <t>CI: FEAUM net flows</t>
  </si>
  <si>
    <t>CI: Realizations</t>
  </si>
  <si>
    <t>CI: Market activity</t>
  </si>
  <si>
    <t>CI: Average FEAUM</t>
  </si>
  <si>
    <t>CI: Total AUM closing</t>
  </si>
  <si>
    <t>CI: AUM opening</t>
  </si>
  <si>
    <t>CI: Inflows</t>
  </si>
  <si>
    <t>CI: Outflows</t>
  </si>
  <si>
    <t>CI: AUM net flows</t>
  </si>
  <si>
    <t>CI: Capital deployed</t>
  </si>
  <si>
    <t>CI: Base Mgmt Fees</t>
  </si>
  <si>
    <t xml:space="preserve">CI: Transaction, Advisory and Other </t>
  </si>
  <si>
    <t>CI: Mgmt Fee Offsets</t>
  </si>
  <si>
    <t>CI: Total Mgmt and Advisory Fees, Ne</t>
  </si>
  <si>
    <t>CI: Fee Related Performance Revenues</t>
  </si>
  <si>
    <t>CI: Realized Performance Revenues</t>
  </si>
  <si>
    <t>CI: Realized Principal Investment In</t>
  </si>
  <si>
    <t>CI: Segment Revenues</t>
  </si>
  <si>
    <t>CI: Fee Related Compensation</t>
  </si>
  <si>
    <t>CI: Other Operating Expenses</t>
  </si>
  <si>
    <t>CI: Fee Related Earnings</t>
  </si>
  <si>
    <t>CI: Realized Performance Compensatio</t>
  </si>
  <si>
    <t>CI: Total Net Realizations</t>
  </si>
  <si>
    <t>CI: Segment Distributable Earnings</t>
  </si>
  <si>
    <t>CI: Fee revenues</t>
  </si>
  <si>
    <t>CI: Perf. Private Credit</t>
  </si>
  <si>
    <t>CI: Perf. Liquid Credit</t>
  </si>
  <si>
    <t>CI: NAPR total</t>
  </si>
  <si>
    <t>MAI: FEAUM closing</t>
  </si>
  <si>
    <t>MAI: FEAUM opening</t>
  </si>
  <si>
    <t>MAI: Inflows (gross additions)</t>
  </si>
  <si>
    <t>MAI: Outflows (redemptions / churn)</t>
  </si>
  <si>
    <t>MAI: FEAUM net flows</t>
  </si>
  <si>
    <t>MAI: Realizations</t>
  </si>
  <si>
    <t>MAI: Market activity</t>
  </si>
  <si>
    <t>MAI: Average FEAUM</t>
  </si>
  <si>
    <t>MAI: Total AUM closing</t>
  </si>
  <si>
    <t>MAI: AUM opening</t>
  </si>
  <si>
    <t>MAI: Inflows</t>
  </si>
  <si>
    <t>MAI: Outflows</t>
  </si>
  <si>
    <t>MAI: AUM net flows</t>
  </si>
  <si>
    <t>MAI: Capital deployed</t>
  </si>
  <si>
    <t>MAI: Base Mgmt Fees</t>
  </si>
  <si>
    <t>MAI: Transaction, Advisory and Other</t>
  </si>
  <si>
    <t>MAI: Mgmt Fee Offsets</t>
  </si>
  <si>
    <t>MAI: Total Mgmt and Advisory Fees, N</t>
  </si>
  <si>
    <t>MAI: Realized Performance Revenues</t>
  </si>
  <si>
    <t>MAI: Realized Principal Investment I</t>
  </si>
  <si>
    <t>MAI: Segment Revenues</t>
  </si>
  <si>
    <t>MAI: Fee Related Compensation</t>
  </si>
  <si>
    <t>MAI: Other Operating Expenses</t>
  </si>
  <si>
    <t>MAI: Fee Related Earnings</t>
  </si>
  <si>
    <t>MAI: Realized Performance Compensati</t>
  </si>
  <si>
    <t>MAI: Total Net Realizations</t>
  </si>
  <si>
    <t>MAI: Segment Distributable Earnings</t>
  </si>
  <si>
    <t>MAI: Fee revenues</t>
  </si>
  <si>
    <t>MAI: Perf. Absolute Return Composite</t>
  </si>
  <si>
    <t>MAI: NAPR total</t>
  </si>
  <si>
    <t>Firm: Segment revenues RE</t>
  </si>
  <si>
    <t>Firm: Segment revenues PE</t>
  </si>
  <si>
    <t>Firm: Segment revenues CI</t>
  </si>
  <si>
    <t>Firm: Segment revenues MAI</t>
  </si>
  <si>
    <t>Firm: Total segment revenues</t>
  </si>
  <si>
    <t>Firm: Base management fees</t>
  </si>
  <si>
    <t xml:space="preserve">Firm: Transaction, advisory &amp; other </t>
  </si>
  <si>
    <t>Firm: Mgmt fee offsets</t>
  </si>
  <si>
    <t>Firm: Mgmt &amp; advisory fees</t>
  </si>
  <si>
    <t>Firm: FRPR</t>
  </si>
  <si>
    <t>Firm: Fee revenues</t>
  </si>
  <si>
    <t>Firm: RPR + PII</t>
  </si>
  <si>
    <t>IS: Mgmt &amp; advisory fees, net</t>
  </si>
  <si>
    <t>IS: Incentive fees</t>
  </si>
  <si>
    <t>IS: Perf. allocations – realized</t>
  </si>
  <si>
    <t>IS: Perf. allocations – unrealized</t>
  </si>
  <si>
    <t>IS: Principal investments – realized</t>
  </si>
  <si>
    <t>IS: Principal investments – unrealiz</t>
  </si>
  <si>
    <t>IS: Total investment income</t>
  </si>
  <si>
    <t>IS: Interest &amp; dividend revenue</t>
  </si>
  <si>
    <t>IS: Other revenue</t>
  </si>
  <si>
    <t>IS: Total revenues</t>
  </si>
  <si>
    <t>IS: Compensation</t>
  </si>
  <si>
    <t>IS: Incentive fee compensation</t>
  </si>
  <si>
    <t>IS: Perf. alloc. comp – realized</t>
  </si>
  <si>
    <t>IS: Perf. alloc. comp – unrealized</t>
  </si>
  <si>
    <t>IS: Total compensation &amp; benefits</t>
  </si>
  <si>
    <t>IS: General, administrative &amp; other</t>
  </si>
  <si>
    <t>IS: Interest expense</t>
  </si>
  <si>
    <t>IS: Fund expenses</t>
  </si>
  <si>
    <t>IS: Total expenses</t>
  </si>
  <si>
    <t>IS: Change in TRA liability</t>
  </si>
  <si>
    <t>IS: Net gains from fund investment a</t>
  </si>
  <si>
    <t>IS: Income before provision for taxe</t>
  </si>
  <si>
    <t>IS: Provision for taxes</t>
  </si>
  <si>
    <t>IS: Net income</t>
  </si>
  <si>
    <t xml:space="preserve">IS: Less: NCI – redeemable (consol. </t>
  </si>
  <si>
    <t>IS: Less: NCI – consolidated entitie</t>
  </si>
  <si>
    <t>IS: Less: NCI – Blackstone Holdings</t>
  </si>
  <si>
    <t>IS: Net income attrib. to Blackstone</t>
  </si>
  <si>
    <t>IS: Fee related perf. comp</t>
  </si>
  <si>
    <t>IS: Fee related perf. revenues</t>
  </si>
  <si>
    <t>IS: Fee revenues</t>
  </si>
  <si>
    <t>IS: Fee related earnings (FRE)</t>
  </si>
  <si>
    <t>IS: Realized performance revenues</t>
  </si>
  <si>
    <t>IS: Realized principal inv. income</t>
  </si>
  <si>
    <t>IS: Net realizations</t>
  </si>
  <si>
    <t>IS: Total segment DE</t>
  </si>
  <si>
    <t>IS: Net interest &amp; dividend</t>
  </si>
  <si>
    <t>IS: Taxes &amp; related payables</t>
  </si>
  <si>
    <t>IS: DE before taxes &amp; payables</t>
  </si>
  <si>
    <t>IS: Distributable earnings</t>
  </si>
  <si>
    <t>IS: Transaction-related &amp; non-recurr</t>
  </si>
  <si>
    <t>IS: Amortization of intangibles</t>
  </si>
  <si>
    <t>IS: Impact of consolidation</t>
  </si>
  <si>
    <t>IS: Unrealized performance revenues</t>
  </si>
  <si>
    <t>IS: Unrealized perf. allocations com</t>
  </si>
  <si>
    <t>IS: Unrealized principal inv. (inc.)</t>
  </si>
  <si>
    <t>IS: Other revenues</t>
  </si>
  <si>
    <t>IS: Equity-based compensation</t>
  </si>
  <si>
    <t>IS: Administrative fee adjustment</t>
  </si>
  <si>
    <t>IS: Other payables attrib. to common</t>
  </si>
  <si>
    <t>IS: DE bef. payables attrib. common</t>
  </si>
  <si>
    <t>IS: DE attributable to common</t>
  </si>
  <si>
    <t>IS: DE per common share</t>
  </si>
  <si>
    <t>IS: Dividend per common share</t>
  </si>
  <si>
    <t>IS: Interest expense (segment basis)</t>
  </si>
  <si>
    <t>IS: Depreciation &amp; amortization</t>
  </si>
  <si>
    <t>Shares: Weighted basic shares</t>
  </si>
  <si>
    <t>Shares: Unvested deferred restricted</t>
  </si>
  <si>
    <t>Shares: Weighted diluted shares</t>
  </si>
  <si>
    <t>Shares: GAAP common shares out.</t>
  </si>
  <si>
    <t>Shares: Unvested participating</t>
  </si>
  <si>
    <t>Shares: Participating common</t>
  </si>
  <si>
    <t>Shares: Partnership units</t>
  </si>
  <si>
    <t>Shares: DE shares outstanding</t>
  </si>
  <si>
    <t>Shares: Shares repurchased</t>
  </si>
  <si>
    <t>E. Cash flow statement – reported year-to-date ($m; S11-S13 10-Q/10-K) – C=6M25 D=9M25 E=FY25 F=3M26 G=6M26</t>
  </si>
  <si>
    <t>Line</t>
  </si>
  <si>
    <t>6M25A</t>
  </si>
  <si>
    <t>9M25A</t>
  </si>
  <si>
    <t>3M26A</t>
  </si>
  <si>
    <t>6M26A</t>
  </si>
  <si>
    <t>Net cash from operating (reported)</t>
  </si>
  <si>
    <t>Net cash from investing (reported)</t>
  </si>
  <si>
    <t>Net cash from financing (reported)</t>
  </si>
  <si>
    <t>Cash incl. fund cash – beginning</t>
  </si>
  <si>
    <t>Cash incl. fund cash – ending</t>
  </si>
  <si>
    <t>F. Size-aware starting probability (playbook v2) – see artifacts/prior-calibration.json</t>
  </si>
  <si>
    <t>Share price, 16-Oct-2026 close ($)</t>
  </si>
  <si>
    <t>CapIQ last_close_price 106.61 (S18); 106.63 per S25</t>
  </si>
  <si>
    <t>Common shares outstanding (m, 6/30/26)</t>
  </si>
  <si>
    <t>Market cap, common shares ($bn)</t>
  </si>
  <si>
    <t>Market cap incl. units ($bn)</t>
  </si>
  <si>
    <t>Size bucket / S&amp;P 500 member</t>
  </si>
  <si>
    <t>Large / Yes</t>
  </si>
  <si>
    <t>S25: S&amp;P 500 constituent (whichindex 16-Oct-2026; iShares S&amp;P 500 Value holdings 12-Oct-2026)</t>
  </si>
  <si>
    <t>Cohort prior (large OR S&amp;P 500)</t>
  </si>
  <si>
    <t>Playbook v2 step 7 cohort priors: 0.60 small ($300M-$2B), 0.70 mid ($2B-$10B), 0.78 large (&gt;$10B) OR S&amp;P 500 (applied once). BX: $80.2bn common market cap (C403) and S&amp;P 500 member -&gt; 0.78; see artifacts/prior-calibration.json</t>
  </si>
  <si>
    <t>Strict beats b</t>
  </si>
  <si>
    <t>Valid pairs n</t>
  </si>
  <si>
    <t>Pseudo-observations</t>
  </si>
  <si>
    <t>Starting p = (8*prior+b)/(8+n)</t>
  </si>
  <si>
    <t>Model P(EPS &gt;= $1.29), normal approx.</t>
  </si>
  <si>
    <t>Assumed forecast s.d. below; reported EPS must round to &gt;= $1.29 to strictly beat $1.28</t>
  </si>
  <si>
    <t>Assumed s.d. of EPS forecast ($/share)</t>
  </si>
  <si>
    <t>Realizations +/-0.04, FRPR +/-0.04, tax rate +/-0.03, fees/comp +/-0.03 (root-sum-square)</t>
  </si>
  <si>
    <t>Weight on model vs starting prior</t>
  </si>
  <si>
    <t>Final P(beat consensus EPS)</t>
  </si>
  <si>
    <t>Judgmental blend ~0.6*model + 0.4*starting p, rounded; quarter evidence is mixed</t>
  </si>
  <si>
    <t>Memo: mechanical blend</t>
  </si>
  <si>
    <t>low</t>
  </si>
  <si>
    <t>G. Attached input files (SHA-256)</t>
  </si>
  <si>
    <t>BX_history.csv</t>
  </si>
  <si>
    <t>5749713d1252bafd4a16135c2a2c1e5b7fed5693119715c596327d3c4f950ac3</t>
  </si>
  <si>
    <t>BX_consensus.json</t>
  </si>
  <si>
    <t>c922ab7c9f5a9278c6a5591a8a6749d76b7a45985c5cff3569904031a4007b34</t>
  </si>
  <si>
    <t>metric-targets.json</t>
  </si>
  <si>
    <t>05bde5369b9b41a27b01acf177679425dec497ae51c94c3f84df58f4317f3f5c</t>
  </si>
  <si>
    <t>shortcut-logo.png</t>
  </si>
  <si>
    <t>707c48724ca1a565c8e78f04f026193d572be53ce1fc7e522e297445fc0d3979</t>
  </si>
</sst>
</file>

<file path=xl/styles.xml><?xml version="1.0" encoding="utf-8"?>
<styleSheet xmlns="http://schemas.openxmlformats.org/spreadsheetml/2006/main">
  <numFmts count="11">
    <numFmt numFmtId="164" formatCode="#,##0.0_);(#,##0.0);–_)"/>
    <numFmt numFmtId="165" formatCode="General"/>
    <numFmt numFmtId="166" formatCode="$0.00"/>
    <numFmt numFmtId="167" formatCode="0.0%_);(0.0%);–_)"/>
    <numFmt numFmtId="168" formatCode="mm/dd/yy"/>
    <numFmt numFmtId="169" formatCode="0"/>
    <numFmt numFmtId="170" formatCode="0.0%"/>
    <numFmt numFmtId="171" formatCode="0.0x"/>
    <numFmt numFmtId="172" formatCode="yyyy-mm-dd"/>
    <numFmt numFmtId="173" formatCode="#,##0_);(#,##0);–_)"/>
    <numFmt numFmtId="174" formatCode="$0.00_);($0.00)"/>
  </numFmts>
  <fonts count="20">
    <font>
      <sz val="11"/>
      <name val="Calibri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1"/>
      <color rgb="FF000000"/>
      <name val="Calibri"/>
    </font>
    <font>
      <b val="0"/>
      <i val="0"/>
      <strike val="0"/>
      <sz val="10"/>
      <color rgb="FF0000FF"/>
      <name val="Arial"/>
    </font>
    <font>
      <b/>
      <i val="0"/>
      <strike val="0"/>
      <sz val="14"/>
      <color rgb="FF000000"/>
      <name val="Arial"/>
    </font>
    <font>
      <b val="0"/>
      <i/>
      <strike val="0"/>
      <sz val="10"/>
      <color rgb="FF006100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00FF"/>
      <name val="Arial"/>
    </font>
    <font>
      <b/>
      <i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EF3FA"/>
      </patternFill>
    </fill>
  </fills>
  <borders count="4">
    <border>
      <left/>
      <right/>
      <top/>
      <bottom/>
      <diagonal/>
    </border>
    <border>
      <bottom style="thin">
        <color rgb="FF808080"/>
      </bottom>
    </border>
    <border>
      <top style="thin">
        <color rgb="FF808080"/>
      </top>
    </border>
    <border>
      <top style="thin">
        <color rgb="FF000000"/>
      </top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168" fontId="1" fillId="2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164" fontId="6" fillId="0" borderId="0" xfId="0" applyNumberFormat="1" applyFont="1" applyFill="1" applyAlignment="1" applyProtection="1">
      <alignment horizontal="right" vertical="bottom"/>
      <protection locked="1" hidden="0"/>
    </xf>
    <xf numFmtId="164" fontId="6" fillId="0" borderId="0" xfId="0" applyNumberFormat="1" applyFont="1" applyFill="1" applyAlignment="1" applyProtection="1">
      <alignment horizontal="general" vertical="bottom"/>
      <protection locked="1" hidden="0"/>
    </xf>
    <xf numFmtId="166" fontId="6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9" fontId="1" fillId="2" borderId="1" xfId="0" applyNumberFormat="1" applyFont="1" applyFill="1" applyBorder="1" applyAlignment="1" applyProtection="1">
      <alignment horizontal="right" vertical="bottom"/>
      <protection locked="1" hidden="0"/>
    </xf>
    <xf numFmtId="165" fontId="2" fillId="0" borderId="1" xfId="0" applyNumberFormat="1" applyFont="1" applyFill="1" applyBorder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general" vertical="bottom"/>
      <protection locked="1" hidden="0"/>
    </xf>
    <xf numFmtId="0" fontId="7" fillId="0" borderId="0" xfId="0" applyFont="1" applyFill="1" applyAlignment="1" applyProtection="1">
      <alignment horizontal="right" vertical="bottom"/>
      <protection locked="1" hidden="0"/>
    </xf>
    <xf numFmtId="165" fontId="2" fillId="2" borderId="2" xfId="0" applyNumberFormat="1" applyFont="1" applyFill="1" applyBorder="1" applyAlignment="1" applyProtection="1">
      <alignment horizontal="right" vertical="bottom"/>
      <protection locked="1" hidden="0"/>
    </xf>
    <xf numFmtId="166" fontId="6" fillId="0" borderId="0" xfId="0" applyNumberFormat="1" applyFont="1" applyFill="1" applyAlignment="1" applyProtection="1">
      <alignment horizontal="general" vertical="bottom"/>
      <protection locked="1" hidden="0"/>
    </xf>
    <xf numFmtId="164" fontId="8" fillId="0" borderId="0" xfId="0" applyNumberFormat="1" applyFont="1" applyFill="1" applyAlignment="1" applyProtection="1">
      <alignment horizontal="right" vertical="bottom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0" fontId="2" fillId="0" borderId="1" xfId="0" applyFont="1" applyFill="1" applyBorder="1" applyAlignment="1" applyProtection="1">
      <alignment horizontal="general" vertical="bottom"/>
      <protection locked="1" hidden="0"/>
    </xf>
    <xf numFmtId="0" fontId="1" fillId="2" borderId="2" xfId="0" applyFont="1" applyFill="1" applyBorder="1" applyAlignment="1" applyProtection="1">
      <alignment horizontal="general" vertical="bottom"/>
      <protection locked="1" hidden="0"/>
    </xf>
    <xf numFmtId="166" fontId="8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1"/>
      <protection locked="1" hidden="0"/>
    </xf>
    <xf numFmtId="164" fontId="2" fillId="0" borderId="3" xfId="0" applyNumberFormat="1" applyFont="1" applyFill="1" applyBorder="1" applyAlignment="1" applyProtection="1">
      <alignment horizontal="right" vertical="bottom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171" fontId="5" fillId="3" borderId="0" xfId="0" applyNumberFormat="1" applyFont="1" applyFill="1" applyAlignment="1" applyProtection="1">
      <alignment horizontal="right" vertical="bottom"/>
      <protection locked="1" hidden="0"/>
    </xf>
    <xf numFmtId="0" fontId="9" fillId="0" borderId="0" xfId="0" applyFont="1" applyFill="1" applyAlignment="1" applyProtection="1">
      <alignment horizontal="general" vertical="bottom"/>
      <protection locked="1" hidden="0"/>
    </xf>
    <xf numFmtId="164" fontId="6" fillId="3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171" fontId="1" fillId="0" borderId="0" xfId="0" applyNumberFormat="1" applyFont="1" applyFill="1" applyAlignment="1" applyProtection="1">
      <alignment horizontal="right" vertical="bottom"/>
      <protection locked="1" hidden="0"/>
    </xf>
    <xf numFmtId="171" fontId="5" fillId="0" borderId="0" xfId="0" applyNumberFormat="1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general" vertical="bottom" indent="1"/>
      <protection locked="1" hidden="0"/>
    </xf>
    <xf numFmtId="171" fontId="1" fillId="3" borderId="0" xfId="0" applyNumberFormat="1" applyFont="1" applyFill="1" applyAlignment="1" applyProtection="1">
      <alignment horizontal="right" vertical="bottom"/>
      <protection locked="1" hidden="0"/>
    </xf>
    <xf numFmtId="0" fontId="2" fillId="2" borderId="2" xfId="0" applyFont="1" applyFill="1" applyBorder="1" applyAlignment="1" applyProtection="1">
      <alignment horizontal="left" vertical="bottom"/>
      <protection locked="1" hidden="0"/>
    </xf>
    <xf numFmtId="0" fontId="1" fillId="0" borderId="0" xfId="0" applyFont="1" applyFill="1" applyAlignment="1" applyProtection="1">
      <alignment horizontal="general" vertical="bottom" indent="2"/>
      <protection locked="1" hidden="0"/>
    </xf>
    <xf numFmtId="164" fontId="2" fillId="3" borderId="3" xfId="0" applyNumberFormat="1" applyFont="1" applyFill="1" applyBorder="1" applyAlignment="1" applyProtection="1">
      <alignment horizontal="right" vertical="bottom"/>
      <protection locked="1" hidden="0"/>
    </xf>
    <xf numFmtId="0" fontId="1" fillId="0" borderId="1" xfId="0" applyFont="1" applyFill="1" applyBorder="1" applyAlignment="1" applyProtection="1">
      <alignment horizontal="right" vertical="bottom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64" fontId="2" fillId="0" borderId="3" xfId="0" applyNumberFormat="1" applyFont="1" applyFill="1" applyBorder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general" vertical="bottom" wrapText="1"/>
      <protection locked="1" hidden="0"/>
    </xf>
    <xf numFmtId="164" fontId="8" fillId="0" borderId="0" xfId="0" applyNumberFormat="1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3" xfId="0" applyFont="1" applyFill="1" applyBorder="1" applyAlignment="1" applyProtection="1">
      <alignment horizontal="right" vertical="bottom"/>
      <protection locked="1" hidden="0"/>
    </xf>
    <xf numFmtId="167" fontId="6" fillId="0" borderId="0" xfId="0" applyNumberFormat="1" applyFont="1" applyFill="1" applyAlignment="1" applyProtection="1">
      <alignment horizontal="general" vertical="bottom"/>
      <protection locked="1" hidden="0"/>
    </xf>
    <xf numFmtId="167" fontId="8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 indent="1"/>
      <protection locked="1" hidden="0"/>
    </xf>
    <xf numFmtId="167" fontId="10" fillId="0" borderId="0" xfId="0" applyNumberFormat="1" applyFont="1" applyFill="1" applyAlignment="1" applyProtection="1">
      <alignment horizontal="right" vertical="bottom"/>
      <protection locked="1" hidden="0"/>
    </xf>
    <xf numFmtId="167" fontId="5" fillId="3" borderId="0" xfId="0" applyNumberFormat="1" applyFont="1" applyFill="1" applyAlignment="1" applyProtection="1">
      <alignment horizontal="right" vertical="bottom"/>
      <protection locked="1" hidden="0"/>
    </xf>
    <xf numFmtId="173" fontId="6" fillId="0" borderId="0" xfId="0" applyNumberFormat="1" applyFont="1" applyFill="1" applyAlignment="1" applyProtection="1">
      <alignment horizontal="right" vertical="bottom"/>
      <protection locked="1" hidden="0"/>
    </xf>
    <xf numFmtId="167" fontId="5" fillId="0" borderId="0" xfId="0" applyNumberFormat="1" applyFont="1" applyFill="1" applyAlignment="1" applyProtection="1">
      <alignment horizontal="right" vertical="bottom"/>
      <protection locked="1" hidden="0"/>
    </xf>
    <xf numFmtId="173" fontId="1" fillId="3" borderId="0" xfId="0" applyNumberFormat="1" applyFont="1" applyFill="1" applyAlignment="1" applyProtection="1">
      <alignment horizontal="right" vertical="bottom"/>
      <protection locked="1" hidden="0"/>
    </xf>
    <xf numFmtId="164" fontId="8" fillId="3" borderId="0" xfId="0" applyNumberFormat="1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general" vertical="bottom" indent="2"/>
      <protection locked="1" hidden="0"/>
    </xf>
    <xf numFmtId="173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 wrapText="1"/>
      <protection locked="1" hidden="0"/>
    </xf>
    <xf numFmtId="164" fontId="4" fillId="0" borderId="3" xfId="0" applyNumberFormat="1" applyFont="1" applyFill="1" applyBorder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general" vertical="bottom" indent="3"/>
      <protection locked="1" hidden="0"/>
    </xf>
    <xf numFmtId="0" fontId="1" fillId="0" borderId="0" xfId="0" applyFont="1" applyFill="1" applyAlignment="1" applyProtection="1">
      <alignment horizontal="general" vertical="bottom" indent="3"/>
      <protection locked="1" hidden="0"/>
    </xf>
    <xf numFmtId="164" fontId="11" fillId="0" borderId="3" xfId="0" applyNumberFormat="1" applyFont="1" applyFill="1" applyBorder="1" applyAlignment="1" applyProtection="1">
      <alignment horizontal="right" vertical="bottom"/>
      <protection locked="1" hidden="0"/>
    </xf>
    <xf numFmtId="167" fontId="12" fillId="0" borderId="0" xfId="0" applyNumberFormat="1" applyFont="1" applyFill="1" applyAlignment="1" applyProtection="1">
      <alignment horizontal="right" vertical="bottom"/>
      <protection locked="1" hidden="0"/>
    </xf>
    <xf numFmtId="166" fontId="6" fillId="3" borderId="0" xfId="0" applyNumberFormat="1" applyFont="1" applyFill="1" applyAlignment="1" applyProtection="1">
      <alignment horizontal="right" vertical="bottom"/>
      <protection locked="1" hidden="0"/>
    </xf>
    <xf numFmtId="164" fontId="12" fillId="3" borderId="0" xfId="0" applyNumberFormat="1" applyFont="1" applyFill="1" applyAlignment="1" applyProtection="1">
      <alignment horizontal="right" vertical="bottom"/>
      <protection locked="1" hidden="0"/>
    </xf>
    <xf numFmtId="167" fontId="12" fillId="3" borderId="0" xfId="0" applyNumberFormat="1" applyFont="1" applyFill="1" applyAlignment="1" applyProtection="1">
      <alignment horizontal="right" vertical="bottom"/>
      <protection locked="1" hidden="0"/>
    </xf>
    <xf numFmtId="164" fontId="5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 indent="2"/>
      <protection locked="1" hidden="0"/>
    </xf>
    <xf numFmtId="0" fontId="1" fillId="0" borderId="1" xfId="0" applyFont="1" applyFill="1" applyBorder="1" applyAlignment="1" applyProtection="1">
      <alignment horizontal="general" vertical="bottom"/>
      <protection locked="1" hidden="0"/>
    </xf>
    <xf numFmtId="165" fontId="6" fillId="0" borderId="0" xfId="0" applyNumberFormat="1" applyFont="1" applyFill="1" applyAlignment="1" applyProtection="1">
      <alignment horizontal="right" vertical="bottom"/>
      <protection locked="1" hidden="0"/>
    </xf>
    <xf numFmtId="170" fontId="6" fillId="0" borderId="0" xfId="0" applyNumberFormat="1" applyFont="1" applyFill="1" applyAlignment="1" applyProtection="1">
      <alignment horizontal="general" vertical="bottom"/>
      <protection locked="1" hidden="0"/>
    </xf>
    <xf numFmtId="166" fontId="2" fillId="3" borderId="3" xfId="0" applyNumberFormat="1" applyFont="1" applyFill="1" applyBorder="1" applyAlignment="1" applyProtection="1">
      <alignment horizontal="right" vertical="bottom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167" fontId="10" fillId="3" borderId="0" xfId="0" applyNumberFormat="1" applyFont="1" applyFill="1" applyAlignment="1" applyProtection="1">
      <alignment horizontal="right" vertical="bottom"/>
      <protection locked="1" hidden="0"/>
    </xf>
    <xf numFmtId="166" fontId="2" fillId="0" borderId="3" xfId="0" applyNumberFormat="1" applyFont="1" applyFill="1" applyBorder="1" applyAlignment="1" applyProtection="1">
      <alignment horizontal="right" vertical="bottom"/>
      <protection locked="1" hidden="0"/>
    </xf>
    <xf numFmtId="171" fontId="6" fillId="3" borderId="0" xfId="0" applyNumberFormat="1" applyFont="1" applyFill="1" applyAlignment="1" applyProtection="1">
      <alignment horizontal="right" vertical="bottom"/>
      <protection locked="1" hidden="0"/>
    </xf>
    <xf numFmtId="164" fontId="4" fillId="3" borderId="3" xfId="0" applyNumberFormat="1" applyFont="1" applyFill="1" applyBorder="1" applyAlignment="1" applyProtection="1">
      <alignment horizontal="right" vertical="bottom"/>
      <protection locked="1" hidden="0"/>
    </xf>
    <xf numFmtId="166" fontId="8" fillId="3" borderId="0" xfId="0" applyNumberFormat="1" applyFont="1" applyFill="1" applyAlignment="1" applyProtection="1">
      <alignment horizontal="right" vertical="bottom"/>
      <protection locked="1" hidden="0"/>
    </xf>
    <xf numFmtId="167" fontId="6" fillId="3" borderId="0" xfId="0" applyNumberFormat="1" applyFont="1" applyFill="1" applyAlignment="1" applyProtection="1">
      <alignment horizontal="right" vertical="bottom"/>
      <protection locked="1" hidden="0"/>
    </xf>
    <xf numFmtId="0" fontId="13" fillId="0" borderId="0" xfId="0" applyFont="1" applyFill="1" applyAlignment="1" applyProtection="1">
      <alignment horizontal="general" vertical="bottom"/>
      <protection locked="1" hidden="0"/>
    </xf>
    <xf numFmtId="0" fontId="13" fillId="0" borderId="0" xfId="0" applyFont="1" applyFill="1" applyAlignment="1" applyProtection="1">
      <alignment horizontal="general" vertical="bottom" indent="1"/>
      <protection locked="1" hidden="0"/>
    </xf>
    <xf numFmtId="166" fontId="4" fillId="0" borderId="3" xfId="0" applyNumberFormat="1" applyFont="1" applyFill="1" applyBorder="1" applyAlignment="1" applyProtection="1">
      <alignment horizontal="right" vertical="bottom"/>
      <protection locked="1" hidden="0"/>
    </xf>
    <xf numFmtId="166" fontId="8" fillId="0" borderId="0" xfId="0" applyNumberFormat="1" applyFont="1" applyFill="1" applyAlignment="1" applyProtection="1">
      <alignment horizontal="general" vertical="bottom"/>
      <protection locked="1" hidden="0"/>
    </xf>
    <xf numFmtId="172" fontId="1" fillId="0" borderId="0" xfId="0" applyNumberFormat="1" applyFont="1" applyFill="1" applyAlignment="1" applyProtection="1">
      <alignment horizontal="left" vertical="bottom"/>
      <protection locked="1" hidden="0"/>
    </xf>
    <xf numFmtId="169" fontId="1" fillId="0" borderId="0" xfId="0" applyNumberFormat="1" applyFont="1" applyFill="1" applyAlignment="1" applyProtection="1">
      <alignment horizontal="general" vertical="bottom"/>
      <protection locked="1" hidden="0"/>
    </xf>
    <xf numFmtId="169" fontId="8" fillId="0" borderId="0" xfId="0" applyNumberFormat="1" applyFont="1" applyFill="1" applyAlignment="1" applyProtection="1">
      <alignment horizontal="general" vertical="bottom"/>
      <protection locked="1" hidden="0"/>
    </xf>
    <xf numFmtId="165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15" fillId="0" borderId="0" xfId="0" applyFont="1" applyFill="1" applyAlignment="1" applyProtection="1">
      <alignment horizontal="right" vertical="bottom"/>
      <protection locked="1" hidden="0"/>
    </xf>
    <xf numFmtId="165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6" fillId="0" borderId="0" xfId="0" applyNumberFormat="1" applyFont="1" applyFill="1" applyAlignment="1" applyProtection="1">
      <alignment horizontal="right" vertical="bottom"/>
      <protection locked="1" hidden="0"/>
    </xf>
    <xf numFmtId="0" fontId="15" fillId="0" borderId="0" xfId="0" applyFont="1" applyFill="1" applyAlignment="1" applyProtection="1">
      <alignment horizontal="general" vertical="bottom"/>
      <protection locked="1" hidden="0"/>
    </xf>
    <xf numFmtId="0" fontId="14" fillId="0" borderId="0" xfId="0" applyFont="1" applyFill="1" applyAlignment="1" applyProtection="1">
      <alignment horizontal="general" vertical="bottom"/>
      <protection locked="1" hidden="0"/>
    </xf>
    <xf numFmtId="0" fontId="15" fillId="0" borderId="0" xfId="0" applyFont="1" applyFill="1" applyAlignment="1" applyProtection="1">
      <alignment horizontal="general" vertical="bottom" indent="1"/>
      <protection locked="1" hidden="0"/>
    </xf>
    <xf numFmtId="165" fontId="1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6" fillId="3" borderId="0" xfId="0" applyNumberFormat="1" applyFont="1" applyFill="1" applyAlignment="1" applyProtection="1">
      <alignment horizontal="right" vertical="bottom"/>
      <protection locked="1" hidden="0"/>
    </xf>
    <xf numFmtId="0" fontId="15" fillId="3" borderId="0" xfId="0" applyFont="1" applyFill="1" applyAlignment="1" applyProtection="1">
      <alignment horizontal="general" vertical="bottom"/>
      <protection locked="1" hidden="0"/>
    </xf>
    <xf numFmtId="0" fontId="15" fillId="3" borderId="0" xfId="0" applyFont="1" applyFill="1" applyAlignment="1" applyProtection="1">
      <alignment horizontal="right" vertical="bottom"/>
      <protection locked="1" hidden="0"/>
    </xf>
    <xf numFmtId="165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0" fontId="17" fillId="0" borderId="0" xfId="0" applyFont="1" applyFill="1" applyAlignment="1" applyProtection="1">
      <alignment horizontal="general" vertical="bottom"/>
      <protection locked="1" hidden="0"/>
    </xf>
    <xf numFmtId="174" fontId="15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8" fillId="0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5" fontId="1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571500" cy="571500"/>
    <xdr:pic>
      <xdr:nvPicPr>
        <xdr:cNvPr id="2" name="Shortcut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showGridLines="0" tabSelected="1" workbookViewId="0"/>
  </sheetViews>
  <sheetFormatPr defaultColWidth="8.42578125" defaultRowHeight="15"/>
  <cols>
    <col min="1" max="1" width="11" customWidth="1"/>
    <col min="2" max="2" width="36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2" t="s">
        <v>0</v>
      </c>
      <c r="C2" s="6"/>
      <c r="D2" s="6"/>
      <c r="E2" s="6"/>
      <c r="F2" s="6"/>
      <c r="G2" s="6"/>
      <c r="H2" s="6"/>
      <c r="I2" s="1"/>
    </row>
    <row r="3">
      <c r="A3" s="1"/>
      <c r="B3" s="35" t="s">
        <v>1</v>
      </c>
      <c r="C3" s="6"/>
      <c r="D3" s="6"/>
      <c r="E3" s="6"/>
      <c r="F3" s="6"/>
      <c r="G3" s="6"/>
      <c r="H3" s="6"/>
      <c r="I3" s="1"/>
    </row>
    <row r="4">
      <c r="A4" s="1"/>
      <c r="B4" s="1" t="s">
        <v>2</v>
      </c>
      <c r="C4" s="6"/>
      <c r="D4" s="6"/>
      <c r="E4" s="6"/>
      <c r="F4" s="6"/>
      <c r="G4" s="6"/>
      <c r="H4" s="6"/>
      <c r="I4" s="1"/>
    </row>
    <row r="5">
      <c r="A5" s="1"/>
      <c r="B5" s="29" t="s">
        <v>3</v>
      </c>
      <c r="C5" s="24"/>
      <c r="D5" s="24"/>
      <c r="E5" s="24"/>
      <c r="F5" s="24"/>
      <c r="G5" s="24"/>
      <c r="H5" s="24"/>
      <c r="I5" s="42" t="s">
        <v>4</v>
      </c>
    </row>
    <row r="6">
      <c r="A6" s="1"/>
      <c r="B6" s="19"/>
      <c r="C6" s="12"/>
      <c r="D6" s="12"/>
      <c r="E6" s="12"/>
      <c r="F6" s="12"/>
      <c r="G6" s="12"/>
      <c r="H6" s="12"/>
      <c r="I6" s="19"/>
    </row>
    <row r="7">
      <c r="A7" s="1"/>
      <c r="B7" s="27"/>
      <c r="C7" s="20"/>
      <c r="D7" s="20"/>
      <c r="E7" s="20"/>
      <c r="F7" s="20"/>
      <c r="G7" s="20"/>
      <c r="H7" s="20"/>
      <c r="I7" s="27"/>
    </row>
    <row r="8">
      <c r="A8" s="1"/>
      <c r="B8" s="1"/>
      <c r="C8" s="1"/>
      <c r="D8" s="1"/>
      <c r="E8" s="1"/>
      <c r="F8" s="1"/>
      <c r="G8" s="1"/>
      <c r="H8" s="1"/>
      <c r="I8" s="1"/>
    </row>
    <row r="9">
      <c r="A9" s="1"/>
      <c r="B9" s="1" t="s">
        <v>5</v>
      </c>
      <c r="C9" s="13" t="s">
        <v>6</v>
      </c>
      <c r="D9" s="1"/>
      <c r="E9" s="1"/>
      <c r="F9" s="1"/>
      <c r="G9" s="1"/>
      <c r="H9" s="1"/>
      <c r="I9" s="1"/>
    </row>
    <row r="10">
      <c r="A10" s="1"/>
      <c r="B10" s="1" t="s">
        <v>7</v>
      </c>
      <c r="C10" s="13" t="s">
        <v>8</v>
      </c>
      <c r="D10" s="1"/>
      <c r="E10" s="1"/>
      <c r="F10" s="1"/>
      <c r="G10" s="1"/>
      <c r="H10" s="1"/>
      <c r="I10" s="1"/>
    </row>
    <row r="11">
      <c r="A11" s="1"/>
      <c r="B11" s="1" t="s">
        <v>9</v>
      </c>
      <c r="C11" s="13" t="s">
        <v>10</v>
      </c>
      <c r="D11" s="1"/>
      <c r="E11" s="1"/>
      <c r="F11" s="1"/>
      <c r="G11" s="1"/>
      <c r="H11" s="1"/>
      <c r="I11" s="1"/>
    </row>
    <row r="12">
      <c r="A12" s="1"/>
      <c r="B12" s="1" t="s">
        <v>11</v>
      </c>
      <c r="C12" s="13" t="s">
        <v>12</v>
      </c>
      <c r="D12" s="1"/>
      <c r="E12" s="1"/>
      <c r="F12" s="1"/>
      <c r="G12" s="1"/>
      <c r="H12" s="1"/>
      <c r="I12" s="1"/>
    </row>
    <row r="13">
      <c r="A13" s="1"/>
      <c r="B13" s="1" t="s">
        <v>13</v>
      </c>
      <c r="C13" s="13" t="s">
        <v>14</v>
      </c>
      <c r="D13" s="1"/>
      <c r="E13" s="1"/>
      <c r="F13" s="1"/>
      <c r="G13" s="1"/>
      <c r="H13" s="1"/>
      <c r="I13" s="1"/>
    </row>
    <row r="14">
      <c r="A14" s="1"/>
      <c r="B14" s="1" t="s">
        <v>15</v>
      </c>
      <c r="C14" s="13" t="s">
        <v>16</v>
      </c>
      <c r="D14" s="1"/>
      <c r="E14" s="1"/>
      <c r="F14" s="1"/>
      <c r="G14" s="1"/>
      <c r="H14" s="1"/>
      <c r="I14" s="1"/>
    </row>
    <row r="15">
      <c r="A15" s="1"/>
      <c r="B15" s="1" t="s">
        <v>17</v>
      </c>
      <c r="C15" s="13" t="s">
        <v>18</v>
      </c>
      <c r="D15" s="1"/>
      <c r="E15" s="1"/>
      <c r="F15" s="1"/>
      <c r="G15" s="1"/>
      <c r="H15" s="1"/>
      <c r="I15" s="1"/>
    </row>
    <row r="16">
      <c r="A16" s="1"/>
      <c r="B16" s="1" t="s">
        <v>19</v>
      </c>
      <c r="C16" s="13" t="s">
        <v>20</v>
      </c>
      <c r="D16" s="1"/>
      <c r="E16" s="1"/>
      <c r="F16" s="1"/>
      <c r="G16" s="1"/>
      <c r="H16" s="1"/>
      <c r="I16" s="1"/>
    </row>
    <row r="17">
      <c r="A17" s="1"/>
      <c r="B17" s="1" t="s">
        <v>21</v>
      </c>
      <c r="C17" s="13" t="s">
        <v>22</v>
      </c>
      <c r="D17" s="1"/>
      <c r="E17" s="1"/>
      <c r="F17" s="1"/>
      <c r="G17" s="1"/>
      <c r="H17" s="1"/>
      <c r="I17" s="1"/>
    </row>
    <row r="18">
      <c r="A18" s="1"/>
      <c r="B18" s="1"/>
      <c r="C18" s="1"/>
      <c r="D18" s="1"/>
      <c r="E18" s="1"/>
      <c r="F18" s="1"/>
      <c r="G18" s="1"/>
      <c r="H18" s="1"/>
      <c r="I18" s="1"/>
    </row>
    <row r="19">
      <c r="A19" s="1"/>
      <c r="B19" s="2" t="s">
        <v>23</v>
      </c>
      <c r="C19" s="6"/>
      <c r="D19" s="6"/>
      <c r="E19" s="6"/>
      <c r="F19" s="6"/>
      <c r="G19" s="6"/>
      <c r="H19" s="6"/>
      <c r="I19" s="1"/>
    </row>
    <row r="20">
      <c r="A20" s="1"/>
      <c r="B20" s="28" t="s">
        <v>24</v>
      </c>
      <c r="C20" s="21" t="s">
        <v>25</v>
      </c>
      <c r="D20" s="21" t="s">
        <v>26</v>
      </c>
      <c r="E20" s="21" t="s">
        <v>27</v>
      </c>
      <c r="F20" s="21" t="s">
        <v>28</v>
      </c>
      <c r="G20" s="21" t="s">
        <v>29</v>
      </c>
      <c r="H20" s="21" t="s">
        <v>30</v>
      </c>
      <c r="I20" s="3"/>
      <c r="J20" s="23"/>
    </row>
    <row r="21">
      <c r="A21" s="1"/>
      <c r="B21" s="1" t="s">
        <v>31</v>
      </c>
      <c r="C21" s="15">
        <f>'Revenue summary'!H38</f>
        <v>3153.8312102915015</v>
      </c>
      <c r="D21" s="15">
        <f>Inputs!C20</f>
        <v>3334.15</v>
      </c>
      <c r="E21" s="4">
        <f>C21-D21</f>
        <v>-180.31878970849857</v>
      </c>
      <c r="F21" s="10">
        <f>C21/D21-1</f>
        <v>-0.0540823867278013</v>
      </c>
      <c r="G21" s="4" t="s">
        <v>32</v>
      </c>
      <c r="H21" s="3" t="s">
        <v>33</v>
      </c>
      <c r="I21" s="8" t="s">
        <v>34</v>
      </c>
    </row>
    <row r="22">
      <c r="A22" s="1"/>
      <c r="B22" s="1" t="s">
        <v>35</v>
      </c>
      <c r="C22" s="15">
        <f>'Revenue summary'!H50</f>
        <v>2010.164110532192</v>
      </c>
      <c r="D22" s="4" t="s">
        <v>32</v>
      </c>
      <c r="E22" s="4" t="s">
        <v>32</v>
      </c>
      <c r="F22" s="10" t="s">
        <v>32</v>
      </c>
      <c r="G22" s="15">
        <f>Guidance!G12</f>
        <v>2005.858185497519</v>
      </c>
      <c r="H22" s="3" t="s">
        <v>36</v>
      </c>
      <c r="I22" s="8" t="s">
        <v>37</v>
      </c>
    </row>
    <row r="23">
      <c r="A23" s="1"/>
      <c r="B23" s="1" t="s">
        <v>38</v>
      </c>
      <c r="C23" s="15">
        <f>'Income Statement'!H273</f>
        <v>1031.920256395685</v>
      </c>
      <c r="D23" s="4" t="s">
        <v>32</v>
      </c>
      <c r="E23" s="4" t="s">
        <v>32</v>
      </c>
      <c r="F23" s="10" t="s">
        <v>32</v>
      </c>
      <c r="G23" s="4" t="s">
        <v>32</v>
      </c>
      <c r="H23" s="3" t="s">
        <v>39</v>
      </c>
      <c r="I23" s="8" t="s">
        <v>40</v>
      </c>
    </row>
    <row r="24">
      <c r="A24" s="1"/>
      <c r="B24" s="1" t="s">
        <v>41</v>
      </c>
      <c r="C24" s="15">
        <f>'Income Statement'!H231</f>
        <v>1663.199585267727</v>
      </c>
      <c r="D24" s="15">
        <f>Inputs!C75</f>
        <v>1698.38</v>
      </c>
      <c r="E24" s="4">
        <f>C24-D24</f>
        <v>-35.18041473227322</v>
      </c>
      <c r="F24" s="10">
        <f>C24/D24-1</f>
        <v>-0.020714100926926382</v>
      </c>
      <c r="G24" s="4" t="s">
        <v>32</v>
      </c>
      <c r="H24" s="3" t="s">
        <v>33</v>
      </c>
      <c r="I24" s="8" t="s">
        <v>42</v>
      </c>
    </row>
    <row r="25">
      <c r="A25" s="1"/>
      <c r="B25" s="1" t="s">
        <v>43</v>
      </c>
      <c r="C25" s="17">
        <f>'Income Statement'!H276</f>
        <v>1.2891999964380414</v>
      </c>
      <c r="D25" s="17">
        <f>Inputs!C18</f>
        <v>1.28</v>
      </c>
      <c r="E25" s="18">
        <f>C25-D25</f>
        <v>0.009199996438041369</v>
      </c>
      <c r="F25" s="10">
        <f>C25/D25-1</f>
        <v>0.007187497217219896</v>
      </c>
      <c r="G25" s="18" t="s">
        <v>32</v>
      </c>
      <c r="H25" s="3" t="s">
        <v>44</v>
      </c>
      <c r="I25" s="8" t="s">
        <v>45</v>
      </c>
    </row>
    <row r="26">
      <c r="A26" s="1"/>
      <c r="B26" s="1" t="s">
        <v>46</v>
      </c>
      <c r="C26" s="15">
        <f>'Income Statement'!H123</f>
        <v>776.1026821580346</v>
      </c>
      <c r="D26" s="15">
        <f>Inputs!C76</f>
        <v>1725.4</v>
      </c>
      <c r="E26" s="94" t="s">
        <v>47</v>
      </c>
      <c r="F26" s="93" t="s">
        <v>47</v>
      </c>
      <c r="G26" s="4" t="s">
        <v>32</v>
      </c>
      <c r="H26" s="3" t="s">
        <v>48</v>
      </c>
      <c r="I26" s="8" t="s">
        <v>49</v>
      </c>
    </row>
    <row r="27">
      <c r="A27" s="1"/>
      <c r="B27" s="1" t="s">
        <v>50</v>
      </c>
      <c r="C27" s="17">
        <f>'Income Statement'!H145</f>
        <v>0.9698439714113312</v>
      </c>
      <c r="D27" s="17">
        <f>Inputs!C53</f>
        <v>1.29</v>
      </c>
      <c r="E27" s="95" t="s">
        <v>47</v>
      </c>
      <c r="F27" s="93" t="s">
        <v>47</v>
      </c>
      <c r="G27" s="18" t="s">
        <v>32</v>
      </c>
      <c r="H27" s="3" t="s">
        <v>48</v>
      </c>
      <c r="I27" s="8" t="s">
        <v>51</v>
      </c>
    </row>
    <row r="28">
      <c r="A28" s="1"/>
      <c r="B28" s="1" t="s">
        <v>52</v>
      </c>
      <c r="C28" s="11" t="str">
        <f>IF((SUMPRODUCT(ABS(N(+'Revenue summary'!C44:H44)))+SUMPRODUCT(ABS(N(+'Revenue summary'!C46:G46)))+SUMPRODUCT(ABS(N(+'Revenue summary'!E47)))+SUMPRODUCT(ABS(N(+'Revenue summary'!H119)))+SUMPRODUCT(ABS(N(+'Segment - Real Estate'!C30:G30)))+SUMPRODUCT(ABS(N(+'Segment - Real Estate'!C62:G62)))+SUMPRODUCT(ABS(N(+'Segment - Real Estate'!C184:G184)))+SUMPRODUCT(ABS(N(+'Segment - Real Estate'!C218:G218)))+SUMPRODUCT(ABS(N(+'Segment - Real Estate'!C249:G249)))+SUMPRODUCT(ABS(N(+'Segment - Private Equity'!C30:G30)))+SUMPRODUCT(ABS(N(+'Segment - Private Equity'!C62:G62)))+SUMPRODUCT(ABS(N(+'Segment - Private Equity'!C186:G186)))+SUMPRODUCT(ABS(N(+'Segment - Private Equity'!C220:G220)))+SUMPRODUCT(ABS(N(+'Segment - Private Equity'!C267:G267)))+SUMPRODUCT(ABS(N(+'Segment - Credit &amp; Insurance'!C30:G30)))+SUMPRODUCT(ABS(N(+'Segment - Credit &amp; Insurance'!C62:G62)))+SUMPRODUCT(ABS(N(+'Segment - Credit &amp; Insurance'!C139:G139)))+SUMPRODUCT(ABS(N(+'Segment - Credit &amp; Insurance'!C173:G173)))+SUMPRODUCT(ABS(N(+'Segment - Multi-Asset Investing'!C30:G30)))+SUMPRODUCT(ABS(N(+'Segment - Multi-Asset Investing'!C62:G62)))+SUMPRODUCT(ABS(N(+'Segment - Multi-Asset Investing'!C133:G133)))+SUMPRODUCT(ABS(N(+'Segment - Multi-Asset Investing'!C167:G167)))+SUMPRODUCT(ABS(N(+'Income Statement'!C128:G128)))+SUMPRODUCT(ABS(N(+'Income Statement'!C130:G130)))+SUMPRODUCT(ABS(N(+'Income Statement'!C147:G147)))+SUMPRODUCT(ABS(N(+'Income Statement'!C236:G236)))+SUMPRODUCT(ABS(N(+'Income Statement'!C254:G254)))+SUMPRODUCT(ABS(N(+'Income Statement'!C258:G258)))+SUMPRODUCT(ABS(N(+'Income Statement'!C263:G263)))+SUMPRODUCT(ABS(N(+'Income Statement'!C280:G280)))+SUMPRODUCT(ABS(N(+'Income Statement'!C301:G301)))+SUMPRODUCT(ABS(N(+'Balance Sheet'!C38:H38)))+SUMPRODUCT(ABS(N(+'Balance Sheet'!C40:G40)))+SUMPRODUCT(ABS(N(+'Cash Flow Statement'!C29:G29)))+SUMPRODUCT(ABS(N(+'Cash Flow Statement'!C34:G34)))+SUMPRODUCT(ABS(N(+'Cash Flow Statement'!C45:G45)))+SUMPRODUCT(ABS(N(+'Cash Flow Statement'!C55:G55)))+SUMPRODUCT(ABS(N(+'Cash Flow Statement'!C54:G54)))+SUMPRODUCT(ABS(N(+'Cash Flow Statement'!C56:G56))))&lt;0.01,"PASS","FAIL")</f>
        <v>PASS</v>
      </c>
      <c r="D28" s="5"/>
      <c r="E28" s="5"/>
      <c r="F28" s="5"/>
      <c r="G28" s="5"/>
      <c r="H28" s="5"/>
      <c r="I28" s="92" t="s">
        <v>53</v>
      </c>
      <c r="J28" s="23"/>
    </row>
    <row r="29">
      <c r="A29" s="1"/>
      <c r="B29" s="1" t="s">
        <v>54</v>
      </c>
      <c r="C29" s="76">
        <f>Inputs!C414</f>
        <v>0.65</v>
      </c>
      <c r="D29" s="22"/>
      <c r="E29" s="22"/>
      <c r="F29" s="22"/>
      <c r="G29" s="22"/>
      <c r="H29" s="22"/>
      <c r="I29" s="1"/>
    </row>
    <row r="30">
      <c r="A30" s="1"/>
      <c r="B30" s="1" t="s">
        <v>55</v>
      </c>
      <c r="C30" s="75" t="str">
        <f>Inputs!C416</f>
        <v>low</v>
      </c>
      <c r="D30" s="7"/>
      <c r="E30" s="7"/>
      <c r="F30" s="7"/>
      <c r="G30" s="7"/>
      <c r="H30" s="7"/>
      <c r="I30" s="3"/>
      <c r="J30" s="23"/>
    </row>
    <row r="31">
      <c r="A31" s="1"/>
      <c r="B31" s="1"/>
      <c r="C31" s="1"/>
      <c r="D31" s="1"/>
      <c r="E31" s="1"/>
      <c r="F31" s="1"/>
      <c r="G31" s="1"/>
      <c r="H31" s="1"/>
      <c r="I31" s="1"/>
    </row>
    <row r="32">
      <c r="A32" s="1"/>
      <c r="B32" s="2" t="s">
        <v>56</v>
      </c>
      <c r="C32" s="6"/>
      <c r="D32" s="6"/>
      <c r="E32" s="6"/>
      <c r="F32" s="6"/>
      <c r="G32" s="6"/>
      <c r="H32" s="6"/>
      <c r="I32" s="1"/>
    </row>
    <row r="33">
      <c r="A33" s="1"/>
      <c r="B33" s="1" t="s">
        <v>57</v>
      </c>
      <c r="C33" s="25">
        <f>C25-'Income Statement'!H276</f>
        <v>0</v>
      </c>
      <c r="D33" s="9"/>
      <c r="E33" s="9"/>
      <c r="F33" s="9"/>
      <c r="G33" s="9"/>
      <c r="H33" s="9"/>
      <c r="I33" s="1"/>
    </row>
    <row r="34">
      <c r="A34" s="1"/>
      <c r="B34" s="1" t="s">
        <v>58</v>
      </c>
      <c r="C34" s="16">
        <f>C21-'Revenue summary'!H38</f>
        <v>0</v>
      </c>
      <c r="D34" s="6"/>
      <c r="E34" s="6"/>
      <c r="F34" s="6"/>
      <c r="G34" s="6"/>
      <c r="H34" s="6"/>
      <c r="I34" s="1"/>
    </row>
    <row r="35">
      <c r="A35" s="1"/>
      <c r="B35" s="1" t="s">
        <v>59</v>
      </c>
      <c r="C35" s="16">
        <f>C23-'Income Statement'!H273</f>
        <v>0</v>
      </c>
      <c r="D35" s="6"/>
      <c r="E35" s="6"/>
      <c r="F35" s="6"/>
      <c r="G35" s="6"/>
      <c r="H35" s="6"/>
      <c r="I35" s="1"/>
    </row>
    <row r="36">
      <c r="A36" s="1"/>
      <c r="B36" s="1"/>
      <c r="C36" s="1"/>
      <c r="D36" s="1"/>
      <c r="E36" s="1"/>
      <c r="F36" s="1"/>
      <c r="G36" s="1"/>
      <c r="H36" s="1"/>
      <c r="I36" s="1"/>
    </row>
    <row r="37">
      <c r="A37" s="1"/>
      <c r="B37" s="2" t="s">
        <v>60</v>
      </c>
      <c r="C37" s="6"/>
      <c r="D37" s="6"/>
      <c r="E37" s="6"/>
      <c r="F37" s="6"/>
      <c r="G37" s="6"/>
      <c r="H37" s="6"/>
      <c r="I37" s="1"/>
    </row>
    <row r="38">
      <c r="A38" s="1"/>
      <c r="B38" s="1" t="s">
        <v>61</v>
      </c>
      <c r="C38" s="30">
        <v>1.31</v>
      </c>
      <c r="D38" s="18"/>
      <c r="E38" s="18"/>
      <c r="F38" s="10"/>
      <c r="G38" s="18"/>
      <c r="H38" s="3"/>
      <c r="I38" s="8" t="s">
        <v>62</v>
      </c>
    </row>
    <row r="39">
      <c r="A39" s="1"/>
      <c r="B39" s="1" t="s">
        <v>63</v>
      </c>
      <c r="C39" s="26">
        <v>3360</v>
      </c>
      <c r="D39" s="4"/>
      <c r="E39" s="4"/>
      <c r="F39" s="10"/>
      <c r="G39" s="4"/>
      <c r="H39" s="3"/>
      <c r="I39" s="8" t="s">
        <v>64</v>
      </c>
    </row>
    <row r="40">
      <c r="A40" s="1"/>
      <c r="B40" s="1" t="s">
        <v>65</v>
      </c>
      <c r="C40" s="26">
        <v>620</v>
      </c>
      <c r="D40" s="4"/>
      <c r="E40" s="4"/>
      <c r="F40" s="10"/>
      <c r="G40" s="4"/>
      <c r="H40" s="3"/>
      <c r="I40" s="8" t="s">
        <v>66</v>
      </c>
    </row>
    <row r="41">
      <c r="A41" s="1"/>
      <c r="B41" s="1" t="s">
        <v>67</v>
      </c>
      <c r="C41" s="17">
        <f>Inputs!C45</f>
        <v>1.27</v>
      </c>
      <c r="D41" s="17">
        <f>Inputs!C46</f>
        <v>1.43</v>
      </c>
      <c r="E41" s="17">
        <f>Inputs!C47</f>
        <v>1.14</v>
      </c>
      <c r="F41" s="10"/>
      <c r="G41" s="18"/>
      <c r="H41" s="3"/>
      <c r="I41" s="1"/>
    </row>
    <row r="42">
      <c r="A42" s="1"/>
      <c r="B42" s="1"/>
      <c r="C42" s="1"/>
      <c r="D42" s="1"/>
      <c r="E42" s="1"/>
      <c r="F42" s="1"/>
      <c r="G42" s="1"/>
      <c r="H42" s="1"/>
      <c r="I42" s="1"/>
    </row>
    <row r="43">
      <c r="A43" s="1"/>
      <c r="B43" s="14" t="s">
        <v>68</v>
      </c>
      <c r="C43" s="6"/>
      <c r="D43" s="6"/>
      <c r="E43" s="6"/>
      <c r="F43" s="6"/>
      <c r="G43" s="6"/>
      <c r="H43" s="6"/>
      <c r="I43" s="1"/>
    </row>
    <row r="44">
      <c r="A44" s="1"/>
      <c r="B44" s="14" t="s">
        <v>69</v>
      </c>
      <c r="C44" s="6"/>
      <c r="D44" s="6"/>
      <c r="E44" s="6"/>
      <c r="F44" s="6"/>
      <c r="G44" s="6"/>
      <c r="H44" s="6"/>
      <c r="I44" s="1"/>
    </row>
    <row r="45">
      <c r="A45" s="1"/>
      <c r="B45" s="1"/>
      <c r="C45" s="1"/>
      <c r="D45" s="1"/>
      <c r="E45" s="1"/>
      <c r="F45" s="1"/>
      <c r="G45" s="1"/>
      <c r="H45" s="1"/>
      <c r="I45" s="1"/>
    </row>
    <row r="46">
      <c r="A46" s="1"/>
      <c r="B46" s="1"/>
      <c r="C46" s="1"/>
      <c r="D46" s="1"/>
      <c r="E46" s="1"/>
      <c r="F46" s="1"/>
      <c r="G46" s="1"/>
      <c r="H46" s="1"/>
      <c r="I46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3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2" t="s">
        <v>0</v>
      </c>
      <c r="C2" s="6"/>
      <c r="D2" s="6"/>
      <c r="E2" s="6"/>
      <c r="F2" s="6"/>
      <c r="G2" s="6"/>
      <c r="H2" s="6"/>
      <c r="I2" s="1"/>
    </row>
    <row r="3">
      <c r="A3" s="1"/>
      <c r="B3" s="2" t="s">
        <v>70</v>
      </c>
      <c r="C3" s="6"/>
      <c r="D3" s="6"/>
      <c r="E3" s="6"/>
      <c r="F3" s="6"/>
      <c r="G3" s="6"/>
      <c r="H3" s="6"/>
      <c r="I3" s="1"/>
    </row>
    <row r="4">
      <c r="A4" s="1"/>
      <c r="B4" s="1" t="s">
        <v>2</v>
      </c>
      <c r="C4" s="6"/>
      <c r="D4" s="6"/>
      <c r="E4" s="6"/>
      <c r="F4" s="6"/>
      <c r="G4" s="6"/>
      <c r="H4" s="6"/>
      <c r="I4" s="1"/>
    </row>
    <row r="5">
      <c r="A5" s="1"/>
      <c r="B5" s="29" t="s">
        <v>71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42" t="s">
        <v>4</v>
      </c>
    </row>
    <row r="6">
      <c r="A6" s="1"/>
      <c r="B6" s="19" t="s">
        <v>78</v>
      </c>
      <c r="C6" s="12">
        <v>45930</v>
      </c>
      <c r="D6" s="12">
        <v>46022</v>
      </c>
      <c r="E6" s="12">
        <v>46022</v>
      </c>
      <c r="F6" s="12">
        <v>46112</v>
      </c>
      <c r="G6" s="12">
        <v>46203</v>
      </c>
      <c r="H6" s="12">
        <v>46295</v>
      </c>
      <c r="I6" s="19"/>
    </row>
    <row r="7">
      <c r="A7" s="1"/>
      <c r="B7" s="27" t="s">
        <v>79</v>
      </c>
      <c r="C7" s="20">
        <v>92</v>
      </c>
      <c r="D7" s="20">
        <v>92</v>
      </c>
      <c r="E7" s="20">
        <v>365</v>
      </c>
      <c r="F7" s="20">
        <v>90</v>
      </c>
      <c r="G7" s="20">
        <v>91</v>
      </c>
      <c r="H7" s="20">
        <v>92</v>
      </c>
      <c r="I7" s="27"/>
    </row>
    <row r="8">
      <c r="A8" s="1"/>
      <c r="B8" s="1"/>
      <c r="C8" s="3"/>
      <c r="D8" s="3"/>
      <c r="E8" s="3"/>
      <c r="F8" s="3"/>
      <c r="G8" s="3"/>
      <c r="H8" s="37"/>
      <c r="I8" s="1"/>
    </row>
    <row r="9">
      <c r="A9" s="1"/>
      <c r="B9" s="2" t="s">
        <v>80</v>
      </c>
      <c r="C9" s="4"/>
      <c r="D9" s="4"/>
      <c r="E9" s="4"/>
      <c r="F9" s="4"/>
      <c r="G9" s="4"/>
      <c r="H9" s="33"/>
      <c r="I9" s="1"/>
    </row>
    <row r="10">
      <c r="A10" s="1"/>
      <c r="B10" s="31" t="s">
        <v>81</v>
      </c>
      <c r="C10" s="15">
        <f>'Segment - Real Estate'!C177</f>
        <v>951.541</v>
      </c>
      <c r="D10" s="15">
        <f>'Segment - Real Estate'!D177</f>
        <v>994.2170000000001</v>
      </c>
      <c r="E10" s="15">
        <f>'Segment - Real Estate'!E177</f>
        <v>3551.034</v>
      </c>
      <c r="F10" s="15">
        <f>'Segment - Real Estate'!F177</f>
        <v>863.7440000000001</v>
      </c>
      <c r="G10" s="15">
        <f>'Segment - Real Estate'!G177</f>
        <v>1187.327</v>
      </c>
      <c r="H10" s="36">
        <f>'Segment - Real Estate'!H177</f>
        <v>928.8830781468312</v>
      </c>
      <c r="I10" s="1"/>
    </row>
    <row r="11">
      <c r="A11" s="1"/>
      <c r="B11" s="61" t="s">
        <v>82</v>
      </c>
      <c r="C11" s="55">
        <f>IF(Inputs!C286*C10&gt;0,C10/Inputs!C286-1,"n/m")</f>
        <v>0.11628580847167536</v>
      </c>
      <c r="D11" s="55">
        <f>IF(Inputs!D286*D10&gt;0,D10/Inputs!D286-1,"n/m")</f>
        <v>0.37963826397793077</v>
      </c>
      <c r="E11" s="55">
        <f>IF(Inputs!E286*E10&gt;0,E10/Inputs!E286-1,"n/m")</f>
        <v>0.07796616961093417</v>
      </c>
      <c r="F11" s="55">
        <f>IF(Inputs!F286*F10&gt;0,F10/Inputs!F286-1,"n/m")</f>
        <v>0.13948892494821985</v>
      </c>
      <c r="G11" s="55">
        <f>IF(Inputs!G286*G10&gt;0,G10/Inputs!G286-1,"n/m")</f>
        <v>0.40136273614189655</v>
      </c>
      <c r="H11" s="56">
        <f>IF(C10*H10&gt;0,H10/C10-1,"n/m")</f>
        <v>-0.023811818779399863</v>
      </c>
      <c r="I11" s="1"/>
    </row>
    <row r="12">
      <c r="A12" s="1"/>
      <c r="B12" s="61" t="s">
        <v>83</v>
      </c>
      <c r="C12" s="55">
        <f>IF(Inputs!G286*C10&gt;0,C10/Inputs!G286-1,"n/m")</f>
        <v>0.12307232911505972</v>
      </c>
      <c r="D12" s="58">
        <f>IF(C10*D10&gt;0,D10/C10-1,"n/m")</f>
        <v>0.044849354888544024</v>
      </c>
      <c r="E12" s="58"/>
      <c r="F12" s="58">
        <f>IF(D10*F10&gt;0,F10/D10-1,"n/m")</f>
        <v>-0.1312319141595848</v>
      </c>
      <c r="G12" s="58">
        <f>IF(F10*G10&gt;0,G10/F10-1,"n/m")</f>
        <v>0.3746283621072908</v>
      </c>
      <c r="H12" s="56">
        <f>IF(G10*H10&gt;0,H10/G10-1,"n/m")</f>
        <v>-0.2176686977161042</v>
      </c>
      <c r="I12" s="1"/>
    </row>
    <row r="13">
      <c r="A13" s="1"/>
      <c r="B13" s="61" t="s">
        <v>84</v>
      </c>
      <c r="C13" s="58">
        <f>C10/C38</f>
        <v>0.2881426606579726</v>
      </c>
      <c r="D13" s="58">
        <f>D10/D38</f>
        <v>0.2525975152776709</v>
      </c>
      <c r="E13" s="58">
        <f>E10/E38</f>
        <v>0.2715532736768137</v>
      </c>
      <c r="F13" s="58">
        <f>F10/F38</f>
        <v>0.2515730158069048</v>
      </c>
      <c r="G13" s="58">
        <f>G10/G38</f>
        <v>0.31228427875229053</v>
      </c>
      <c r="H13" s="56">
        <f>H10/H38</f>
        <v>0.29452529834688795</v>
      </c>
      <c r="I13" s="1"/>
    </row>
    <row r="14">
      <c r="A14" s="1"/>
      <c r="B14" s="61" t="s">
        <v>85</v>
      </c>
      <c r="C14" s="58" t="s">
        <v>86</v>
      </c>
      <c r="D14" s="58" t="s">
        <v>86</v>
      </c>
      <c r="E14" s="58" t="s">
        <v>86</v>
      </c>
      <c r="F14" s="58" t="s">
        <v>86</v>
      </c>
      <c r="G14" s="58" t="s">
        <v>86</v>
      </c>
      <c r="H14" s="56" t="s">
        <v>86</v>
      </c>
      <c r="I14" s="8" t="s">
        <v>87</v>
      </c>
    </row>
    <row r="15">
      <c r="A15" s="1"/>
      <c r="B15" s="61" t="s">
        <v>88</v>
      </c>
      <c r="C15" s="58" t="s">
        <v>86</v>
      </c>
      <c r="D15" s="58" t="s">
        <v>86</v>
      </c>
      <c r="E15" s="58" t="s">
        <v>86</v>
      </c>
      <c r="F15" s="58" t="s">
        <v>86</v>
      </c>
      <c r="G15" s="58" t="s">
        <v>86</v>
      </c>
      <c r="H15" s="56" t="s">
        <v>86</v>
      </c>
      <c r="I15" s="1"/>
    </row>
    <row r="16">
      <c r="A16" s="1"/>
      <c r="B16" s="61" t="s">
        <v>89</v>
      </c>
      <c r="C16" s="58" t="s">
        <v>86</v>
      </c>
      <c r="D16" s="58" t="s">
        <v>86</v>
      </c>
      <c r="E16" s="58" t="s">
        <v>86</v>
      </c>
      <c r="F16" s="58" t="s">
        <v>86</v>
      </c>
      <c r="G16" s="58" t="s">
        <v>86</v>
      </c>
      <c r="H16" s="56" t="s">
        <v>86</v>
      </c>
      <c r="I16" s="1"/>
    </row>
    <row r="17">
      <c r="A17" s="1"/>
      <c r="B17" s="31" t="s">
        <v>90</v>
      </c>
      <c r="C17" s="15">
        <f>'Segment - Private Equity'!C179</f>
        <v>1430.111</v>
      </c>
      <c r="D17" s="15">
        <f>'Segment - Private Equity'!D179</f>
        <v>1256.673</v>
      </c>
      <c r="E17" s="15">
        <f>'Segment - Private Equity'!E179</f>
        <v>5056.197</v>
      </c>
      <c r="F17" s="15">
        <f>'Segment - Private Equity'!F179</f>
        <v>1655.9560000000001</v>
      </c>
      <c r="G17" s="15">
        <f>'Segment - Private Equity'!G179</f>
        <v>1701.726</v>
      </c>
      <c r="H17" s="36">
        <f>'Segment - Private Equity'!H179</f>
        <v>1254.1259311167903</v>
      </c>
      <c r="I17" s="1"/>
    </row>
    <row r="18">
      <c r="A18" s="1"/>
      <c r="B18" s="61" t="s">
        <v>82</v>
      </c>
      <c r="C18" s="55">
        <f>IF(Inputs!C287*C17&gt;0,C17/Inputs!C287-1,"n/m")</f>
        <v>0.8232862757997295</v>
      </c>
      <c r="D18" s="55">
        <f>IF(Inputs!D287*D17&gt;0,D17/Inputs!D287-1,"n/m")</f>
        <v>-0.41809002364363945</v>
      </c>
      <c r="E18" s="55">
        <f>IF(Inputs!E287*E17&gt;0,E17/Inputs!E287-1,"n/m")</f>
        <v>0.047154495454188705</v>
      </c>
      <c r="F18" s="55">
        <f>IF(Inputs!F287*F17&gt;0,F17/Inputs!F287-1,"n/m")</f>
        <v>0.5892931008834441</v>
      </c>
      <c r="G18" s="55">
        <f>IF(Inputs!G287*G17&gt;0,G17/Inputs!G287-1,"n/m")</f>
        <v>0.28193372646270953</v>
      </c>
      <c r="H18" s="56">
        <f>IF(C17*H17&gt;0,H17/C17-1,"n/m")</f>
        <v>-0.12305692976503912</v>
      </c>
      <c r="I18" s="1"/>
    </row>
    <row r="19">
      <c r="A19" s="1"/>
      <c r="B19" s="61" t="s">
        <v>83</v>
      </c>
      <c r="C19" s="55">
        <f>IF(Inputs!G287*C17&gt;0,C17/Inputs!G287-1,"n/m")</f>
        <v>0.07732239119888384</v>
      </c>
      <c r="D19" s="58">
        <f>IF(C17*D17&gt;0,D17/C17-1,"n/m")</f>
        <v>-0.12127590096153384</v>
      </c>
      <c r="E19" s="58"/>
      <c r="F19" s="58">
        <f>IF(D17*F17&gt;0,F17/D17-1,"n/m")</f>
        <v>0.31773022894579594</v>
      </c>
      <c r="G19" s="58">
        <f>IF(F17*G17&gt;0,G17/F17-1,"n/m")</f>
        <v>0.027639623275014458</v>
      </c>
      <c r="H19" s="56">
        <f>IF(G17*H17&gt;0,H17/G17-1,"n/m")</f>
        <v>-0.2630271082907647</v>
      </c>
      <c r="I19" s="1"/>
    </row>
    <row r="20">
      <c r="A20" s="1"/>
      <c r="B20" s="61" t="s">
        <v>84</v>
      </c>
      <c r="C20" s="58">
        <f>C17/C38</f>
        <v>0.4330617267949924</v>
      </c>
      <c r="D20" s="58">
        <f>D17/D38</f>
        <v>0.31927886700442304</v>
      </c>
      <c r="E20" s="58">
        <f>E17/E38</f>
        <v>0.38665550589064607</v>
      </c>
      <c r="F20" s="58">
        <f>F17/F38</f>
        <v>0.48231170921423333</v>
      </c>
      <c r="G20" s="58">
        <f>G17/G38</f>
        <v>0.4475787011868006</v>
      </c>
      <c r="H20" s="56">
        <f>H17/H38</f>
        <v>0.3976515696288243</v>
      </c>
      <c r="I20" s="1"/>
    </row>
    <row r="21">
      <c r="A21" s="1"/>
      <c r="B21" s="61" t="s">
        <v>85</v>
      </c>
      <c r="C21" s="58" t="s">
        <v>86</v>
      </c>
      <c r="D21" s="58" t="s">
        <v>86</v>
      </c>
      <c r="E21" s="58" t="s">
        <v>86</v>
      </c>
      <c r="F21" s="58" t="s">
        <v>86</v>
      </c>
      <c r="G21" s="58" t="s">
        <v>86</v>
      </c>
      <c r="H21" s="56" t="s">
        <v>86</v>
      </c>
      <c r="I21" s="8" t="s">
        <v>87</v>
      </c>
    </row>
    <row r="22">
      <c r="A22" s="1"/>
      <c r="B22" s="61" t="s">
        <v>88</v>
      </c>
      <c r="C22" s="58" t="s">
        <v>86</v>
      </c>
      <c r="D22" s="58" t="s">
        <v>86</v>
      </c>
      <c r="E22" s="58" t="s">
        <v>86</v>
      </c>
      <c r="F22" s="58" t="s">
        <v>86</v>
      </c>
      <c r="G22" s="58" t="s">
        <v>86</v>
      </c>
      <c r="H22" s="56" t="s">
        <v>86</v>
      </c>
      <c r="I22" s="1"/>
    </row>
    <row r="23">
      <c r="A23" s="1"/>
      <c r="B23" s="61" t="s">
        <v>89</v>
      </c>
      <c r="C23" s="58" t="s">
        <v>86</v>
      </c>
      <c r="D23" s="58" t="s">
        <v>86</v>
      </c>
      <c r="E23" s="58" t="s">
        <v>86</v>
      </c>
      <c r="F23" s="58" t="s">
        <v>86</v>
      </c>
      <c r="G23" s="58" t="s">
        <v>86</v>
      </c>
      <c r="H23" s="56" t="s">
        <v>86</v>
      </c>
      <c r="I23" s="1"/>
    </row>
    <row r="24">
      <c r="A24" s="1"/>
      <c r="B24" s="31" t="s">
        <v>91</v>
      </c>
      <c r="C24" s="15">
        <f>'Segment - Credit &amp; Insurance'!C132</f>
        <v>768.873</v>
      </c>
      <c r="D24" s="15">
        <f>'Segment - Credit &amp; Insurance'!D132</f>
        <v>1075.4119999999998</v>
      </c>
      <c r="E24" s="15">
        <f>'Segment - Credit &amp; Insurance'!E132</f>
        <v>3439.986</v>
      </c>
      <c r="F24" s="15">
        <f>'Segment - Credit &amp; Insurance'!F132</f>
        <v>745.3109999999999</v>
      </c>
      <c r="G24" s="15">
        <f>'Segment - Credit &amp; Insurance'!G132</f>
        <v>738.9600000000002</v>
      </c>
      <c r="H24" s="36">
        <f>'Segment - Credit &amp; Insurance'!H132</f>
        <v>775.7732350404061</v>
      </c>
      <c r="I24" s="1"/>
    </row>
    <row r="25">
      <c r="A25" s="1"/>
      <c r="B25" s="61" t="s">
        <v>82</v>
      </c>
      <c r="C25" s="55">
        <f>IF(Inputs!C288*C24&gt;0,C24/Inputs!C288-1,"n/m")</f>
        <v>0.1458289556629544</v>
      </c>
      <c r="D25" s="55">
        <f>IF(Inputs!D288*D24&gt;0,D24/Inputs!D288-1,"n/m")</f>
        <v>0.3374573421285654</v>
      </c>
      <c r="E25" s="55">
        <f>IF(Inputs!E288*E24&gt;0,E24/Inputs!E288-1,"n/m")</f>
        <v>0.2826933388419768</v>
      </c>
      <c r="F25" s="55">
        <f>IF(Inputs!F288*F24&gt;0,F24/Inputs!F288-1,"n/m")</f>
        <v>-0.11457175034927158</v>
      </c>
      <c r="G25" s="55">
        <f>IF(Inputs!G288*G24&gt;0,G24/Inputs!G288-1,"n/m")</f>
        <v>-0.019880655057569974</v>
      </c>
      <c r="H25" s="56">
        <f>IF(C24*H24&gt;0,H24/C24-1,"n/m")</f>
        <v>0.008974479582982031</v>
      </c>
      <c r="I25" s="1"/>
    </row>
    <row r="26">
      <c r="A26" s="1"/>
      <c r="B26" s="61" t="s">
        <v>83</v>
      </c>
      <c r="C26" s="55">
        <f>IF(Inputs!G288*C24&gt;0,C24/Inputs!G288-1,"n/m")</f>
        <v>0.01979444232965366</v>
      </c>
      <c r="D26" s="58">
        <f>IF(C24*D24&gt;0,D24/C24-1,"n/m")</f>
        <v>0.3986861289185597</v>
      </c>
      <c r="E26" s="58"/>
      <c r="F26" s="58">
        <f>IF(D24*F24&gt;0,F24/D24-1,"n/m")</f>
        <v>-0.3069530561310455</v>
      </c>
      <c r="G26" s="58">
        <f>IF(F24*G24&gt;0,G24/F24-1,"n/m")</f>
        <v>-0.008521275011370788</v>
      </c>
      <c r="H26" s="56">
        <f>IF(G24*H24&gt;0,H24/G24-1,"n/m")</f>
        <v>0.04981762888438612</v>
      </c>
      <c r="I26" s="1"/>
    </row>
    <row r="27">
      <c r="A27" s="1"/>
      <c r="B27" s="61" t="s">
        <v>84</v>
      </c>
      <c r="C27" s="58">
        <f>C24/C38</f>
        <v>0.23282770992324806</v>
      </c>
      <c r="D27" s="58">
        <f>D24/D38</f>
        <v>0.2732264677628632</v>
      </c>
      <c r="E27" s="58">
        <f>E24/E38</f>
        <v>0.26306125475070297</v>
      </c>
      <c r="F27" s="58">
        <f>F24/F38</f>
        <v>0.21707836579363787</v>
      </c>
      <c r="G27" s="58">
        <f>G24/G38</f>
        <v>0.19435723320264145</v>
      </c>
      <c r="H27" s="56">
        <f>H24/H38</f>
        <v>0.2459780448962908</v>
      </c>
      <c r="I27" s="1"/>
    </row>
    <row r="28">
      <c r="A28" s="1"/>
      <c r="B28" s="61" t="s">
        <v>85</v>
      </c>
      <c r="C28" s="58" t="s">
        <v>86</v>
      </c>
      <c r="D28" s="58" t="s">
        <v>86</v>
      </c>
      <c r="E28" s="58" t="s">
        <v>86</v>
      </c>
      <c r="F28" s="58" t="s">
        <v>86</v>
      </c>
      <c r="G28" s="58" t="s">
        <v>86</v>
      </c>
      <c r="H28" s="56" t="s">
        <v>86</v>
      </c>
      <c r="I28" s="8" t="s">
        <v>87</v>
      </c>
    </row>
    <row r="29">
      <c r="A29" s="1"/>
      <c r="B29" s="61" t="s">
        <v>88</v>
      </c>
      <c r="C29" s="58" t="s">
        <v>86</v>
      </c>
      <c r="D29" s="58" t="s">
        <v>86</v>
      </c>
      <c r="E29" s="58" t="s">
        <v>86</v>
      </c>
      <c r="F29" s="58" t="s">
        <v>86</v>
      </c>
      <c r="G29" s="58" t="s">
        <v>86</v>
      </c>
      <c r="H29" s="56" t="s">
        <v>86</v>
      </c>
      <c r="I29" s="1"/>
    </row>
    <row r="30">
      <c r="A30" s="1"/>
      <c r="B30" s="61" t="s">
        <v>89</v>
      </c>
      <c r="C30" s="58" t="s">
        <v>86</v>
      </c>
      <c r="D30" s="58" t="s">
        <v>86</v>
      </c>
      <c r="E30" s="58" t="s">
        <v>86</v>
      </c>
      <c r="F30" s="58" t="s">
        <v>86</v>
      </c>
      <c r="G30" s="58" t="s">
        <v>86</v>
      </c>
      <c r="H30" s="56" t="s">
        <v>86</v>
      </c>
      <c r="I30" s="1"/>
    </row>
    <row r="31">
      <c r="A31" s="1"/>
      <c r="B31" s="31" t="s">
        <v>92</v>
      </c>
      <c r="C31" s="15">
        <f>'Segment - Multi-Asset Investing'!C126</f>
        <v>151.80100000000002</v>
      </c>
      <c r="D31" s="15">
        <f>'Segment - Multi-Asset Investing'!D126</f>
        <v>609.671</v>
      </c>
      <c r="E31" s="15">
        <f>'Segment - Multi-Asset Investing'!E126</f>
        <v>1029.5320000000002</v>
      </c>
      <c r="F31" s="15">
        <f>'Segment - Multi-Asset Investing'!F126</f>
        <v>168.362</v>
      </c>
      <c r="G31" s="15">
        <f>'Segment - Multi-Asset Investing'!G126</f>
        <v>174.05800000000002</v>
      </c>
      <c r="H31" s="36">
        <f>'Segment - Multi-Asset Investing'!H126</f>
        <v>195.04896598747368</v>
      </c>
      <c r="I31" s="1"/>
    </row>
    <row r="32">
      <c r="A32" s="1"/>
      <c r="B32" s="61" t="s">
        <v>82</v>
      </c>
      <c r="C32" s="55">
        <f>IF(Inputs!C289*C31&gt;0,C31/Inputs!C289-1,"n/m")</f>
        <v>0.20369988581578302</v>
      </c>
      <c r="D32" s="55">
        <f>IF(Inputs!D289*D31&gt;0,D31/Inputs!D289-1,"n/m")</f>
        <v>0.31115990588963993</v>
      </c>
      <c r="E32" s="55">
        <f>IF(Inputs!E289*E31&gt;0,E31/Inputs!E289-1,"n/m")</f>
        <v>0.21912985608912483</v>
      </c>
      <c r="F32" s="55">
        <f>IF(Inputs!F289*F31&gt;0,F31/Inputs!F289-1,"n/m")</f>
        <v>0.37844586905083544</v>
      </c>
      <c r="G32" s="55">
        <f>IF(Inputs!G289*G31&gt;0,G31/Inputs!G289-1,"n/m")</f>
        <v>0.1928235140932424</v>
      </c>
      <c r="H32" s="56">
        <f>IF(C31*H31&gt;0,H31/C31-1,"n/m")</f>
        <v>0.2848990849037467</v>
      </c>
      <c r="I32" s="1"/>
    </row>
    <row r="33">
      <c r="A33" s="1"/>
      <c r="B33" s="61" t="s">
        <v>83</v>
      </c>
      <c r="C33" s="55">
        <f>IF(Inputs!G289*C31&gt;0,C31/Inputs!G289-1,"n/m")</f>
        <v>0.040295776481795054</v>
      </c>
      <c r="D33" s="58">
        <f>IF(C31*D31&gt;0,D31/C31-1,"n/m")</f>
        <v>3.0162515398449283</v>
      </c>
      <c r="E33" s="58"/>
      <c r="F33" s="58">
        <f>IF(D31*F31&gt;0,F31/D31-1,"n/m")</f>
        <v>-0.7238477801962042</v>
      </c>
      <c r="G33" s="58">
        <f>IF(F31*G31&gt;0,G31/F31-1,"n/m")</f>
        <v>0.033831862296717974</v>
      </c>
      <c r="H33" s="56">
        <f>IF(G31*H31&gt;0,H31/G31-1,"n/m")</f>
        <v>0.12059753638139958</v>
      </c>
      <c r="I33" s="1"/>
    </row>
    <row r="34">
      <c r="A34" s="1"/>
      <c r="B34" s="61" t="s">
        <v>84</v>
      </c>
      <c r="C34" s="58">
        <f>C31/C38</f>
        <v>0.045967902623787</v>
      </c>
      <c r="D34" s="58">
        <f>D31/D38</f>
        <v>0.1548971499550429</v>
      </c>
      <c r="E34" s="58">
        <f>E31/E38</f>
        <v>0.0787299656818373</v>
      </c>
      <c r="F34" s="58">
        <f>F31/F38</f>
        <v>0.049036909185223965</v>
      </c>
      <c r="G34" s="58">
        <f>G31/G38</f>
        <v>0.045779786858267515</v>
      </c>
      <c r="H34" s="56">
        <f>H31/H38</f>
        <v>0.061845087127996856</v>
      </c>
      <c r="I34" s="1"/>
    </row>
    <row r="35">
      <c r="A35" s="1"/>
      <c r="B35" s="61" t="s">
        <v>85</v>
      </c>
      <c r="C35" s="58" t="s">
        <v>86</v>
      </c>
      <c r="D35" s="58" t="s">
        <v>86</v>
      </c>
      <c r="E35" s="58" t="s">
        <v>86</v>
      </c>
      <c r="F35" s="58" t="s">
        <v>86</v>
      </c>
      <c r="G35" s="58" t="s">
        <v>86</v>
      </c>
      <c r="H35" s="56" t="s">
        <v>86</v>
      </c>
      <c r="I35" s="8" t="s">
        <v>87</v>
      </c>
    </row>
    <row r="36">
      <c r="A36" s="1"/>
      <c r="B36" s="61" t="s">
        <v>88</v>
      </c>
      <c r="C36" s="58" t="s">
        <v>86</v>
      </c>
      <c r="D36" s="58" t="s">
        <v>86</v>
      </c>
      <c r="E36" s="58" t="s">
        <v>86</v>
      </c>
      <c r="F36" s="58" t="s">
        <v>86</v>
      </c>
      <c r="G36" s="58" t="s">
        <v>86</v>
      </c>
      <c r="H36" s="56" t="s">
        <v>86</v>
      </c>
      <c r="I36" s="1"/>
    </row>
    <row r="37">
      <c r="A37" s="1"/>
      <c r="B37" s="61" t="s">
        <v>89</v>
      </c>
      <c r="C37" s="58" t="s">
        <v>86</v>
      </c>
      <c r="D37" s="58" t="s">
        <v>86</v>
      </c>
      <c r="E37" s="58" t="s">
        <v>86</v>
      </c>
      <c r="F37" s="58" t="s">
        <v>86</v>
      </c>
      <c r="G37" s="58" t="s">
        <v>86</v>
      </c>
      <c r="H37" s="56" t="s">
        <v>86</v>
      </c>
      <c r="I37" s="1"/>
    </row>
    <row r="38">
      <c r="A38" s="1"/>
      <c r="B38" s="2" t="s">
        <v>93</v>
      </c>
      <c r="C38" s="32">
        <f>C10+C17+C24+C31</f>
        <v>3302.326</v>
      </c>
      <c r="D38" s="32">
        <f>D10+D17+D24+D31</f>
        <v>3935.973</v>
      </c>
      <c r="E38" s="32">
        <f>E10+E17+E24+E31</f>
        <v>13076.749</v>
      </c>
      <c r="F38" s="32">
        <f>F10+F17+F24+F31</f>
        <v>3433.3730000000005</v>
      </c>
      <c r="G38" s="32">
        <f>G10+G17+G24+G31</f>
        <v>3802.071</v>
      </c>
      <c r="H38" s="44">
        <f>H10+H17+H24+H31</f>
        <v>3153.8312102915015</v>
      </c>
      <c r="I38" s="1"/>
    </row>
    <row r="39">
      <c r="A39" s="1"/>
      <c r="B39" s="40" t="s">
        <v>82</v>
      </c>
      <c r="C39" s="55">
        <f>IF(Inputs!C290*C38&gt;0,C38/Inputs!C290-1,"n/m")</f>
        <v>0.35680040363087007</v>
      </c>
      <c r="D39" s="55">
        <f>IF(Inputs!D290*D38&gt;0,D38/Inputs!D290-1,"n/m")</f>
        <v>-0.05140362377869789</v>
      </c>
      <c r="E39" s="55">
        <f>IF(Inputs!E290*E38&gt;0,E38/Inputs!E290-1,"n/m")</f>
        <v>0.12256061359927117</v>
      </c>
      <c r="F39" s="55">
        <f>IF(Inputs!F290*F38&gt;0,F38/Inputs!F290-1,"n/m")</f>
        <v>0.2422446836762977</v>
      </c>
      <c r="G39" s="55">
        <f>IF(Inputs!G290*G38&gt;0,G38/Inputs!G290-1,"n/m")</f>
        <v>0.23660510426708625</v>
      </c>
      <c r="H39" s="56">
        <f>IF(C38*H38&gt;0,H38/C38-1,"n/m")</f>
        <v>-0.04496672639481947</v>
      </c>
      <c r="I39" s="1"/>
    </row>
    <row r="40">
      <c r="A40" s="1"/>
      <c r="B40" s="40" t="s">
        <v>83</v>
      </c>
      <c r="C40" s="55">
        <f>IF(Inputs!G290*C38&gt;0,C38/Inputs!G290-1,"n/m")</f>
        <v>0.0740654731471111</v>
      </c>
      <c r="D40" s="58">
        <f>IF(C38*D38&gt;0,D38/C38-1,"n/m")</f>
        <v>0.19187899680407083</v>
      </c>
      <c r="E40" s="58"/>
      <c r="F40" s="58">
        <f>IF(D38*F38&gt;0,F38/D38-1,"n/m")</f>
        <v>-0.12769396538035183</v>
      </c>
      <c r="G40" s="58">
        <f>IF(F38*G38&gt;0,G38/F38-1,"n/m")</f>
        <v>0.10738652631100654</v>
      </c>
      <c r="H40" s="56">
        <f>IF(G38*H38&gt;0,H38/G38-1,"n/m")</f>
        <v>-0.1704964977530663</v>
      </c>
      <c r="I40" s="1"/>
    </row>
    <row r="41">
      <c r="A41" s="1"/>
      <c r="B41" s="40" t="s">
        <v>85</v>
      </c>
      <c r="C41" s="58" t="s">
        <v>86</v>
      </c>
      <c r="D41" s="58" t="s">
        <v>86</v>
      </c>
      <c r="E41" s="58" t="s">
        <v>86</v>
      </c>
      <c r="F41" s="58" t="s">
        <v>86</v>
      </c>
      <c r="G41" s="58" t="s">
        <v>86</v>
      </c>
      <c r="H41" s="56" t="s">
        <v>86</v>
      </c>
      <c r="I41" s="8" t="s">
        <v>94</v>
      </c>
    </row>
    <row r="42">
      <c r="A42" s="1"/>
      <c r="B42" s="40" t="s">
        <v>88</v>
      </c>
      <c r="C42" s="58" t="s">
        <v>86</v>
      </c>
      <c r="D42" s="58" t="s">
        <v>86</v>
      </c>
      <c r="E42" s="58" t="s">
        <v>86</v>
      </c>
      <c r="F42" s="58" t="s">
        <v>86</v>
      </c>
      <c r="G42" s="58" t="s">
        <v>86</v>
      </c>
      <c r="H42" s="56" t="s">
        <v>86</v>
      </c>
      <c r="I42" s="8" t="s">
        <v>95</v>
      </c>
    </row>
    <row r="43">
      <c r="A43" s="1"/>
      <c r="B43" s="40" t="s">
        <v>89</v>
      </c>
      <c r="C43" s="58" t="s">
        <v>86</v>
      </c>
      <c r="D43" s="58" t="s">
        <v>86</v>
      </c>
      <c r="E43" s="58" t="s">
        <v>86</v>
      </c>
      <c r="F43" s="58" t="s">
        <v>86</v>
      </c>
      <c r="G43" s="58" t="s">
        <v>86</v>
      </c>
      <c r="H43" s="56" t="s">
        <v>86</v>
      </c>
      <c r="I43" s="8" t="s">
        <v>95</v>
      </c>
    </row>
    <row r="44">
      <c r="A44" s="1"/>
      <c r="B44" s="31" t="s">
        <v>96</v>
      </c>
      <c r="C44" s="4">
        <f>C38-C106</f>
        <v>0</v>
      </c>
      <c r="D44" s="4">
        <f>D38-D106</f>
        <v>0</v>
      </c>
      <c r="E44" s="4">
        <f>E38-E106</f>
        <v>0</v>
      </c>
      <c r="F44" s="4">
        <f>F38-F106</f>
        <v>0</v>
      </c>
      <c r="G44" s="4">
        <f>G38-G106</f>
        <v>0</v>
      </c>
      <c r="H44" s="33">
        <f>H38-H106</f>
        <v>0</v>
      </c>
      <c r="I44" s="1"/>
    </row>
    <row r="45">
      <c r="A45" s="1"/>
      <c r="B45" s="31" t="s">
        <v>97</v>
      </c>
      <c r="C45" s="15">
        <f>Inputs!I104</f>
        <v>3302.33</v>
      </c>
      <c r="D45" s="15">
        <f>Inputs!I105</f>
        <v>3935.97</v>
      </c>
      <c r="E45" s="15">
        <f>Inputs!I102+Inputs!I103+Inputs!I104+Inputs!I105</f>
        <v>13076.749999999998</v>
      </c>
      <c r="F45" s="15">
        <f>Inputs!I106</f>
        <v>3433.37</v>
      </c>
      <c r="G45" s="15">
        <f>Inputs!I107</f>
        <v>3802.07</v>
      </c>
      <c r="H45" s="33"/>
      <c r="I45" s="8" t="s">
        <v>98</v>
      </c>
    </row>
    <row r="46">
      <c r="A46" s="1"/>
      <c r="B46" s="31" t="s">
        <v>99</v>
      </c>
      <c r="C46" s="4">
        <f>ROUND(C38-C45,1)</f>
        <v>0</v>
      </c>
      <c r="D46" s="4">
        <f>ROUND(D38-D45,1)</f>
        <v>0</v>
      </c>
      <c r="E46" s="4">
        <f>ROUND(E38-E45,1)</f>
        <v>0</v>
      </c>
      <c r="F46" s="4">
        <f>ROUND(F38-F45,1)</f>
        <v>0</v>
      </c>
      <c r="G46" s="4">
        <f>ROUND(G38-G45,1)</f>
        <v>0</v>
      </c>
      <c r="H46" s="33"/>
      <c r="I46" s="1"/>
    </row>
    <row r="47">
      <c r="A47" s="1"/>
      <c r="B47" s="31" t="s">
        <v>100</v>
      </c>
      <c r="C47" s="4"/>
      <c r="D47" s="4"/>
      <c r="E47" s="15">
        <f>ROUND(E38-('Segment - Real Estate'!E183+'Segment - Private Equity'!E185+'Segment - Credit &amp; Insurance'!E138+'Segment - Multi-Asset Investing'!E132),3)</f>
        <v>0</v>
      </c>
      <c r="F47" s="4"/>
      <c r="G47" s="4"/>
      <c r="H47" s="33"/>
      <c r="I47" s="8" t="s">
        <v>101</v>
      </c>
    </row>
    <row r="48">
      <c r="A48" s="1"/>
      <c r="B48" s="1"/>
      <c r="C48" s="3"/>
      <c r="D48" s="3"/>
      <c r="E48" s="3"/>
      <c r="F48" s="3"/>
      <c r="G48" s="3"/>
      <c r="H48" s="37"/>
      <c r="I48" s="1"/>
    </row>
    <row r="49">
      <c r="A49" s="1"/>
      <c r="B49" s="2" t="s">
        <v>102</v>
      </c>
      <c r="C49" s="4"/>
      <c r="D49" s="4"/>
      <c r="E49" s="4"/>
      <c r="F49" s="4"/>
      <c r="G49" s="4"/>
      <c r="H49" s="33"/>
      <c r="I49" s="1"/>
    </row>
    <row r="50">
      <c r="A50" s="1"/>
      <c r="B50" s="31" t="s">
        <v>103</v>
      </c>
      <c r="C50" s="15">
        <f>'Segment - Real Estate'!C102+'Segment - Private Equity'!C111+'Segment - Credit &amp; Insurance'!C75+'Segment - Multi-Asset Investing'!C75</f>
        <v>1919.702</v>
      </c>
      <c r="D50" s="15">
        <f>'Segment - Real Estate'!D102+'Segment - Private Equity'!D111+'Segment - Credit &amp; Insurance'!D75+'Segment - Multi-Asset Investing'!D75</f>
        <v>1945.3639999999998</v>
      </c>
      <c r="E50" s="15">
        <f>'Segment - Real Estate'!E102+'Segment - Private Equity'!E111+'Segment - Credit &amp; Insurance'!E75+'Segment - Multi-Asset Investing'!E75</f>
        <v>7548.857</v>
      </c>
      <c r="F50" s="15">
        <f>'Segment - Real Estate'!F102+'Segment - Private Equity'!F111+'Segment - Credit &amp; Insurance'!F75+'Segment - Multi-Asset Investing'!F75</f>
        <v>1952.414</v>
      </c>
      <c r="G50" s="15">
        <f>'Segment - Real Estate'!G102+'Segment - Private Equity'!G111+'Segment - Credit &amp; Insurance'!G75+'Segment - Multi-Asset Investing'!G75</f>
        <v>1960.897</v>
      </c>
      <c r="H50" s="36">
        <f>'Segment - Real Estate'!H102+'Segment - Private Equity'!H111+'Segment - Credit &amp; Insurance'!H75+'Segment - Multi-Asset Investing'!H75</f>
        <v>2010.164110532192</v>
      </c>
      <c r="I50" s="1"/>
    </row>
    <row r="51">
      <c r="A51" s="1"/>
      <c r="B51" s="61" t="s">
        <v>82</v>
      </c>
      <c r="C51" s="55">
        <f>IF(Inputs!C291*C50&gt;0,C50/Inputs!C291-1,"n/m")</f>
        <v>0.12201531204173599</v>
      </c>
      <c r="D51" s="55">
        <f>IF(Inputs!D291*D50&gt;0,D50/Inputs!D291-1,"n/m")</f>
        <v>0.09681700678546146</v>
      </c>
      <c r="E51" s="55">
        <f>IF(Inputs!E291*E50&gt;0,E50/Inputs!E291-1,"n/m")</f>
        <v>0.11325591567586635</v>
      </c>
      <c r="F51" s="55">
        <f>IF(Inputs!F291*F50&gt;0,F50/Inputs!F291-1,"n/m")</f>
        <v>0.08040145668326226</v>
      </c>
      <c r="G51" s="55">
        <f>IF(Inputs!G291*G50&gt;0,G50/Inputs!G291-1,"n/m")</f>
        <v>0.04487997902670249</v>
      </c>
      <c r="H51" s="56">
        <f>IF(C50*H50&gt;0,H50/C50-1,"n/m")</f>
        <v>0.047122996450590815</v>
      </c>
      <c r="I51" s="1"/>
    </row>
    <row r="52">
      <c r="A52" s="1"/>
      <c r="B52" s="61" t="s">
        <v>83</v>
      </c>
      <c r="C52" s="55">
        <f>IF(Inputs!G291*C50&gt;0,C50/Inputs!G291-1,"n/m")</f>
        <v>0.02292888688060568</v>
      </c>
      <c r="D52" s="58">
        <f>IF(C50*D50&gt;0,D50/C50-1,"n/m")</f>
        <v>0.013367699778402908</v>
      </c>
      <c r="E52" s="58"/>
      <c r="F52" s="58">
        <f>IF(D50*F50&gt;0,F50/D50-1,"n/m")</f>
        <v>0.0036240004441330242</v>
      </c>
      <c r="G52" s="58">
        <f>IF(F50*G50&gt;0,G50/F50-1,"n/m")</f>
        <v>0.00434487767450964</v>
      </c>
      <c r="H52" s="56">
        <f>IF(G50*H50&gt;0,H50/G50-1,"n/m")</f>
        <v>0.02512478245017058</v>
      </c>
      <c r="I52" s="1"/>
    </row>
    <row r="53">
      <c r="A53" s="1"/>
      <c r="B53" s="61" t="s">
        <v>85</v>
      </c>
      <c r="C53" s="58" t="s">
        <v>86</v>
      </c>
      <c r="D53" s="58" t="s">
        <v>86</v>
      </c>
      <c r="E53" s="58" t="s">
        <v>86</v>
      </c>
      <c r="F53" s="58" t="s">
        <v>86</v>
      </c>
      <c r="G53" s="58" t="s">
        <v>86</v>
      </c>
      <c r="H53" s="56" t="s">
        <v>86</v>
      </c>
      <c r="I53" s="8" t="s">
        <v>94</v>
      </c>
    </row>
    <row r="54">
      <c r="A54" s="1"/>
      <c r="B54" s="61" t="s">
        <v>88</v>
      </c>
      <c r="C54" s="58" t="s">
        <v>86</v>
      </c>
      <c r="D54" s="58" t="s">
        <v>86</v>
      </c>
      <c r="E54" s="58" t="s">
        <v>86</v>
      </c>
      <c r="F54" s="58" t="s">
        <v>86</v>
      </c>
      <c r="G54" s="58" t="s">
        <v>86</v>
      </c>
      <c r="H54" s="56" t="s">
        <v>86</v>
      </c>
      <c r="I54" s="8" t="s">
        <v>95</v>
      </c>
    </row>
    <row r="55">
      <c r="A55" s="1"/>
      <c r="B55" s="61" t="s">
        <v>89</v>
      </c>
      <c r="C55" s="58" t="s">
        <v>86</v>
      </c>
      <c r="D55" s="58" t="s">
        <v>86</v>
      </c>
      <c r="E55" s="58" t="s">
        <v>86</v>
      </c>
      <c r="F55" s="58" t="s">
        <v>86</v>
      </c>
      <c r="G55" s="58" t="s">
        <v>86</v>
      </c>
      <c r="H55" s="56" t="s">
        <v>86</v>
      </c>
      <c r="I55" s="8" t="s">
        <v>95</v>
      </c>
    </row>
    <row r="56">
      <c r="A56" s="1"/>
      <c r="B56" s="61" t="s">
        <v>84</v>
      </c>
      <c r="C56" s="58">
        <f>C50/C106</f>
        <v>0.5813181375793911</v>
      </c>
      <c r="D56" s="58">
        <f>D50/D106</f>
        <v>0.494252374190575</v>
      </c>
      <c r="E56" s="58">
        <f>E50/E106</f>
        <v>0.5772732198193908</v>
      </c>
      <c r="F56" s="58">
        <f>F50/F106</f>
        <v>0.5686577019158712</v>
      </c>
      <c r="G56" s="58">
        <f>G50/G106</f>
        <v>0.5157444455929414</v>
      </c>
      <c r="H56" s="56">
        <f>H50/H106</f>
        <v>0.6373721282143052</v>
      </c>
      <c r="I56" s="1"/>
    </row>
    <row r="57">
      <c r="A57" s="1"/>
      <c r="B57" s="31" t="s">
        <v>104</v>
      </c>
      <c r="C57" s="15">
        <f>'Segment - Real Estate'!C111+'Segment - Private Equity'!C120+'Segment - Credit &amp; Insurance'!C84+'Segment - Multi-Asset Investing'!C84</f>
        <v>156.21100000000004</v>
      </c>
      <c r="D57" s="15">
        <f>'Segment - Real Estate'!D111+'Segment - Private Equity'!D120+'Segment - Credit &amp; Insurance'!D84+'Segment - Multi-Asset Investing'!D84</f>
        <v>149.62099999999998</v>
      </c>
      <c r="E57" s="15">
        <f>'Segment - Real Estate'!E111+'Segment - Private Equity'!E120+'Segment - Credit &amp; Insurance'!E84+'Segment - Multi-Asset Investing'!E84</f>
        <v>582.831</v>
      </c>
      <c r="F57" s="15">
        <f>'Segment - Real Estate'!F111+'Segment - Private Equity'!F120+'Segment - Credit &amp; Insurance'!F84+'Segment - Multi-Asset Investing'!F84</f>
        <v>211.69699999999997</v>
      </c>
      <c r="G57" s="15">
        <f>'Segment - Real Estate'!G111+'Segment - Private Equity'!G120+'Segment - Credit &amp; Insurance'!G84+'Segment - Multi-Asset Investing'!G84</f>
        <v>321.156</v>
      </c>
      <c r="H57" s="36">
        <f>'Segment - Real Estate'!H111+'Segment - Private Equity'!H120+'Segment - Credit &amp; Insurance'!H84+'Segment - Multi-Asset Investing'!H84</f>
        <v>224.5</v>
      </c>
      <c r="I57" s="1"/>
    </row>
    <row r="58">
      <c r="A58" s="1"/>
      <c r="B58" s="61" t="s">
        <v>82</v>
      </c>
      <c r="C58" s="55">
        <f>IF(Inputs!C292*C57&gt;0,C57/Inputs!C292-1,"n/m")</f>
        <v>0.8933289700143026</v>
      </c>
      <c r="D58" s="55">
        <f>IF(Inputs!D292*D57&gt;0,D57/Inputs!D292-1,"n/m")</f>
        <v>0.2711200598090189</v>
      </c>
      <c r="E58" s="55">
        <f>IF(Inputs!E292*E57&gt;0,E57/Inputs!E292-1,"n/m")</f>
        <v>0.4582149076279498</v>
      </c>
      <c r="F58" s="55">
        <f>IF(Inputs!F292*F57&gt;0,F57/Inputs!F292-1,"n/m")</f>
        <v>0.9018857414943984</v>
      </c>
      <c r="G58" s="55">
        <f>IF(Inputs!G292*G57&gt;0,G57/Inputs!G292-1,"n/m")</f>
        <v>0.9382944052145574</v>
      </c>
      <c r="H58" s="56">
        <f>IF(C57*H57&gt;0,H57/C57-1,"n/m")</f>
        <v>0.4371587148152174</v>
      </c>
      <c r="I58" s="1"/>
    </row>
    <row r="59">
      <c r="A59" s="1"/>
      <c r="B59" s="61" t="s">
        <v>83</v>
      </c>
      <c r="C59" s="55">
        <f>IF(Inputs!G292*C57&gt;0,C57/Inputs!G292-1,"n/m")</f>
        <v>-0.0572092461826299</v>
      </c>
      <c r="D59" s="58">
        <f>IF(C57*D57&gt;0,D57/C57-1,"n/m")</f>
        <v>-0.042186529757827884</v>
      </c>
      <c r="E59" s="58"/>
      <c r="F59" s="58">
        <f>IF(D57*F57&gt;0,F57/D57-1,"n/m")</f>
        <v>0.4148882843985804</v>
      </c>
      <c r="G59" s="58">
        <f>IF(F57*G57&gt;0,G57/F57-1,"n/m")</f>
        <v>0.5170550362074098</v>
      </c>
      <c r="H59" s="56">
        <f>IF(G57*H57&gt;0,H57/G57-1,"n/m")</f>
        <v>-0.3009627719861999</v>
      </c>
      <c r="I59" s="1"/>
    </row>
    <row r="60">
      <c r="A60" s="1"/>
      <c r="B60" s="61" t="s">
        <v>85</v>
      </c>
      <c r="C60" s="58" t="s">
        <v>86</v>
      </c>
      <c r="D60" s="58" t="s">
        <v>86</v>
      </c>
      <c r="E60" s="58" t="s">
        <v>86</v>
      </c>
      <c r="F60" s="58" t="s">
        <v>86</v>
      </c>
      <c r="G60" s="58" t="s">
        <v>86</v>
      </c>
      <c r="H60" s="56" t="s">
        <v>86</v>
      </c>
      <c r="I60" s="8" t="s">
        <v>94</v>
      </c>
    </row>
    <row r="61">
      <c r="A61" s="1"/>
      <c r="B61" s="61" t="s">
        <v>88</v>
      </c>
      <c r="C61" s="58" t="s">
        <v>86</v>
      </c>
      <c r="D61" s="58" t="s">
        <v>86</v>
      </c>
      <c r="E61" s="58" t="s">
        <v>86</v>
      </c>
      <c r="F61" s="58" t="s">
        <v>86</v>
      </c>
      <c r="G61" s="58" t="s">
        <v>86</v>
      </c>
      <c r="H61" s="56" t="s">
        <v>86</v>
      </c>
      <c r="I61" s="8" t="s">
        <v>95</v>
      </c>
    </row>
    <row r="62">
      <c r="A62" s="1"/>
      <c r="B62" s="61" t="s">
        <v>89</v>
      </c>
      <c r="C62" s="58" t="s">
        <v>86</v>
      </c>
      <c r="D62" s="58" t="s">
        <v>86</v>
      </c>
      <c r="E62" s="58" t="s">
        <v>86</v>
      </c>
      <c r="F62" s="58" t="s">
        <v>86</v>
      </c>
      <c r="G62" s="58" t="s">
        <v>86</v>
      </c>
      <c r="H62" s="56" t="s">
        <v>86</v>
      </c>
      <c r="I62" s="8" t="s">
        <v>95</v>
      </c>
    </row>
    <row r="63">
      <c r="A63" s="1"/>
      <c r="B63" s="61" t="s">
        <v>84</v>
      </c>
      <c r="C63" s="58">
        <f>C57/C106</f>
        <v>0.047303324989719384</v>
      </c>
      <c r="D63" s="58">
        <f>D57/D106</f>
        <v>0.03801372621204464</v>
      </c>
      <c r="E63" s="58">
        <f>E57/E106</f>
        <v>0.044570022717420055</v>
      </c>
      <c r="F63" s="58">
        <f>F57/F106</f>
        <v>0.06165860802190732</v>
      </c>
      <c r="G63" s="58">
        <f>G57/G106</f>
        <v>0.08446870139984236</v>
      </c>
      <c r="H63" s="56">
        <f>H57/H106</f>
        <v>0.0711832641098285</v>
      </c>
      <c r="I63" s="1"/>
    </row>
    <row r="64">
      <c r="A64" s="1"/>
      <c r="B64" s="31" t="s">
        <v>105</v>
      </c>
      <c r="C64" s="15">
        <f>'Segment - Real Estate'!C117+'Segment - Private Equity'!C126+'Segment - Credit &amp; Insurance'!C90+'Segment - Multi-Asset Investing'!C90</f>
        <v>-34.093</v>
      </c>
      <c r="D64" s="15">
        <f>'Segment - Real Estate'!D117+'Segment - Private Equity'!D126+'Segment - Credit &amp; Insurance'!D90+'Segment - Multi-Asset Investing'!D90</f>
        <v>-32.766000000000005</v>
      </c>
      <c r="E64" s="15">
        <f>'Segment - Real Estate'!E117+'Segment - Private Equity'!E126+'Segment - Credit &amp; Insurance'!E90+'Segment - Multi-Asset Investing'!E90</f>
        <v>-115.63900000000001</v>
      </c>
      <c r="F64" s="15">
        <f>'Segment - Real Estate'!F117+'Segment - Private Equity'!F126+'Segment - Credit &amp; Insurance'!F90+'Segment - Multi-Asset Investing'!F90</f>
        <v>-31.302999999999997</v>
      </c>
      <c r="G64" s="15">
        <f>'Segment - Real Estate'!G117+'Segment - Private Equity'!G126+'Segment - Credit &amp; Insurance'!G90+'Segment - Multi-Asset Investing'!G90</f>
        <v>-31.756999999999998</v>
      </c>
      <c r="H64" s="36">
        <f>'Segment - Real Estate'!H117+'Segment - Private Equity'!H126+'Segment - Credit &amp; Insurance'!H90+'Segment - Multi-Asset Investing'!H90</f>
        <v>-31</v>
      </c>
      <c r="I64" s="1"/>
    </row>
    <row r="65">
      <c r="A65" s="1"/>
      <c r="B65" s="61" t="s">
        <v>82</v>
      </c>
      <c r="C65" s="55">
        <f>IF(Inputs!C293*C64&gt;0,C64/Inputs!C293-1,"n/m")</f>
        <v>4.078653359153881</v>
      </c>
      <c r="D65" s="55">
        <f>IF(Inputs!D293*D64&gt;0,D64/Inputs!D293-1,"n/m")</f>
        <v>0.021957457426236893</v>
      </c>
      <c r="E65" s="55">
        <f>IF(Inputs!E293*E64&gt;0,E64/Inputs!E293-1,"n/m")</f>
        <v>1.4585211327493837</v>
      </c>
      <c r="F65" s="55">
        <f>IF(Inputs!F293*F64&gt;0,F64/Inputs!F293-1,"n/m")</f>
        <v>0.1843738176314793</v>
      </c>
      <c r="G65" s="55">
        <f>IF(Inputs!G293*G64&gt;0,G64/Inputs!G293-1,"n/m")</f>
        <v>0.4208948545861295</v>
      </c>
      <c r="H65" s="56">
        <f>IF(C64*H64&gt;0,H64/C64-1,"n/m")</f>
        <v>-0.09072243569061111</v>
      </c>
      <c r="I65" s="1"/>
    </row>
    <row r="66">
      <c r="A66" s="1"/>
      <c r="B66" s="61" t="s">
        <v>83</v>
      </c>
      <c r="C66" s="55">
        <f>IF(Inputs!G293*C64&gt;0,C64/Inputs!G293-1,"n/m")</f>
        <v>0.5254138702460851</v>
      </c>
      <c r="D66" s="58">
        <f>IF(C64*D64&gt;0,D64/C64-1,"n/m")</f>
        <v>-0.03892294605930835</v>
      </c>
      <c r="E66" s="58"/>
      <c r="F66" s="58">
        <f>IF(D64*F64&gt;0,F64/D64-1,"n/m")</f>
        <v>-0.044649942013062605</v>
      </c>
      <c r="G66" s="58">
        <f>IF(F64*G64&gt;0,G64/F64-1,"n/m")</f>
        <v>0.014503402229818274</v>
      </c>
      <c r="H66" s="56">
        <f>IF(G64*H64&gt;0,H64/G64-1,"n/m")</f>
        <v>-0.023837264225210153</v>
      </c>
      <c r="I66" s="1"/>
    </row>
    <row r="67">
      <c r="A67" s="1"/>
      <c r="B67" s="61" t="s">
        <v>85</v>
      </c>
      <c r="C67" s="58" t="s">
        <v>86</v>
      </c>
      <c r="D67" s="58" t="s">
        <v>86</v>
      </c>
      <c r="E67" s="58" t="s">
        <v>86</v>
      </c>
      <c r="F67" s="58" t="s">
        <v>86</v>
      </c>
      <c r="G67" s="58" t="s">
        <v>86</v>
      </c>
      <c r="H67" s="56" t="s">
        <v>86</v>
      </c>
      <c r="I67" s="8" t="s">
        <v>94</v>
      </c>
    </row>
    <row r="68">
      <c r="A68" s="1"/>
      <c r="B68" s="61" t="s">
        <v>88</v>
      </c>
      <c r="C68" s="58" t="s">
        <v>86</v>
      </c>
      <c r="D68" s="58" t="s">
        <v>86</v>
      </c>
      <c r="E68" s="58" t="s">
        <v>86</v>
      </c>
      <c r="F68" s="58" t="s">
        <v>86</v>
      </c>
      <c r="G68" s="58" t="s">
        <v>86</v>
      </c>
      <c r="H68" s="56" t="s">
        <v>86</v>
      </c>
      <c r="I68" s="8" t="s">
        <v>95</v>
      </c>
    </row>
    <row r="69">
      <c r="A69" s="1"/>
      <c r="B69" s="61" t="s">
        <v>89</v>
      </c>
      <c r="C69" s="58" t="s">
        <v>86</v>
      </c>
      <c r="D69" s="58" t="s">
        <v>86</v>
      </c>
      <c r="E69" s="58" t="s">
        <v>86</v>
      </c>
      <c r="F69" s="58" t="s">
        <v>86</v>
      </c>
      <c r="G69" s="58" t="s">
        <v>86</v>
      </c>
      <c r="H69" s="56" t="s">
        <v>86</v>
      </c>
      <c r="I69" s="8" t="s">
        <v>95</v>
      </c>
    </row>
    <row r="70">
      <c r="A70" s="1"/>
      <c r="B70" s="61" t="s">
        <v>84</v>
      </c>
      <c r="C70" s="58">
        <f>C64/C106</f>
        <v>-0.010323935311050456</v>
      </c>
      <c r="D70" s="58">
        <f>D64/D106</f>
        <v>-0.008324752227721076</v>
      </c>
      <c r="E70" s="58">
        <f>E64/E106</f>
        <v>-0.008843100070208582</v>
      </c>
      <c r="F70" s="58">
        <f>F64/F106</f>
        <v>-0.009117273305288998</v>
      </c>
      <c r="G70" s="58">
        <f>G64/G106</f>
        <v>-0.008352553121706565</v>
      </c>
      <c r="H70" s="56">
        <f>H64/H106</f>
        <v>-0.009829314865945139</v>
      </c>
      <c r="I70" s="1"/>
    </row>
    <row r="71">
      <c r="A71" s="1"/>
      <c r="B71" s="54" t="s">
        <v>106</v>
      </c>
      <c r="C71" s="32">
        <f>C50+C57+C64</f>
        <v>2041.82</v>
      </c>
      <c r="D71" s="32">
        <f>D50+D57+D64</f>
        <v>2062.2189999999996</v>
      </c>
      <c r="E71" s="32">
        <f>E50+E57+E64</f>
        <v>8016.049</v>
      </c>
      <c r="F71" s="32">
        <f>F50+F57+F64</f>
        <v>2132.808</v>
      </c>
      <c r="G71" s="32">
        <f>G50+G57+G64</f>
        <v>2250.296</v>
      </c>
      <c r="H71" s="44">
        <f>H50+H57+H64</f>
        <v>2203.664110532192</v>
      </c>
      <c r="I71" s="1"/>
    </row>
    <row r="72">
      <c r="A72" s="1"/>
      <c r="B72" s="61" t="s">
        <v>82</v>
      </c>
      <c r="C72" s="55">
        <f>IF(Inputs!C294*C71&gt;0,C71/Inputs!C294-1,"n/m")</f>
        <v>0.14276663454101168</v>
      </c>
      <c r="D72" s="55">
        <f>IF(Inputs!D294*D71&gt;0,D71/Inputs!D294-1,"n/m")</f>
        <v>0.10914267858016835</v>
      </c>
      <c r="E72" s="55">
        <f>IF(Inputs!E294*E71&gt;0,E71/Inputs!E294-1,"n/m")</f>
        <v>0.12371357590781806</v>
      </c>
      <c r="F72" s="55">
        <f>IF(Inputs!F294*F71&gt;0,F71/Inputs!F294-1,"n/m")</f>
        <v>0.1272781472284854</v>
      </c>
      <c r="G72" s="55">
        <f>IF(Inputs!G294*G71&gt;0,G71/Inputs!G294-1,"n/m")</f>
        <v>0.11400130296255662</v>
      </c>
      <c r="H72" s="56">
        <f>IF(C71*H71&gt;0,H71/C71-1,"n/m")</f>
        <v>0.07926463181484755</v>
      </c>
      <c r="I72" s="1"/>
    </row>
    <row r="73">
      <c r="A73" s="1"/>
      <c r="B73" s="61" t="s">
        <v>83</v>
      </c>
      <c r="C73" s="55">
        <f>IF(Inputs!G294*C71&gt;0,C71/Inputs!G294-1,"n/m")</f>
        <v>0.010795975469452657</v>
      </c>
      <c r="D73" s="58">
        <f>IF(C71*D71&gt;0,D71/C71-1,"n/m")</f>
        <v>0.009990596624579906</v>
      </c>
      <c r="E73" s="58"/>
      <c r="F73" s="58">
        <f>IF(D71*F71&gt;0,F71/D71-1,"n/m")</f>
        <v>0.034229633225181466</v>
      </c>
      <c r="G73" s="58">
        <f>IF(F71*G71&gt;0,G71/F71-1,"n/m")</f>
        <v>0.05508606494349233</v>
      </c>
      <c r="H73" s="56">
        <f>IF(G71*H71&gt;0,H71/G71-1,"n/m")</f>
        <v>-0.020722558040279115</v>
      </c>
      <c r="I73" s="1"/>
    </row>
    <row r="74">
      <c r="A74" s="1"/>
      <c r="B74" s="61" t="s">
        <v>85</v>
      </c>
      <c r="C74" s="58" t="s">
        <v>86</v>
      </c>
      <c r="D74" s="58" t="s">
        <v>86</v>
      </c>
      <c r="E74" s="58" t="s">
        <v>86</v>
      </c>
      <c r="F74" s="58" t="s">
        <v>86</v>
      </c>
      <c r="G74" s="58" t="s">
        <v>86</v>
      </c>
      <c r="H74" s="56" t="s">
        <v>86</v>
      </c>
      <c r="I74" s="8" t="s">
        <v>94</v>
      </c>
    </row>
    <row r="75">
      <c r="A75" s="1"/>
      <c r="B75" s="61" t="s">
        <v>88</v>
      </c>
      <c r="C75" s="58" t="s">
        <v>86</v>
      </c>
      <c r="D75" s="58" t="s">
        <v>86</v>
      </c>
      <c r="E75" s="58" t="s">
        <v>86</v>
      </c>
      <c r="F75" s="58" t="s">
        <v>86</v>
      </c>
      <c r="G75" s="58" t="s">
        <v>86</v>
      </c>
      <c r="H75" s="56" t="s">
        <v>86</v>
      </c>
      <c r="I75" s="8" t="s">
        <v>95</v>
      </c>
    </row>
    <row r="76">
      <c r="A76" s="1"/>
      <c r="B76" s="61" t="s">
        <v>89</v>
      </c>
      <c r="C76" s="58" t="s">
        <v>86</v>
      </c>
      <c r="D76" s="58" t="s">
        <v>86</v>
      </c>
      <c r="E76" s="58" t="s">
        <v>86</v>
      </c>
      <c r="F76" s="58" t="s">
        <v>86</v>
      </c>
      <c r="G76" s="58" t="s">
        <v>86</v>
      </c>
      <c r="H76" s="56" t="s">
        <v>86</v>
      </c>
      <c r="I76" s="8" t="s">
        <v>95</v>
      </c>
    </row>
    <row r="77">
      <c r="A77" s="1"/>
      <c r="B77" s="61" t="s">
        <v>84</v>
      </c>
      <c r="C77" s="58">
        <f>C71/C106</f>
        <v>0.61829752725806</v>
      </c>
      <c r="D77" s="58">
        <f>D71/D106</f>
        <v>0.5239413481748986</v>
      </c>
      <c r="E77" s="58">
        <f>E71/E106</f>
        <v>0.6130001424666023</v>
      </c>
      <c r="F77" s="58">
        <f>F71/F106</f>
        <v>0.6211990366324894</v>
      </c>
      <c r="G77" s="58">
        <f>G71/G106</f>
        <v>0.5918605938710771</v>
      </c>
      <c r="H77" s="56">
        <f>H71/H106</f>
        <v>0.6987260774581886</v>
      </c>
      <c r="I77" s="1"/>
    </row>
    <row r="78">
      <c r="A78" s="1"/>
      <c r="B78" s="31" t="s">
        <v>107</v>
      </c>
      <c r="C78" s="15">
        <f>'Segment - Real Estate'!C147+'Segment - Private Equity'!C149+'Segment - Credit &amp; Insurance'!C102</f>
        <v>453.01800000000003</v>
      </c>
      <c r="D78" s="15">
        <f>'Segment - Real Estate'!D147+'Segment - Private Equity'!D149+'Segment - Credit &amp; Insurance'!D102</f>
        <v>606.445</v>
      </c>
      <c r="E78" s="15">
        <f>'Segment - Real Estate'!E147+'Segment - Private Equity'!E149+'Segment - Credit &amp; Insurance'!E102</f>
        <v>1825.428</v>
      </c>
      <c r="F78" s="15">
        <f>'Segment - Real Estate'!F147+'Segment - Private Equity'!F149+'Segment - Credit &amp; Insurance'!F102</f>
        <v>488.09799999999996</v>
      </c>
      <c r="G78" s="15">
        <f>'Segment - Real Estate'!G147+'Segment - Private Equity'!G149+'Segment - Credit &amp; Insurance'!G102</f>
        <v>793.3910000000001</v>
      </c>
      <c r="H78" s="36">
        <f>'Segment - Real Estate'!H147+'Segment - Private Equity'!H149+'Segment - Credit &amp; Insurance'!H102</f>
        <v>473.2647588999158</v>
      </c>
      <c r="I78" s="1"/>
    </row>
    <row r="79">
      <c r="A79" s="1"/>
      <c r="B79" s="61" t="s">
        <v>82</v>
      </c>
      <c r="C79" s="55">
        <f>IF(Inputs!C295*C78&gt;0,C78/Inputs!C295-1,"n/m")</f>
        <v>0.7153210324837846</v>
      </c>
      <c r="D79" s="55">
        <f>IF(Inputs!D295*D78&gt;0,D78/Inputs!D295-1,"n/m")</f>
        <v>-0.5666008707360092</v>
      </c>
      <c r="E79" s="55">
        <f>IF(Inputs!E295*E78&gt;0,E78/Inputs!E295-1,"n/m")</f>
        <v>-0.14537687065912275</v>
      </c>
      <c r="F79" s="55">
        <f>IF(Inputs!F295*F78&gt;0,F78/Inputs!F295-1,"n/m")</f>
        <v>0.660677406733239</v>
      </c>
      <c r="G79" s="55">
        <f>IF(Inputs!G295*G78&gt;0,G78/Inputs!G295-1,"n/m")</f>
        <v>0.6807350916216504</v>
      </c>
      <c r="H79" s="56">
        <f>IF(C78*H78&gt;0,H78/C78-1,"n/m")</f>
        <v>0.04469305612561936</v>
      </c>
      <c r="I79" s="1"/>
    </row>
    <row r="80">
      <c r="A80" s="1"/>
      <c r="B80" s="61" t="s">
        <v>83</v>
      </c>
      <c r="C80" s="55">
        <f>IF(Inputs!G295*C78&gt;0,C78/Inputs!G295-1,"n/m")</f>
        <v>-0.04031776294884015</v>
      </c>
      <c r="D80" s="58">
        <f>IF(C78*D78&gt;0,D78/C78-1,"n/m")</f>
        <v>0.3386774918435913</v>
      </c>
      <c r="E80" s="58"/>
      <c r="F80" s="58">
        <f>IF(D78*F78&gt;0,F78/D78-1,"n/m")</f>
        <v>-0.1951487768882587</v>
      </c>
      <c r="G80" s="58">
        <f>IF(F78*G78&gt;0,G78/F78-1,"n/m")</f>
        <v>0.6254748021913634</v>
      </c>
      <c r="H80" s="56">
        <f>IF(G78*H78&gt;0,H78/G78-1,"n/m")</f>
        <v>-0.40349114257671714</v>
      </c>
      <c r="I80" s="1"/>
    </row>
    <row r="81">
      <c r="A81" s="1"/>
      <c r="B81" s="61" t="s">
        <v>85</v>
      </c>
      <c r="C81" s="58" t="s">
        <v>86</v>
      </c>
      <c r="D81" s="58" t="s">
        <v>86</v>
      </c>
      <c r="E81" s="58" t="s">
        <v>86</v>
      </c>
      <c r="F81" s="58" t="s">
        <v>86</v>
      </c>
      <c r="G81" s="58" t="s">
        <v>86</v>
      </c>
      <c r="H81" s="56" t="s">
        <v>86</v>
      </c>
      <c r="I81" s="8" t="s">
        <v>94</v>
      </c>
    </row>
    <row r="82">
      <c r="A82" s="1"/>
      <c r="B82" s="61" t="s">
        <v>88</v>
      </c>
      <c r="C82" s="58" t="s">
        <v>86</v>
      </c>
      <c r="D82" s="58" t="s">
        <v>86</v>
      </c>
      <c r="E82" s="58" t="s">
        <v>86</v>
      </c>
      <c r="F82" s="58" t="s">
        <v>86</v>
      </c>
      <c r="G82" s="58" t="s">
        <v>86</v>
      </c>
      <c r="H82" s="56" t="s">
        <v>86</v>
      </c>
      <c r="I82" s="8" t="s">
        <v>95</v>
      </c>
    </row>
    <row r="83">
      <c r="A83" s="1"/>
      <c r="B83" s="61" t="s">
        <v>89</v>
      </c>
      <c r="C83" s="58" t="s">
        <v>86</v>
      </c>
      <c r="D83" s="58" t="s">
        <v>86</v>
      </c>
      <c r="E83" s="58" t="s">
        <v>86</v>
      </c>
      <c r="F83" s="58" t="s">
        <v>86</v>
      </c>
      <c r="G83" s="58" t="s">
        <v>86</v>
      </c>
      <c r="H83" s="56" t="s">
        <v>86</v>
      </c>
      <c r="I83" s="8" t="s">
        <v>95</v>
      </c>
    </row>
    <row r="84">
      <c r="A84" s="1"/>
      <c r="B84" s="61" t="s">
        <v>84</v>
      </c>
      <c r="C84" s="58">
        <f>C78/C106</f>
        <v>0.13718148965305063</v>
      </c>
      <c r="D84" s="58">
        <f>D78/D106</f>
        <v>0.15407753051151524</v>
      </c>
      <c r="E84" s="58">
        <f>E78/E106</f>
        <v>0.13959341117582053</v>
      </c>
      <c r="F84" s="58">
        <f>F78/F106</f>
        <v>0.14216282355572785</v>
      </c>
      <c r="G84" s="58">
        <f>G78/G106</f>
        <v>0.2086733782719997</v>
      </c>
      <c r="H84" s="56">
        <f>H78/H106</f>
        <v>0.15006026871557693</v>
      </c>
      <c r="I84" s="1"/>
    </row>
    <row r="85">
      <c r="A85" s="1"/>
      <c r="B85" s="54" t="s">
        <v>108</v>
      </c>
      <c r="C85" s="32">
        <f>C71+C78</f>
        <v>2494.8379999999997</v>
      </c>
      <c r="D85" s="32">
        <f>D71+D78</f>
        <v>2668.6639999999998</v>
      </c>
      <c r="E85" s="32">
        <f>E71+E78</f>
        <v>9841.477</v>
      </c>
      <c r="F85" s="32">
        <f>F71+F78</f>
        <v>2620.906</v>
      </c>
      <c r="G85" s="32">
        <f>G71+G78</f>
        <v>3043.687</v>
      </c>
      <c r="H85" s="44">
        <f>H71+H78</f>
        <v>2676.9288694321076</v>
      </c>
      <c r="I85" s="1"/>
    </row>
    <row r="86">
      <c r="A86" s="1"/>
      <c r="B86" s="61" t="s">
        <v>82</v>
      </c>
      <c r="C86" s="55">
        <f>IF(Inputs!C296*C85&gt;0,C85/Inputs!C296-1,"n/m")</f>
        <v>0.21649864567359134</v>
      </c>
      <c r="D86" s="55">
        <f>IF(Inputs!D296*D85&gt;0,D85/Inputs!D296-1,"n/m")</f>
        <v>-0.18103141657053556</v>
      </c>
      <c r="E86" s="55">
        <f>IF(Inputs!E296*E85&gt;0,E85/Inputs!E296-1,"n/m")</f>
        <v>0.06170767526416543</v>
      </c>
      <c r="F86" s="55">
        <f>IF(Inputs!F296*F85&gt;0,F85/Inputs!F296-1,"n/m")</f>
        <v>0.19899831329060214</v>
      </c>
      <c r="G86" s="55">
        <f>IF(Inputs!G296*G85&gt;0,G85/Inputs!G296-1,"n/m")</f>
        <v>0.22135283953609508</v>
      </c>
      <c r="H86" s="56">
        <f>IF(C85*H85&gt;0,H85/C85-1,"n/m")</f>
        <v>0.07298705143664952</v>
      </c>
      <c r="I86" s="1"/>
    </row>
    <row r="87">
      <c r="A87" s="1"/>
      <c r="B87" s="61" t="s">
        <v>83</v>
      </c>
      <c r="C87" s="55">
        <f>IF(Inputs!G296*C85&gt;0,C85/Inputs!G296-1,"n/m")</f>
        <v>0.0011139369726755888</v>
      </c>
      <c r="D87" s="58">
        <f>IF(C85*D85&gt;0,D85/C85-1,"n/m")</f>
        <v>0.06967426341910787</v>
      </c>
      <c r="E87" s="58"/>
      <c r="F87" s="58">
        <f>IF(D85*F85&gt;0,F85/D85-1,"n/m")</f>
        <v>-0.017895846011337424</v>
      </c>
      <c r="G87" s="58">
        <f>IF(F85*G85&gt;0,G85/F85-1,"n/m")</f>
        <v>0.1613110122988004</v>
      </c>
      <c r="H87" s="56">
        <f>IF(G85*H85&gt;0,H85/G85-1,"n/m")</f>
        <v>-0.12049797846095622</v>
      </c>
      <c r="I87" s="1"/>
    </row>
    <row r="88">
      <c r="A88" s="1"/>
      <c r="B88" s="61" t="s">
        <v>85</v>
      </c>
      <c r="C88" s="58" t="s">
        <v>86</v>
      </c>
      <c r="D88" s="58" t="s">
        <v>86</v>
      </c>
      <c r="E88" s="58" t="s">
        <v>86</v>
      </c>
      <c r="F88" s="58" t="s">
        <v>86</v>
      </c>
      <c r="G88" s="58" t="s">
        <v>86</v>
      </c>
      <c r="H88" s="56" t="s">
        <v>86</v>
      </c>
      <c r="I88" s="8" t="s">
        <v>94</v>
      </c>
    </row>
    <row r="89">
      <c r="A89" s="1"/>
      <c r="B89" s="61" t="s">
        <v>88</v>
      </c>
      <c r="C89" s="58" t="s">
        <v>86</v>
      </c>
      <c r="D89" s="58" t="s">
        <v>86</v>
      </c>
      <c r="E89" s="58" t="s">
        <v>86</v>
      </c>
      <c r="F89" s="58" t="s">
        <v>86</v>
      </c>
      <c r="G89" s="58" t="s">
        <v>86</v>
      </c>
      <c r="H89" s="56" t="s">
        <v>86</v>
      </c>
      <c r="I89" s="8" t="s">
        <v>95</v>
      </c>
    </row>
    <row r="90">
      <c r="A90" s="1"/>
      <c r="B90" s="61" t="s">
        <v>89</v>
      </c>
      <c r="C90" s="58" t="s">
        <v>86</v>
      </c>
      <c r="D90" s="58" t="s">
        <v>86</v>
      </c>
      <c r="E90" s="58" t="s">
        <v>86</v>
      </c>
      <c r="F90" s="58" t="s">
        <v>86</v>
      </c>
      <c r="G90" s="58" t="s">
        <v>86</v>
      </c>
      <c r="H90" s="56" t="s">
        <v>86</v>
      </c>
      <c r="I90" s="8" t="s">
        <v>95</v>
      </c>
    </row>
    <row r="91">
      <c r="A91" s="1"/>
      <c r="B91" s="61" t="s">
        <v>84</v>
      </c>
      <c r="C91" s="58">
        <f>C85/C106</f>
        <v>0.7554790169111105</v>
      </c>
      <c r="D91" s="58">
        <f>D85/D106</f>
        <v>0.6780188786864138</v>
      </c>
      <c r="E91" s="58">
        <f>E85/E106</f>
        <v>0.7525935536424229</v>
      </c>
      <c r="F91" s="58">
        <f>F85/F106</f>
        <v>0.7633618601882173</v>
      </c>
      <c r="G91" s="58">
        <f>G85/G106</f>
        <v>0.8005339721430769</v>
      </c>
      <c r="H91" s="56">
        <f>H85/H106</f>
        <v>0.8487863461737655</v>
      </c>
      <c r="I91" s="1"/>
    </row>
    <row r="92">
      <c r="A92" s="1"/>
      <c r="B92" s="31" t="s">
        <v>109</v>
      </c>
      <c r="C92" s="15">
        <f>'Segment - Real Estate'!C159+'Segment - Private Equity'!C161+'Segment - Credit &amp; Insurance'!C114+'Segment - Multi-Asset Investing'!C108</f>
        <v>744.9530000000001</v>
      </c>
      <c r="D92" s="15">
        <f>'Segment - Real Estate'!D159+'Segment - Private Equity'!D161+'Segment - Credit &amp; Insurance'!D114+'Segment - Multi-Asset Investing'!D108</f>
        <v>1057.432</v>
      </c>
      <c r="E92" s="15">
        <f>'Segment - Real Estate'!E159+'Segment - Private Equity'!E161+'Segment - Credit &amp; Insurance'!E114+'Segment - Multi-Asset Investing'!E108</f>
        <v>2815.5290000000005</v>
      </c>
      <c r="F92" s="15">
        <f>'Segment - Real Estate'!F159+'Segment - Private Equity'!F161+'Segment - Credit &amp; Insurance'!F114+'Segment - Multi-Asset Investing'!F108</f>
        <v>780.4939999999999</v>
      </c>
      <c r="G92" s="15">
        <f>'Segment - Real Estate'!G159+'Segment - Private Equity'!G161+'Segment - Credit &amp; Insurance'!G114+'Segment - Multi-Asset Investing'!G108</f>
        <v>730.8849999999999</v>
      </c>
      <c r="H92" s="36">
        <f>'Segment - Real Estate'!H159+'Segment - Private Equity'!H161+'Segment - Credit &amp; Insurance'!H114+'Segment - Multi-Asset Investing'!H108</f>
        <v>419.67405995626643</v>
      </c>
      <c r="I92" s="1"/>
    </row>
    <row r="93">
      <c r="A93" s="1"/>
      <c r="B93" s="61" t="s">
        <v>82</v>
      </c>
      <c r="C93" s="55">
        <f>IF(Inputs!C115*C92&gt;0,C92/Inputs!C115-1,"n/m")</f>
        <v>1.1739725507705692</v>
      </c>
      <c r="D93" s="55">
        <f>IF(Inputs!D115*D92&gt;0,D92/Inputs!D115-1,"n/m")</f>
        <v>0.2223516900171083</v>
      </c>
      <c r="E93" s="55">
        <f>IF(Inputs!E115*E92&gt;0,E92/Inputs!E115-1,"n/m")</f>
        <v>0.23108475573789788</v>
      </c>
      <c r="F93" s="55">
        <f>IF(Inputs!F115*F92&gt;0,F92/Inputs!F115-1,"n/m")</f>
        <v>0.6966412548937768</v>
      </c>
      <c r="G93" s="55">
        <f>IF(Inputs!G115*G92&gt;0,G92/Inputs!G115-1,"n/m")</f>
        <v>0.3213835670676035</v>
      </c>
      <c r="H93" s="56">
        <f>IF(C92*H92&gt;0,H92/C92-1,"n/m")</f>
        <v>-0.436643573545893</v>
      </c>
      <c r="I93" s="1"/>
    </row>
    <row r="94">
      <c r="A94" s="1"/>
      <c r="B94" s="61" t="s">
        <v>83</v>
      </c>
      <c r="C94" s="55">
        <f>IF(Inputs!G115*C92&gt;0,C92/Inputs!G115-1,"n/m")</f>
        <v>0.3468174233124399</v>
      </c>
      <c r="D94" s="58">
        <f>IF(C92*D92&gt;0,D92/C92-1,"n/m")</f>
        <v>0.4194613619919645</v>
      </c>
      <c r="E94" s="58"/>
      <c r="F94" s="58">
        <f>IF(D92*F92&gt;0,F92/D92-1,"n/m")</f>
        <v>-0.26189674607918056</v>
      </c>
      <c r="G94" s="58">
        <f>IF(F92*G92&gt;0,G92/F92-1,"n/m")</f>
        <v>-0.06356102673435038</v>
      </c>
      <c r="H94" s="56">
        <f>IF(G92*H92&gt;0,H92/G92-1,"n/m")</f>
        <v>-0.4258001464576965</v>
      </c>
      <c r="I94" s="1"/>
    </row>
    <row r="95">
      <c r="A95" s="1"/>
      <c r="B95" s="61" t="s">
        <v>85</v>
      </c>
      <c r="C95" s="58" t="s">
        <v>86</v>
      </c>
      <c r="D95" s="58" t="s">
        <v>86</v>
      </c>
      <c r="E95" s="58" t="s">
        <v>86</v>
      </c>
      <c r="F95" s="58" t="s">
        <v>86</v>
      </c>
      <c r="G95" s="58" t="s">
        <v>86</v>
      </c>
      <c r="H95" s="56" t="s">
        <v>86</v>
      </c>
      <c r="I95" s="8" t="s">
        <v>94</v>
      </c>
    </row>
    <row r="96">
      <c r="A96" s="1"/>
      <c r="B96" s="61" t="s">
        <v>88</v>
      </c>
      <c r="C96" s="58" t="s">
        <v>86</v>
      </c>
      <c r="D96" s="58" t="s">
        <v>86</v>
      </c>
      <c r="E96" s="58" t="s">
        <v>86</v>
      </c>
      <c r="F96" s="58" t="s">
        <v>86</v>
      </c>
      <c r="G96" s="58" t="s">
        <v>86</v>
      </c>
      <c r="H96" s="56" t="s">
        <v>86</v>
      </c>
      <c r="I96" s="8" t="s">
        <v>95</v>
      </c>
    </row>
    <row r="97">
      <c r="A97" s="1"/>
      <c r="B97" s="61" t="s">
        <v>89</v>
      </c>
      <c r="C97" s="58" t="s">
        <v>86</v>
      </c>
      <c r="D97" s="58" t="s">
        <v>86</v>
      </c>
      <c r="E97" s="58" t="s">
        <v>86</v>
      </c>
      <c r="F97" s="58" t="s">
        <v>86</v>
      </c>
      <c r="G97" s="58" t="s">
        <v>86</v>
      </c>
      <c r="H97" s="56" t="s">
        <v>86</v>
      </c>
      <c r="I97" s="8" t="s">
        <v>95</v>
      </c>
    </row>
    <row r="98">
      <c r="A98" s="1"/>
      <c r="B98" s="61" t="s">
        <v>84</v>
      </c>
      <c r="C98" s="58">
        <f>C92/C106</f>
        <v>0.22558433055973282</v>
      </c>
      <c r="D98" s="58">
        <f>D92/D106</f>
        <v>0.2686583469957747</v>
      </c>
      <c r="E98" s="58">
        <f>E92/E106</f>
        <v>0.21530802495329687</v>
      </c>
      <c r="F98" s="58">
        <f>F92/F106</f>
        <v>0.2273257231299949</v>
      </c>
      <c r="G98" s="58">
        <f>G92/G106</f>
        <v>0.1922333906968071</v>
      </c>
      <c r="H98" s="56">
        <f>H92/H106</f>
        <v>0.13306801536708648</v>
      </c>
      <c r="I98" s="1"/>
    </row>
    <row r="99">
      <c r="A99" s="1"/>
      <c r="B99" s="31" t="s">
        <v>110</v>
      </c>
      <c r="C99" s="15">
        <f>'Segment - Real Estate'!C168+'Segment - Private Equity'!C170+'Segment - Credit &amp; Insurance'!C123+'Segment - Multi-Asset Investing'!C117</f>
        <v>62.535000000000004</v>
      </c>
      <c r="D99" s="15">
        <f>'Segment - Real Estate'!D168+'Segment - Private Equity'!D170+'Segment - Credit &amp; Insurance'!D123+'Segment - Multi-Asset Investing'!D117</f>
        <v>209.877</v>
      </c>
      <c r="E99" s="15">
        <f>'Segment - Real Estate'!E168+'Segment - Private Equity'!E170+'Segment - Credit &amp; Insurance'!E123+'Segment - Multi-Asset Investing'!E117</f>
        <v>419.743</v>
      </c>
      <c r="F99" s="15">
        <f>'Segment - Real Estate'!F168+'Segment - Private Equity'!F170+'Segment - Credit &amp; Insurance'!F123+'Segment - Multi-Asset Investing'!F117</f>
        <v>31.973000000000003</v>
      </c>
      <c r="G99" s="15">
        <f>'Segment - Real Estate'!G168+'Segment - Private Equity'!G170+'Segment - Credit &amp; Insurance'!G123+'Segment - Multi-Asset Investing'!G117</f>
        <v>27.499000000000002</v>
      </c>
      <c r="H99" s="36">
        <f>'Segment - Real Estate'!H168+'Segment - Private Equity'!H170+'Segment - Credit &amp; Insurance'!H123+'Segment - Multi-Asset Investing'!H117</f>
        <v>57.22828090312723</v>
      </c>
      <c r="I99" s="1"/>
    </row>
    <row r="100">
      <c r="A100" s="1"/>
      <c r="B100" s="61" t="s">
        <v>82</v>
      </c>
      <c r="C100" s="55">
        <f>IF(Inputs!C116*C99&gt;0,C99/Inputs!C116-1,"n/m")</f>
        <v>0.5477811053634634</v>
      </c>
      <c r="D100" s="55">
        <f>IF(Inputs!D116*D99&gt;0,D99/Inputs!D116-1,"n/m")</f>
        <v>7.194159216023113</v>
      </c>
      <c r="E100" s="55">
        <f>IF(Inputs!E116*E99&gt;0,E99/Inputs!E116-1,"n/m")</f>
        <v>3.5364870414802327</v>
      </c>
      <c r="F100" s="55">
        <f>IF(Inputs!F116*F99&gt;0,F99/Inputs!F116-1,"n/m")</f>
        <v>-0.7288355525400729</v>
      </c>
      <c r="G100" s="55">
        <f>IF(Inputs!G116*G99&gt;0,G99/Inputs!G116-1,"n/m")</f>
        <v>-0.06532748716902881</v>
      </c>
      <c r="H100" s="56">
        <f>IF(C99*H99&gt;0,H99/C99-1,"n/m")</f>
        <v>-0.08485998395894745</v>
      </c>
      <c r="I100" s="1"/>
    </row>
    <row r="101">
      <c r="A101" s="1"/>
      <c r="B101" s="61" t="s">
        <v>83</v>
      </c>
      <c r="C101" s="55">
        <f>IF(Inputs!G116*C99&gt;0,C99/Inputs!G116-1,"n/m")</f>
        <v>1.125522585908025</v>
      </c>
      <c r="D101" s="58">
        <f>IF(C99*D99&gt;0,D99/C99-1,"n/m")</f>
        <v>2.3561525545694413</v>
      </c>
      <c r="E101" s="58"/>
      <c r="F101" s="58">
        <f>IF(D99*F99&gt;0,F99/D99-1,"n/m")</f>
        <v>-0.8476583903905621</v>
      </c>
      <c r="G101" s="58">
        <f>IF(F99*G99&gt;0,G99/F99-1,"n/m")</f>
        <v>-0.13993056641541302</v>
      </c>
      <c r="H101" s="56">
        <f>IF(G99*H99&gt;0,H99/G99-1,"n/m")</f>
        <v>1.0811040729890986</v>
      </c>
      <c r="I101" s="1"/>
    </row>
    <row r="102">
      <c r="A102" s="1"/>
      <c r="B102" s="61" t="s">
        <v>85</v>
      </c>
      <c r="C102" s="58" t="s">
        <v>86</v>
      </c>
      <c r="D102" s="58" t="s">
        <v>86</v>
      </c>
      <c r="E102" s="58" t="s">
        <v>86</v>
      </c>
      <c r="F102" s="58" t="s">
        <v>86</v>
      </c>
      <c r="G102" s="58" t="s">
        <v>86</v>
      </c>
      <c r="H102" s="56" t="s">
        <v>86</v>
      </c>
      <c r="I102" s="8" t="s">
        <v>94</v>
      </c>
    </row>
    <row r="103">
      <c r="A103" s="1"/>
      <c r="B103" s="61" t="s">
        <v>88</v>
      </c>
      <c r="C103" s="58" t="s">
        <v>86</v>
      </c>
      <c r="D103" s="58" t="s">
        <v>86</v>
      </c>
      <c r="E103" s="58" t="s">
        <v>86</v>
      </c>
      <c r="F103" s="58" t="s">
        <v>86</v>
      </c>
      <c r="G103" s="58" t="s">
        <v>86</v>
      </c>
      <c r="H103" s="56" t="s">
        <v>86</v>
      </c>
      <c r="I103" s="8" t="s">
        <v>95</v>
      </c>
    </row>
    <row r="104">
      <c r="A104" s="1"/>
      <c r="B104" s="61" t="s">
        <v>89</v>
      </c>
      <c r="C104" s="58" t="s">
        <v>86</v>
      </c>
      <c r="D104" s="58" t="s">
        <v>86</v>
      </c>
      <c r="E104" s="58" t="s">
        <v>86</v>
      </c>
      <c r="F104" s="58" t="s">
        <v>86</v>
      </c>
      <c r="G104" s="58" t="s">
        <v>86</v>
      </c>
      <c r="H104" s="56" t="s">
        <v>86</v>
      </c>
      <c r="I104" s="8" t="s">
        <v>95</v>
      </c>
    </row>
    <row r="105">
      <c r="A105" s="1"/>
      <c r="B105" s="61" t="s">
        <v>84</v>
      </c>
      <c r="C105" s="58">
        <f>C99/C106</f>
        <v>0.018936652529156724</v>
      </c>
      <c r="D105" s="58">
        <f>D99/D106</f>
        <v>0.05332277431781164</v>
      </c>
      <c r="E105" s="58">
        <f>E99/E106</f>
        <v>0.032098421404280215</v>
      </c>
      <c r="F105" s="58">
        <f>F99/F106</f>
        <v>0.009312416681787852</v>
      </c>
      <c r="G105" s="58">
        <f>G99/G106</f>
        <v>0.007232637160116159</v>
      </c>
      <c r="H105" s="56">
        <f>H99/H106</f>
        <v>0.018145638459148152</v>
      </c>
      <c r="I105" s="1"/>
    </row>
    <row r="106">
      <c r="A106" s="1"/>
      <c r="B106" s="2" t="s">
        <v>111</v>
      </c>
      <c r="C106" s="32">
        <f>C85+C92+C99</f>
        <v>3302.3259999999996</v>
      </c>
      <c r="D106" s="32">
        <f>D85+D92+D99</f>
        <v>3935.9729999999995</v>
      </c>
      <c r="E106" s="32">
        <f>E85+E92+E99</f>
        <v>13076.749000000002</v>
      </c>
      <c r="F106" s="32">
        <f>F85+F92+F99</f>
        <v>3433.3729999999996</v>
      </c>
      <c r="G106" s="32">
        <f>G85+G92+G99</f>
        <v>3802.0709999999995</v>
      </c>
      <c r="H106" s="44">
        <f>H85+H92+H99</f>
        <v>3153.831210291501</v>
      </c>
      <c r="I106" s="1"/>
    </row>
    <row r="107">
      <c r="A107" s="1"/>
      <c r="B107" s="1"/>
      <c r="C107" s="3"/>
      <c r="D107" s="3"/>
      <c r="E107" s="3"/>
      <c r="F107" s="3"/>
      <c r="G107" s="3"/>
      <c r="H107" s="37"/>
      <c r="I107" s="1"/>
    </row>
    <row r="108">
      <c r="A108" s="1"/>
      <c r="B108" s="2" t="s">
        <v>112</v>
      </c>
      <c r="C108" s="4"/>
      <c r="D108" s="4"/>
      <c r="E108" s="4"/>
      <c r="F108" s="4"/>
      <c r="G108" s="4"/>
      <c r="H108" s="33"/>
      <c r="I108" s="1"/>
    </row>
    <row r="109">
      <c r="A109" s="1"/>
      <c r="B109" s="31" t="s">
        <v>113</v>
      </c>
      <c r="C109" s="4"/>
      <c r="D109" s="4"/>
      <c r="E109" s="4"/>
      <c r="F109" s="4"/>
      <c r="G109" s="4"/>
      <c r="H109" s="60">
        <v>350</v>
      </c>
      <c r="I109" s="8" t="s">
        <v>114</v>
      </c>
    </row>
    <row r="110">
      <c r="A110" s="1"/>
      <c r="B110" s="31" t="s">
        <v>115</v>
      </c>
      <c r="C110" s="38"/>
      <c r="D110" s="38"/>
      <c r="E110" s="38"/>
      <c r="F110" s="38"/>
      <c r="G110" s="38"/>
      <c r="H110" s="81">
        <f>Guidance!I29</f>
        <v>1.3625781167411246</v>
      </c>
      <c r="I110" s="8" t="s">
        <v>116</v>
      </c>
    </row>
    <row r="111">
      <c r="A111" s="1"/>
      <c r="B111" s="54" t="s">
        <v>117</v>
      </c>
      <c r="C111" s="32">
        <f>C92+C99</f>
        <v>807.488</v>
      </c>
      <c r="D111" s="32">
        <f>D92+D99</f>
        <v>1267.309</v>
      </c>
      <c r="E111" s="32">
        <f>E92+E99</f>
        <v>3235.2720000000004</v>
      </c>
      <c r="F111" s="32">
        <f>F92+F99</f>
        <v>812.4669999999999</v>
      </c>
      <c r="G111" s="32">
        <f>G92+G99</f>
        <v>758.3839999999999</v>
      </c>
      <c r="H111" s="44">
        <f>H109*H110</f>
        <v>476.90234085939363</v>
      </c>
      <c r="I111" s="1"/>
    </row>
    <row r="112">
      <c r="A112" s="1"/>
      <c r="B112" s="61" t="s">
        <v>82</v>
      </c>
      <c r="C112" s="55">
        <f>IF(Inputs!C297*C111&gt;0,C111/Inputs!C297-1,"n/m")</f>
        <v>1.107927491437641</v>
      </c>
      <c r="D112" s="55">
        <f>IF(Inputs!D297*D111&gt;0,D111/Inputs!D297-1,"n/m")</f>
        <v>0.42283480391111183</v>
      </c>
      <c r="E112" s="55">
        <f>IF(Inputs!E297*E111&gt;0,E111/Inputs!E297-1,"n/m")</f>
        <v>0.35961105365410484</v>
      </c>
      <c r="F112" s="55">
        <f>IF(Inputs!F297*F111&gt;0,F111/Inputs!F297-1,"n/m")</f>
        <v>0.40581520695305495</v>
      </c>
      <c r="G112" s="55">
        <f>IF(Inputs!G297*G111&gt;0,G111/Inputs!G297-1,"n/m")</f>
        <v>0.30185291360966215</v>
      </c>
      <c r="H112" s="56">
        <f>IF(C111*H111&gt;0,H111/C111-1,"n/m")</f>
        <v>-0.4094000890918582</v>
      </c>
      <c r="I112" s="1"/>
    </row>
    <row r="113">
      <c r="A113" s="1"/>
      <c r="B113" s="43" t="s">
        <v>118</v>
      </c>
      <c r="C113" s="15">
        <f>C111-Inputs!G297</f>
        <v>224.94600000000003</v>
      </c>
      <c r="D113" s="4">
        <f>D111-C111</f>
        <v>459.8209999999999</v>
      </c>
      <c r="E113" s="4"/>
      <c r="F113" s="4">
        <f>F111-D111</f>
        <v>-454.8420000000001</v>
      </c>
      <c r="G113" s="4">
        <f>G111-F111</f>
        <v>-54.08299999999997</v>
      </c>
      <c r="H113" s="33">
        <f>H111-G111</f>
        <v>-281.48165914060627</v>
      </c>
      <c r="I113" s="1"/>
    </row>
    <row r="114">
      <c r="A114" s="1"/>
      <c r="B114" s="40" t="s">
        <v>119</v>
      </c>
      <c r="C114" s="58">
        <f>C92/C111</f>
        <v>0.9225561246730603</v>
      </c>
      <c r="D114" s="58">
        <f>D92/D111</f>
        <v>0.83439161246389</v>
      </c>
      <c r="E114" s="58">
        <f>E92/E111</f>
        <v>0.8702603675981494</v>
      </c>
      <c r="F114" s="58">
        <f>F92/F111</f>
        <v>0.9606470170480771</v>
      </c>
      <c r="G114" s="58">
        <f>G92/G111</f>
        <v>0.963740005063398</v>
      </c>
      <c r="H114" s="71">
        <v>0.88</v>
      </c>
      <c r="I114" s="8" t="s">
        <v>120</v>
      </c>
    </row>
    <row r="115">
      <c r="A115" s="1"/>
      <c r="B115" s="43" t="s">
        <v>121</v>
      </c>
      <c r="C115" s="57">
        <f>IFERROR((C114-(Inputs!G115/Inputs!G297))*10000,"n/m")</f>
        <v>-269.3936234761796</v>
      </c>
      <c r="D115" s="62">
        <f>IFERROR((D114-C114)*10000,"n/m")</f>
        <v>-881.6451220917021</v>
      </c>
      <c r="E115" s="62"/>
      <c r="F115" s="62">
        <f>IFERROR((F114-D114)*10000,"n/m")</f>
        <v>1262.5540458418704</v>
      </c>
      <c r="G115" s="62">
        <f>IFERROR((G114-F114)*10000,"n/m")</f>
        <v>30.929880153208742</v>
      </c>
      <c r="H115" s="59">
        <f>IFERROR((H114-G114)*10000,"n/m")</f>
        <v>-837.4000506339796</v>
      </c>
      <c r="I115" s="1"/>
    </row>
    <row r="116">
      <c r="A116" s="1"/>
      <c r="B116" s="43" t="s">
        <v>122</v>
      </c>
      <c r="C116" s="57">
        <f>IFERROR((C114-(Inputs!C115/Inputs!C297))*10000,"n/m")</f>
        <v>280.2715883896123</v>
      </c>
      <c r="D116" s="57">
        <f>IFERROR((D114-(Inputs!D115/Inputs!D297))*10000,"n/m")</f>
        <v>-1368.5212696147887</v>
      </c>
      <c r="E116" s="57">
        <f>IFERROR((E114-(Inputs!E115/Inputs!E297))*10000,"n/m")</f>
        <v>-908.5592421583121</v>
      </c>
      <c r="F116" s="57">
        <f>IFERROR((F114-(Inputs!F115/Inputs!F297))*10000,"n/m")</f>
        <v>1646.6720623955766</v>
      </c>
      <c r="G116" s="57">
        <f>IFERROR((G114-(Inputs!G115/Inputs!G297))*10000,"n/m")</f>
        <v>142.44518042719756</v>
      </c>
      <c r="H116" s="59">
        <f>IFERROR((H114-C114)*10000,"n/m")</f>
        <v>-425.5612467306025</v>
      </c>
      <c r="I116" s="1"/>
    </row>
    <row r="117">
      <c r="A117" s="1"/>
      <c r="B117" s="31" t="s">
        <v>123</v>
      </c>
      <c r="C117" s="4">
        <f>C92</f>
        <v>744.9530000000001</v>
      </c>
      <c r="D117" s="4">
        <f>D92</f>
        <v>1057.432</v>
      </c>
      <c r="E117" s="4">
        <f>E92</f>
        <v>2815.5290000000005</v>
      </c>
      <c r="F117" s="4">
        <f>F92</f>
        <v>780.4939999999999</v>
      </c>
      <c r="G117" s="4">
        <f>G92</f>
        <v>730.8849999999999</v>
      </c>
      <c r="H117" s="33">
        <f>H111*H114</f>
        <v>419.6740599562664</v>
      </c>
      <c r="I117" s="1"/>
    </row>
    <row r="118">
      <c r="A118" s="1"/>
      <c r="B118" s="31" t="s">
        <v>124</v>
      </c>
      <c r="C118" s="4">
        <f>C99</f>
        <v>62.535000000000004</v>
      </c>
      <c r="D118" s="4">
        <f>D99</f>
        <v>209.877</v>
      </c>
      <c r="E118" s="4">
        <f>E99</f>
        <v>419.743</v>
      </c>
      <c r="F118" s="4">
        <f>F99</f>
        <v>31.973000000000003</v>
      </c>
      <c r="G118" s="4">
        <f>G99</f>
        <v>27.499000000000002</v>
      </c>
      <c r="H118" s="33">
        <f>H111*(1-H114)</f>
        <v>57.228280903127235</v>
      </c>
      <c r="I118" s="1"/>
    </row>
    <row r="119">
      <c r="A119" s="1"/>
      <c r="B119" s="31" t="s">
        <v>125</v>
      </c>
      <c r="C119" s="10"/>
      <c r="D119" s="10"/>
      <c r="E119" s="10"/>
      <c r="F119" s="10"/>
      <c r="G119" s="10"/>
      <c r="H119" s="84">
        <f>'Segment - Real Estate'!H165+'Segment - Private Equity'!H167+'Segment - Credit &amp; Insurance'!H120+'Segment - Multi-Asset Investing'!H114-1+'Segment - Real Estate'!H174+'Segment - Private Equity'!H176+'Segment - Credit &amp; Insurance'!H129+'Segment - Multi-Asset Investing'!H123-1</f>
        <v>0</v>
      </c>
      <c r="I119" s="1"/>
    </row>
    <row r="120">
      <c r="A120" s="1"/>
      <c r="B120" s="1"/>
      <c r="C120" s="3"/>
      <c r="D120" s="3"/>
      <c r="E120" s="3"/>
      <c r="F120" s="3"/>
      <c r="G120" s="3"/>
      <c r="H120" s="37"/>
      <c r="I120" s="1"/>
    </row>
    <row r="121">
      <c r="A121" s="1"/>
      <c r="B121" s="14" t="s">
        <v>126</v>
      </c>
      <c r="C121" s="4"/>
      <c r="D121" s="4"/>
      <c r="E121" s="4"/>
      <c r="F121" s="4"/>
      <c r="G121" s="4"/>
      <c r="H121" s="33"/>
      <c r="I121" s="1"/>
    </row>
    <row r="122">
      <c r="A122" s="1"/>
      <c r="B122" s="1"/>
      <c r="C122" s="1"/>
      <c r="D122" s="1"/>
      <c r="E122" s="1"/>
      <c r="F122" s="1"/>
      <c r="G122" s="1"/>
      <c r="H122" s="97"/>
      <c r="I122" s="1"/>
    </row>
    <row r="123">
      <c r="A123" s="1"/>
      <c r="B123" s="106" t="s">
        <v>127</v>
      </c>
      <c r="C123" s="97"/>
      <c r="D123" s="97"/>
      <c r="E123" s="97"/>
      <c r="F123" s="97"/>
      <c r="G123" s="97"/>
      <c r="H123" s="97"/>
      <c r="I123" s="102"/>
    </row>
    <row r="124">
      <c r="B124" s="101" t="s">
        <v>128</v>
      </c>
      <c r="C124" s="98">
        <f>'Segment - Real Estate'!C58+'Segment - Private Equity'!C58+'Segment - Credit &amp; Insurance'!C58+'Segment - Multi-Asset Investing'!C58</f>
        <v>1241731</v>
      </c>
      <c r="D124" s="98">
        <f>'Segment - Real Estate'!D58+'Segment - Private Equity'!D58+'Segment - Credit &amp; Insurance'!D58+'Segment - Multi-Asset Investing'!D58</f>
        <v>1274930</v>
      </c>
      <c r="E124" s="98">
        <f>'Segment - Real Estate'!E58+'Segment - Private Equity'!E58+'Segment - Credit &amp; Insurance'!E58+'Segment - Multi-Asset Investing'!E58</f>
        <v>1274930</v>
      </c>
      <c r="F124" s="98">
        <f>'Segment - Real Estate'!F58+'Segment - Private Equity'!F58+'Segment - Credit &amp; Insurance'!F58+'Segment - Multi-Asset Investing'!F58</f>
        <v>1304017</v>
      </c>
      <c r="G124" s="98">
        <f>'Segment - Real Estate'!G58+'Segment - Private Equity'!G58+'Segment - Credit &amp; Insurance'!G58+'Segment - Multi-Asset Investing'!G58</f>
        <v>1346265</v>
      </c>
      <c r="H124" s="103">
        <f>'Segment - Real Estate'!H58+'Segment - Private Equity'!H58+'Segment - Credit &amp; Insurance'!H58+'Segment - Multi-Asset Investing'!H58</f>
        <v>1375365</v>
      </c>
      <c r="I124" s="112" t="str">
        <f>"Sum of segment tabs row 58; FY = sum of derived annual rollforwards (not reset to 4Q25); rounding residual E124-D124 = "&amp;TEXT(E124-D124,"+#,##0;-#,##0;0")&amp;"m"</f>
        <v>Sum of segment tabs row 58; FY = sum of derived annual rollforwards (not reset to 4Q25); rounding residual E124-D124 = 0m</v>
      </c>
    </row>
    <row r="125">
      <c r="B125" s="101" t="s">
        <v>129</v>
      </c>
      <c r="C125" s="98">
        <f>'Segment - Real Estate'!C26+'Segment - Private Equity'!C26+'Segment - Credit &amp; Insurance'!C26+'Segment - Multi-Asset Investing'!C26</f>
        <v>906220</v>
      </c>
      <c r="D125" s="98">
        <f>'Segment - Real Estate'!D26+'Segment - Private Equity'!D26+'Segment - Credit &amp; Insurance'!D26+'Segment - Multi-Asset Investing'!D26</f>
        <v>921671</v>
      </c>
      <c r="E125" s="98">
        <f>'Segment - Real Estate'!E26+'Segment - Private Equity'!E26+'Segment - Credit &amp; Insurance'!E26+'Segment - Multi-Asset Investing'!E26</f>
        <v>921672</v>
      </c>
      <c r="F125" s="98">
        <f>'Segment - Real Estate'!F26+'Segment - Private Equity'!F26+'Segment - Credit &amp; Insurance'!F26+'Segment - Multi-Asset Investing'!F26</f>
        <v>937594</v>
      </c>
      <c r="G125" s="98">
        <f>'Segment - Real Estate'!G26+'Segment - Private Equity'!G26+'Segment - Credit &amp; Insurance'!G26+'Segment - Multi-Asset Investing'!G26</f>
        <v>961590</v>
      </c>
      <c r="H125" s="103">
        <f>'Segment - Real Estate'!H26+'Segment - Private Equity'!H26+'Segment - Credit &amp; Insurance'!H26+'Segment - Multi-Asset Investing'!H26</f>
        <v>976160.1094999999</v>
      </c>
      <c r="I125" s="112" t="str">
        <f>"Sum of segment tabs row 26; FY = sum of derived annual rollforwards (not reset to 4Q25); rounding residual E125-D125 = "&amp;TEXT(E125-D125,"+#,##0;-#,##0;0")&amp;"m"</f>
        <v>Sum of segment tabs row 26; FY = sum of derived annual rollforwards (not reset to 4Q25); rounding residual E125-D125 = +1m</v>
      </c>
    </row>
    <row r="126">
      <c r="B126" s="101" t="s">
        <v>130</v>
      </c>
      <c r="C126" s="98">
        <f>'Segment - Real Estate'!C49+'Segment - Private Equity'!C49+'Segment - Credit &amp; Insurance'!C49+'Segment - Multi-Asset Investing'!C49</f>
        <v>43747</v>
      </c>
      <c r="D126" s="98">
        <f>'Segment - Real Estate'!D49+'Segment - Private Equity'!D49+'Segment - Credit &amp; Insurance'!D49+'Segment - Multi-Asset Investing'!D49</f>
        <v>59436</v>
      </c>
      <c r="E126" s="98">
        <f>'Segment - Real Estate'!E49+'Segment - Private Equity'!E49+'Segment - Credit &amp; Insurance'!E49+'Segment - Multi-Asset Investing'!E49</f>
        <v>192260</v>
      </c>
      <c r="F126" s="98">
        <f>'Segment - Real Estate'!F49+'Segment - Private Equity'!F49+'Segment - Credit &amp; Insurance'!F49+'Segment - Multi-Asset Investing'!F49</f>
        <v>52659</v>
      </c>
      <c r="G126" s="98">
        <f>'Segment - Real Estate'!G49+'Segment - Private Equity'!G49+'Segment - Credit &amp; Insurance'!G49+'Segment - Multi-Asset Investing'!G49</f>
        <v>54762</v>
      </c>
      <c r="H126" s="103">
        <f>'Segment - Real Estate'!H49+'Segment - Private Equity'!H49+'Segment - Credit &amp; Insurance'!H49+'Segment - Multi-Asset Investing'!H49</f>
        <v>46100</v>
      </c>
      <c r="I126" s="100" t="s">
        <v>131</v>
      </c>
    </row>
    <row r="127">
      <c r="B127" s="101" t="s">
        <v>132</v>
      </c>
      <c r="C127" s="98">
        <f>'Segment - Real Estate'!C17+'Segment - Private Equity'!C17+'Segment - Credit &amp; Insurance'!C17+'Segment - Multi-Asset Investing'!C17</f>
        <v>31384</v>
      </c>
      <c r="D127" s="98">
        <f>'Segment - Real Estate'!D17+'Segment - Private Equity'!D17+'Segment - Credit &amp; Insurance'!D17+'Segment - Multi-Asset Investing'!D17</f>
        <v>29987</v>
      </c>
      <c r="E127" s="98">
        <f>'Segment - Real Estate'!E17+'Segment - Private Equity'!E17+'Segment - Credit &amp; Insurance'!E17+'Segment - Multi-Asset Investing'!E17</f>
        <v>127119</v>
      </c>
      <c r="F127" s="98">
        <f>'Segment - Real Estate'!F17+'Segment - Private Equity'!F17+'Segment - Credit &amp; Insurance'!F17+'Segment - Multi-Asset Investing'!F17</f>
        <v>28310</v>
      </c>
      <c r="G127" s="98">
        <f>'Segment - Real Estate'!G17+'Segment - Private Equity'!G17+'Segment - Credit &amp; Insurance'!G17+'Segment - Multi-Asset Investing'!G17</f>
        <v>30690</v>
      </c>
      <c r="H127" s="103">
        <f>'Segment - Real Estate'!H17+'Segment - Private Equity'!H17+'Segment - Credit &amp; Insurance'!H17+'Segment - Multi-Asset Investing'!H17</f>
        <v>27570.1095</v>
      </c>
      <c r="I127" s="100" t="s">
        <v>133</v>
      </c>
    </row>
    <row r="128">
      <c r="B128" s="99"/>
      <c r="C128" s="99"/>
      <c r="D128" s="99"/>
      <c r="E128" s="99"/>
      <c r="F128" s="99"/>
      <c r="G128" s="99"/>
      <c r="H128" s="104"/>
      <c r="I128" s="100"/>
    </row>
    <row r="129">
      <c r="B129" s="107" t="s">
        <v>134</v>
      </c>
      <c r="C129" s="99"/>
      <c r="D129" s="99"/>
      <c r="E129" s="99"/>
      <c r="F129" s="99"/>
      <c r="G129" s="99"/>
      <c r="H129" s="104"/>
      <c r="I129" s="100"/>
    </row>
    <row r="130">
      <c r="B130" s="101" t="s">
        <v>135</v>
      </c>
      <c r="C130" s="96" t="s">
        <v>32</v>
      </c>
      <c r="D130" s="96" t="s">
        <v>32</v>
      </c>
      <c r="E130" s="96" t="s">
        <v>32</v>
      </c>
      <c r="F130" s="96" t="s">
        <v>32</v>
      </c>
      <c r="G130" s="96" t="s">
        <v>32</v>
      </c>
      <c r="H130" s="105" t="s">
        <v>32</v>
      </c>
      <c r="I130" s="100" t="s">
        <v>136</v>
      </c>
    </row>
    <row r="131">
      <c r="B131" s="101" t="s">
        <v>137</v>
      </c>
      <c r="C131" s="96" t="s">
        <v>32</v>
      </c>
      <c r="D131" s="96" t="s">
        <v>32</v>
      </c>
      <c r="E131" s="96" t="s">
        <v>32</v>
      </c>
      <c r="F131" s="96" t="s">
        <v>32</v>
      </c>
      <c r="G131" s="96" t="s">
        <v>32</v>
      </c>
      <c r="H131" s="105" t="s">
        <v>32</v>
      </c>
      <c r="I131" s="100" t="s">
        <v>138</v>
      </c>
    </row>
    <row r="132">
      <c r="B132" s="101" t="s">
        <v>139</v>
      </c>
      <c r="C132" s="96" t="s">
        <v>32</v>
      </c>
      <c r="D132" s="96" t="s">
        <v>32</v>
      </c>
      <c r="E132" s="96" t="s">
        <v>32</v>
      </c>
      <c r="F132" s="96" t="s">
        <v>32</v>
      </c>
      <c r="G132" s="96" t="s">
        <v>32</v>
      </c>
      <c r="H132" s="105" t="s">
        <v>32</v>
      </c>
      <c r="I132" s="100" t="s">
        <v>140</v>
      </c>
    </row>
    <row r="133">
      <c r="B133" s="101" t="s">
        <v>141</v>
      </c>
      <c r="C133" s="96" t="s">
        <v>32</v>
      </c>
      <c r="D133" s="96" t="s">
        <v>32</v>
      </c>
      <c r="E133" s="96" t="s">
        <v>32</v>
      </c>
      <c r="F133" s="96" t="s">
        <v>32</v>
      </c>
      <c r="G133" s="96" t="s">
        <v>32</v>
      </c>
      <c r="H133" s="105" t="s">
        <v>32</v>
      </c>
      <c r="I133" s="100" t="s">
        <v>142</v>
      </c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53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2" t="s">
        <v>0</v>
      </c>
      <c r="C2" s="6"/>
      <c r="D2" s="6"/>
      <c r="E2" s="6"/>
      <c r="F2" s="6"/>
      <c r="G2" s="6"/>
      <c r="H2" s="6"/>
      <c r="I2" s="1"/>
    </row>
    <row r="3">
      <c r="A3" s="1"/>
      <c r="B3" s="2" t="s">
        <v>143</v>
      </c>
      <c r="C3" s="6"/>
      <c r="D3" s="6"/>
      <c r="E3" s="6"/>
      <c r="F3" s="6"/>
      <c r="G3" s="6"/>
      <c r="H3" s="6"/>
      <c r="I3" s="1"/>
    </row>
    <row r="4">
      <c r="A4" s="1"/>
      <c r="B4" s="1" t="s">
        <v>2</v>
      </c>
      <c r="C4" s="6"/>
      <c r="D4" s="6"/>
      <c r="E4" s="6"/>
      <c r="F4" s="6"/>
      <c r="G4" s="6"/>
      <c r="H4" s="6"/>
      <c r="I4" s="1"/>
    </row>
    <row r="5">
      <c r="A5" s="1"/>
      <c r="B5" s="29" t="s">
        <v>71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42" t="s">
        <v>4</v>
      </c>
    </row>
    <row r="6">
      <c r="A6" s="1"/>
      <c r="B6" s="19" t="s">
        <v>78</v>
      </c>
      <c r="C6" s="12">
        <v>45930</v>
      </c>
      <c r="D6" s="12">
        <v>46022</v>
      </c>
      <c r="E6" s="12">
        <v>46022</v>
      </c>
      <c r="F6" s="12">
        <v>46112</v>
      </c>
      <c r="G6" s="12">
        <v>46203</v>
      </c>
      <c r="H6" s="12">
        <v>46295</v>
      </c>
      <c r="I6" s="19"/>
    </row>
    <row r="7">
      <c r="A7" s="1"/>
      <c r="B7" s="27" t="s">
        <v>79</v>
      </c>
      <c r="C7" s="20">
        <v>92</v>
      </c>
      <c r="D7" s="20">
        <v>92</v>
      </c>
      <c r="E7" s="20">
        <v>365</v>
      </c>
      <c r="F7" s="20">
        <v>90</v>
      </c>
      <c r="G7" s="20">
        <v>91</v>
      </c>
      <c r="H7" s="20">
        <v>92</v>
      </c>
      <c r="I7" s="27"/>
    </row>
    <row r="8">
      <c r="A8" s="1"/>
      <c r="B8" s="1"/>
      <c r="C8" s="3"/>
      <c r="D8" s="3"/>
      <c r="E8" s="3"/>
      <c r="F8" s="3"/>
      <c r="G8" s="3"/>
      <c r="H8" s="37"/>
      <c r="I8" s="1"/>
    </row>
    <row r="9">
      <c r="A9" s="1"/>
      <c r="B9" s="2" t="s">
        <v>144</v>
      </c>
      <c r="C9" s="4"/>
      <c r="D9" s="4"/>
      <c r="E9" s="4"/>
      <c r="F9" s="4"/>
      <c r="G9" s="4"/>
      <c r="H9" s="33"/>
      <c r="I9" s="1"/>
    </row>
    <row r="10">
      <c r="A10" s="1"/>
      <c r="B10" s="31" t="s">
        <v>145</v>
      </c>
      <c r="C10" s="15">
        <f>Inputs!G117</f>
        <v>285827</v>
      </c>
      <c r="D10" s="4">
        <f>C26</f>
        <v>282579</v>
      </c>
      <c r="E10" s="15">
        <f>Inputs!D117</f>
        <v>278915</v>
      </c>
      <c r="F10" s="4">
        <f>D26</f>
        <v>279426</v>
      </c>
      <c r="G10" s="4">
        <f>F26</f>
        <v>277502</v>
      </c>
      <c r="H10" s="33">
        <f>G26</f>
        <v>277419</v>
      </c>
      <c r="I10" s="8" t="s">
        <v>146</v>
      </c>
    </row>
    <row r="11">
      <c r="A11" s="1"/>
      <c r="B11" s="43" t="s">
        <v>147</v>
      </c>
      <c r="C11" s="26">
        <v>4096</v>
      </c>
      <c r="D11" s="26">
        <v>5599</v>
      </c>
      <c r="E11" s="15">
        <f>Inputs!F119+Inputs!G119+C11+D11</f>
        <v>23255</v>
      </c>
      <c r="F11" s="26">
        <v>5398</v>
      </c>
      <c r="G11" s="26">
        <v>6090</v>
      </c>
      <c r="H11" s="60">
        <v>5500</v>
      </c>
      <c r="I11" s="8" t="s">
        <v>148</v>
      </c>
    </row>
    <row r="12">
      <c r="A12" s="1"/>
      <c r="B12" s="65" t="s">
        <v>82</v>
      </c>
      <c r="C12" s="55">
        <f>IF(Inputs!C119*C11&gt;0,C11/Inputs!C119-1,"n/m")</f>
        <v>-0.35384129988957247</v>
      </c>
      <c r="D12" s="55">
        <f>IF(Inputs!D119*D11&gt;0,D11/Inputs!D119-1,"n/m")</f>
        <v>-0.14714394516374718</v>
      </c>
      <c r="E12" s="55">
        <f>IF(Inputs!E119*E11&gt;0,E11/Inputs!E119-1,"n/m")</f>
        <v>-0.18898653832740464</v>
      </c>
      <c r="F12" s="55">
        <f>IF(Inputs!F119*F11&gt;0,F11/Inputs!F119-1,"n/m")</f>
        <v>-0.09626653273062113</v>
      </c>
      <c r="G12" s="55">
        <f>IF(Inputs!G119*G11&gt;0,G11/Inputs!G119-1,"n/m")</f>
        <v>-0.19731119019375243</v>
      </c>
      <c r="H12" s="56">
        <f>IF(C11*H11&gt;0,H11/C11-1,"n/m")</f>
        <v>0.3427734375</v>
      </c>
      <c r="I12" s="1"/>
    </row>
    <row r="13">
      <c r="A13" s="1"/>
      <c r="B13" s="66" t="s">
        <v>118</v>
      </c>
      <c r="C13" s="15">
        <f>C11-Inputs!G119</f>
        <v>-3491</v>
      </c>
      <c r="D13" s="4">
        <f>D11-C11</f>
        <v>1503</v>
      </c>
      <c r="E13" s="4"/>
      <c r="F13" s="4">
        <f>F11-D11</f>
        <v>-201</v>
      </c>
      <c r="G13" s="4">
        <f>G11-F11</f>
        <v>692</v>
      </c>
      <c r="H13" s="33">
        <f>H11-G11</f>
        <v>-590</v>
      </c>
      <c r="I13" s="1"/>
    </row>
    <row r="14">
      <c r="A14" s="1"/>
      <c r="B14" s="43" t="s">
        <v>149</v>
      </c>
      <c r="C14" s="26">
        <v>-1650</v>
      </c>
      <c r="D14" s="26">
        <v>-1580</v>
      </c>
      <c r="E14" s="15">
        <f>Inputs!F120+Inputs!G120+C14+D14</f>
        <v>-7539</v>
      </c>
      <c r="F14" s="26">
        <v>-1747</v>
      </c>
      <c r="G14" s="26">
        <v>-1106</v>
      </c>
      <c r="H14" s="33">
        <f>-H10*H34</f>
        <v>-1525.8045</v>
      </c>
      <c r="I14" s="8" t="s">
        <v>150</v>
      </c>
    </row>
    <row r="15">
      <c r="A15" s="1"/>
      <c r="B15" s="65" t="s">
        <v>82</v>
      </c>
      <c r="C15" s="55">
        <f>IF(Inputs!C120*C14&gt;0,C14/Inputs!C120-1,"n/m")</f>
        <v>-0.8877932675960558</v>
      </c>
      <c r="D15" s="55">
        <f>IF(Inputs!D120*D14&gt;0,D14/Inputs!D120-1,"n/m")</f>
        <v>-0.06564163217031338</v>
      </c>
      <c r="E15" s="55">
        <f>IF(Inputs!E120*E14&gt;0,E14/Inputs!E120-1,"n/m")</f>
        <v>-0.6751411212134271</v>
      </c>
      <c r="F15" s="55">
        <f>IF(Inputs!F120*F14&gt;0,F14/Inputs!F120-1,"n/m")</f>
        <v>-0.3270416024653313</v>
      </c>
      <c r="G15" s="55">
        <f>IF(Inputs!G120*G14&gt;0,G14/Inputs!G120-1,"n/m")</f>
        <v>-0.35434909515469937</v>
      </c>
      <c r="H15" s="56">
        <f>IF(C14*H14&gt;0,H14/C14-1,"n/m")</f>
        <v>-0.07527000000000006</v>
      </c>
      <c r="I15" s="1"/>
    </row>
    <row r="16">
      <c r="A16" s="1"/>
      <c r="B16" s="66" t="s">
        <v>118</v>
      </c>
      <c r="C16" s="15">
        <f>C14-Inputs!G120</f>
        <v>63</v>
      </c>
      <c r="D16" s="4">
        <f>D14-C14</f>
        <v>70</v>
      </c>
      <c r="E16" s="4"/>
      <c r="F16" s="4">
        <f>F14-D14</f>
        <v>-167</v>
      </c>
      <c r="G16" s="4">
        <f>G14-F14</f>
        <v>641</v>
      </c>
      <c r="H16" s="33">
        <f>H14-G14</f>
        <v>-419.80449999999996</v>
      </c>
      <c r="I16" s="1"/>
    </row>
    <row r="17">
      <c r="A17" s="1"/>
      <c r="B17" s="73" t="s">
        <v>151</v>
      </c>
      <c r="C17" s="32">
        <f>C11+C14</f>
        <v>2446</v>
      </c>
      <c r="D17" s="32">
        <f>D11+D14</f>
        <v>4019</v>
      </c>
      <c r="E17" s="32">
        <f>E11+E14</f>
        <v>15716</v>
      </c>
      <c r="F17" s="32">
        <f>F11+F14</f>
        <v>3651</v>
      </c>
      <c r="G17" s="32">
        <f>G11+G14</f>
        <v>4984</v>
      </c>
      <c r="H17" s="44">
        <f>H11+H14</f>
        <v>3974.1955</v>
      </c>
      <c r="I17" s="1"/>
    </row>
    <row r="18">
      <c r="A18" s="1"/>
      <c r="B18" s="65" t="s">
        <v>82</v>
      </c>
      <c r="C18" s="55" t="str">
        <f>IF(Inputs!C121*C17&gt;0,C17/Inputs!C121-1,"n/m")</f>
        <v>n/m</v>
      </c>
      <c r="D18" s="55">
        <f>IF(Inputs!D121*D17&gt;0,D17/Inputs!D121-1,"n/m")</f>
        <v>-0.17542059909725072</v>
      </c>
      <c r="E18" s="55">
        <f>IF(Inputs!E121*E17&gt;0,E17/Inputs!E121-1,"n/m")</f>
        <v>1.8747027620267058</v>
      </c>
      <c r="F18" s="55">
        <f>IF(Inputs!F121*F17&gt;0,F17/Inputs!F121-1,"n/m")</f>
        <v>0.08113710393840678</v>
      </c>
      <c r="G18" s="55">
        <f>IF(Inputs!G121*G17&gt;0,G17/Inputs!G121-1,"n/m")</f>
        <v>-0.1515151515151515</v>
      </c>
      <c r="H18" s="56">
        <f>IF(C17*H17&gt;0,H17/C17-1,"n/m")</f>
        <v>0.6247733033524121</v>
      </c>
      <c r="I18" s="1"/>
    </row>
    <row r="19">
      <c r="A19" s="1"/>
      <c r="B19" s="66" t="s">
        <v>118</v>
      </c>
      <c r="C19" s="15">
        <f>C17-Inputs!G121</f>
        <v>-3428</v>
      </c>
      <c r="D19" s="4">
        <f>D17-C17</f>
        <v>1573</v>
      </c>
      <c r="E19" s="4"/>
      <c r="F19" s="4">
        <f>F17-D17</f>
        <v>-368</v>
      </c>
      <c r="G19" s="4">
        <f>G17-F17</f>
        <v>1333</v>
      </c>
      <c r="H19" s="33">
        <f>H17-G17</f>
        <v>-1009.8045000000002</v>
      </c>
      <c r="I19" s="1"/>
    </row>
    <row r="20">
      <c r="A20" s="1"/>
      <c r="B20" s="43" t="s">
        <v>152</v>
      </c>
      <c r="C20" s="26">
        <v>-6102</v>
      </c>
      <c r="D20" s="26">
        <v>-8189</v>
      </c>
      <c r="E20" s="15">
        <f>Inputs!F122+Inputs!G122+C20+D20</f>
        <v>-23514</v>
      </c>
      <c r="F20" s="26">
        <v>-5239</v>
      </c>
      <c r="G20" s="26">
        <v>-4474</v>
      </c>
      <c r="H20" s="60">
        <v>-5000</v>
      </c>
      <c r="I20" s="8" t="s">
        <v>153</v>
      </c>
    </row>
    <row r="21">
      <c r="A21" s="1"/>
      <c r="B21" s="65" t="s">
        <v>82</v>
      </c>
      <c r="C21" s="55">
        <f>IF(Inputs!C122*C20&gt;0,C20/Inputs!C122-1,"n/m")</f>
        <v>-0.2143684820393974</v>
      </c>
      <c r="D21" s="55">
        <f>IF(Inputs!D122*D20&gt;0,D20/Inputs!D122-1,"n/m")</f>
        <v>0.3562437893342165</v>
      </c>
      <c r="E21" s="55">
        <f>IF(Inputs!E122*E20&gt;0,E20/Inputs!E122-1,"n/m")</f>
        <v>0.004485454312443959</v>
      </c>
      <c r="F21" s="55">
        <f>IF(Inputs!F122*F20&gt;0,F20/Inputs!F122-1,"n/m")</f>
        <v>0.372543882630338</v>
      </c>
      <c r="G21" s="55">
        <f>IF(Inputs!G122*G20&gt;0,G20/Inputs!G122-1,"n/m")</f>
        <v>-0.1724010358860525</v>
      </c>
      <c r="H21" s="56">
        <f>IF(C20*H20&gt;0,H20/C20-1,"n/m")</f>
        <v>-0.1805965257292691</v>
      </c>
      <c r="I21" s="1"/>
    </row>
    <row r="22">
      <c r="A22" s="1"/>
      <c r="B22" s="66" t="s">
        <v>118</v>
      </c>
      <c r="C22" s="15">
        <f>C20-Inputs!G122</f>
        <v>-696</v>
      </c>
      <c r="D22" s="4">
        <f>D20-C20</f>
        <v>-2087</v>
      </c>
      <c r="E22" s="4"/>
      <c r="F22" s="4">
        <f>F20-D20</f>
        <v>2950</v>
      </c>
      <c r="G22" s="4">
        <f>G20-F20</f>
        <v>765</v>
      </c>
      <c r="H22" s="33">
        <f>H20-G20</f>
        <v>-526</v>
      </c>
      <c r="I22" s="1"/>
    </row>
    <row r="23">
      <c r="A23" s="1"/>
      <c r="B23" s="43" t="s">
        <v>154</v>
      </c>
      <c r="C23" s="26">
        <v>408</v>
      </c>
      <c r="D23" s="26">
        <v>1017</v>
      </c>
      <c r="E23" s="15">
        <f>Inputs!F123+Inputs!G123+C23+D23</f>
        <v>8308</v>
      </c>
      <c r="F23" s="26">
        <v>-336</v>
      </c>
      <c r="G23" s="26">
        <v>-593</v>
      </c>
      <c r="H23" s="60">
        <v>200</v>
      </c>
      <c r="I23" s="8" t="s">
        <v>155</v>
      </c>
    </row>
    <row r="24">
      <c r="A24" s="1"/>
      <c r="B24" s="65" t="s">
        <v>82</v>
      </c>
      <c r="C24" s="55">
        <f>IF(Inputs!C123*C23&gt;0,C23/Inputs!C123-1,"n/m")</f>
        <v>-0.8402505873140172</v>
      </c>
      <c r="D24" s="55" t="str">
        <f>IF(Inputs!D123*D23&gt;0,D23/Inputs!D123-1,"n/m")</f>
        <v>n/m</v>
      </c>
      <c r="E24" s="55" t="str">
        <f>IF(Inputs!E123*E23&gt;0,E23/Inputs!E123-1,"n/m")</f>
        <v>n/m</v>
      </c>
      <c r="F24" s="55" t="str">
        <f>IF(Inputs!F123*F23&gt;0,F23/Inputs!F123-1,"n/m")</f>
        <v>n/m</v>
      </c>
      <c r="G24" s="55" t="str">
        <f>IF(Inputs!G123*G23&gt;0,G23/Inputs!G123-1,"n/m")</f>
        <v>n/m</v>
      </c>
      <c r="H24" s="56">
        <f>IF(C23*H23&gt;0,H23/C23-1,"n/m")</f>
        <v>-0.5098039215686274</v>
      </c>
      <c r="I24" s="1"/>
    </row>
    <row r="25">
      <c r="A25" s="1"/>
      <c r="B25" s="66" t="s">
        <v>118</v>
      </c>
      <c r="C25" s="15">
        <f>C23-Inputs!G123</f>
        <v>-2889</v>
      </c>
      <c r="D25" s="4">
        <f>D23-C23</f>
        <v>609</v>
      </c>
      <c r="E25" s="4"/>
      <c r="F25" s="4">
        <f>F23-D23</f>
        <v>-1353</v>
      </c>
      <c r="G25" s="4">
        <f>G23-F23</f>
        <v>-257</v>
      </c>
      <c r="H25" s="33">
        <f>H23-G23</f>
        <v>793</v>
      </c>
      <c r="I25" s="1"/>
    </row>
    <row r="26">
      <c r="A26" s="1"/>
      <c r="B26" s="54" t="s">
        <v>156</v>
      </c>
      <c r="C26" s="32">
        <f>C10+C17+C20+C23</f>
        <v>282579</v>
      </c>
      <c r="D26" s="32">
        <f>D10+D17+D20+D23</f>
        <v>279426</v>
      </c>
      <c r="E26" s="32">
        <f>E10+E17+E20+E23</f>
        <v>279425</v>
      </c>
      <c r="F26" s="32">
        <f>F10+F17+F20+F23</f>
        <v>277502</v>
      </c>
      <c r="G26" s="32">
        <f>G10+G17+G20+G23</f>
        <v>277419</v>
      </c>
      <c r="H26" s="44">
        <f>H10+H17+H20+H23</f>
        <v>276593.1955</v>
      </c>
      <c r="I26" s="112" t="str">
        <f>"FY25 (E26) = derived annual rollforward (4Q24 closing + sum of four rounded quarterly flows), not reset to the 4Q25 quarterly-rollforward closing (D26); rounding residual E26-D26 = "&amp;TEXT(E26-D26,"+#,##0;-#,##0;0")&amp;"m; reported 12/31/25 stock in E29"</f>
        <v>FY25 (E26) = derived annual rollforward (4Q24 closing + sum of four rounded quarterly flows), not reset to the 4Q25 quarterly-rollforward closing (D26); rounding residual E26-D26 = -1m; reported 12/31/25 stock in E29</v>
      </c>
    </row>
    <row r="27">
      <c r="A27" s="1"/>
      <c r="B27" s="61" t="s">
        <v>82</v>
      </c>
      <c r="C27" s="55">
        <f>IF(Inputs!C117*C26&gt;0,C26/Inputs!C117-1,"n/m")</f>
        <v>-0.010189570139550574</v>
      </c>
      <c r="D27" s="55">
        <f>IF(Inputs!D117*D26&gt;0,D26/Inputs!D117-1,"n/m")</f>
        <v>0.0018320993851173029</v>
      </c>
      <c r="E27" s="55">
        <f>IF(Inputs!E117*E26&gt;0,E26/Inputs!E117-1,"n/m")</f>
        <v>0.0018285140634244357</v>
      </c>
      <c r="F27" s="55">
        <f>IF(Inputs!F117*F26&gt;0,F26/Inputs!F117-1,"n/m")</f>
        <v>-0.01615968233709142</v>
      </c>
      <c r="G27" s="55">
        <f>IF(Inputs!G117*G26&gt;0,G26/Inputs!G117-1,"n/m")</f>
        <v>-0.02941639523208095</v>
      </c>
      <c r="H27" s="56">
        <f>IF(C26*H26&gt;0,H26/C26-1,"n/m")</f>
        <v>-0.021182764819749567</v>
      </c>
      <c r="I27" s="1"/>
    </row>
    <row r="28">
      <c r="A28" s="1"/>
      <c r="B28" s="43" t="s">
        <v>118</v>
      </c>
      <c r="C28" s="15">
        <f>C26-Inputs!G117</f>
        <v>-3248</v>
      </c>
      <c r="D28" s="4">
        <f>D26-C26</f>
        <v>-3153</v>
      </c>
      <c r="E28" s="4"/>
      <c r="F28" s="4">
        <f>F26-D26</f>
        <v>-1924</v>
      </c>
      <c r="G28" s="4">
        <f>G26-F26</f>
        <v>-83</v>
      </c>
      <c r="H28" s="33">
        <f>H26-G26</f>
        <v>-825.8045000000275</v>
      </c>
      <c r="I28" s="1"/>
    </row>
    <row r="29">
      <c r="A29" s="1"/>
      <c r="B29" s="43" t="s">
        <v>157</v>
      </c>
      <c r="C29" s="26">
        <v>282579.289</v>
      </c>
      <c r="D29" s="26">
        <v>279427.148</v>
      </c>
      <c r="E29" s="4">
        <f>D29</f>
        <v>279427.148</v>
      </c>
      <c r="F29" s="26">
        <v>277502.688</v>
      </c>
      <c r="G29" s="26">
        <v>277420.42</v>
      </c>
      <c r="H29" s="33"/>
      <c r="I29" s="8" t="s">
        <v>158</v>
      </c>
    </row>
    <row r="30">
      <c r="A30" s="1"/>
      <c r="B30" s="43" t="s">
        <v>159</v>
      </c>
      <c r="C30" s="4">
        <f>IF(ABS(C26-C29)&lt;=5,0,C26-C29)</f>
        <v>0</v>
      </c>
      <c r="D30" s="4">
        <f>IF(ABS(D26-D29)&lt;=5,0,D26-D29)</f>
        <v>0</v>
      </c>
      <c r="E30" s="4">
        <f>IF(ABS(E26-E29)&lt;=5,0,E26-E29)</f>
        <v>0</v>
      </c>
      <c r="F30" s="4">
        <f>IF(ABS(F26-F29)&lt;=5,0,F26-F29)</f>
        <v>0</v>
      </c>
      <c r="G30" s="4">
        <f>IF(ABS(G26-G29)&lt;=5,0,G26-G29)</f>
        <v>0</v>
      </c>
      <c r="H30" s="33"/>
      <c r="I30" s="8" t="s">
        <v>160</v>
      </c>
    </row>
    <row r="31">
      <c r="A31" s="1"/>
      <c r="B31" s="31" t="s">
        <v>161</v>
      </c>
      <c r="C31" s="26">
        <v>284202.982</v>
      </c>
      <c r="D31" s="26">
        <v>281003.218</v>
      </c>
      <c r="E31" s="26">
        <v>281761.708</v>
      </c>
      <c r="F31" s="26">
        <v>278464.918</v>
      </c>
      <c r="G31" s="26">
        <v>277461.553</v>
      </c>
      <c r="H31" s="33">
        <f>AVERAGE(H10,H26)</f>
        <v>277006.09774999996</v>
      </c>
      <c r="I31" s="8" t="s">
        <v>162</v>
      </c>
    </row>
    <row r="32">
      <c r="A32" s="1"/>
      <c r="B32" s="61" t="s">
        <v>82</v>
      </c>
      <c r="C32" s="55">
        <f>IF(Inputs!C124*C31&gt;0,C31/Inputs!C124-1,"n/m")</f>
        <v>-0.02762507673324499</v>
      </c>
      <c r="D32" s="55">
        <f>IF(Inputs!D124*D31&gt;0,D31/Inputs!D124-1,"n/m")</f>
        <v>-0.004246214051033426</v>
      </c>
      <c r="E32" s="55">
        <f>IF(Inputs!E124*E31&gt;0,E31/Inputs!E124-1,"n/m")</f>
        <v>-0.03766115316724283</v>
      </c>
      <c r="F32" s="55">
        <f>IF(Inputs!F124*F31&gt;0,F31/Inputs!F124-1,"n/m")</f>
        <v>-0.007211702735840375</v>
      </c>
      <c r="G32" s="55">
        <f>IF(Inputs!G124*G31&gt;0,G31/Inputs!G124-1,"n/m")</f>
        <v>-0.022828577343327883</v>
      </c>
      <c r="H32" s="56">
        <f>IF(C31*H31&gt;0,H31/C31-1,"n/m")</f>
        <v>-0.02532304270473862</v>
      </c>
      <c r="I32" s="1"/>
    </row>
    <row r="33">
      <c r="A33" s="1"/>
      <c r="B33" s="43" t="s">
        <v>118</v>
      </c>
      <c r="C33" s="15">
        <f>C31-Inputs!G124</f>
        <v>259.4010000000126</v>
      </c>
      <c r="D33" s="4">
        <f>D31-C31</f>
        <v>-3199.7640000000247</v>
      </c>
      <c r="E33" s="4"/>
      <c r="F33" s="4">
        <f>F31-D31</f>
        <v>-2538.2999999999884</v>
      </c>
      <c r="G33" s="4">
        <f>G31-F31</f>
        <v>-1003.3649999999907</v>
      </c>
      <c r="H33" s="33">
        <f>H31-G31</f>
        <v>-455.4552500000573</v>
      </c>
      <c r="I33" s="1"/>
    </row>
    <row r="34">
      <c r="A34" s="1"/>
      <c r="B34" s="40" t="s">
        <v>163</v>
      </c>
      <c r="C34" s="58">
        <f>-C14/C10</f>
        <v>0.005772722660910271</v>
      </c>
      <c r="D34" s="58">
        <f>-D14/D10</f>
        <v>0.005591356753332696</v>
      </c>
      <c r="E34" s="58">
        <f>-E14/E10</f>
        <v>0.027029740243443342</v>
      </c>
      <c r="F34" s="58">
        <f>-F14/F10</f>
        <v>0.006252102524460859</v>
      </c>
      <c r="G34" s="58">
        <f>-G14/G10</f>
        <v>0.003985556860851453</v>
      </c>
      <c r="H34" s="71">
        <v>0.0055</v>
      </c>
      <c r="I34" s="8" t="s">
        <v>164</v>
      </c>
    </row>
    <row r="35">
      <c r="A35" s="1"/>
      <c r="B35" s="43" t="s">
        <v>121</v>
      </c>
      <c r="C35" s="57">
        <f>IFERROR((C34-(-Inputs!G120/Inputs!G118))*10000,"n/m")</f>
        <v>-3.004532591067465</v>
      </c>
      <c r="D35" s="62">
        <f>IFERROR((D34-C34)*10000,"n/m")</f>
        <v>-1.813659075775749</v>
      </c>
      <c r="E35" s="62"/>
      <c r="F35" s="62">
        <f>IFERROR((F34-D34)*10000,"n/m")</f>
        <v>6.607457711281629</v>
      </c>
      <c r="G35" s="62">
        <f>IFERROR((G34-F34)*10000,"n/m")</f>
        <v>-22.66545663609406</v>
      </c>
      <c r="H35" s="59">
        <f>IFERROR((H34-G34)*10000,"n/m")</f>
        <v>15.144431391485467</v>
      </c>
      <c r="I35" s="1"/>
    </row>
    <row r="36">
      <c r="A36" s="1"/>
      <c r="B36" s="43" t="s">
        <v>122</v>
      </c>
      <c r="C36" s="57">
        <f>IFERROR((C34-(-Inputs!C120/Inputs!C118))*10000,"n/m")</f>
        <v>-433.97025822702045</v>
      </c>
      <c r="D36" s="57">
        <f>IFERROR((D34-(-Inputs!D120/Inputs!D118))*10000,"n/m")</f>
        <v>-3.3183441407188834</v>
      </c>
      <c r="E36" s="57">
        <f>IFERROR((E34-(-Inputs!E120/Inputs!E118))*10000,"n/m")</f>
        <v>-506.1446881075403</v>
      </c>
      <c r="F36" s="57">
        <f>IFERROR((F34-(-Inputs!F120/Inputs!F118))*10000,"n/m")</f>
        <v>-30.55392590538334</v>
      </c>
      <c r="G36" s="57">
        <f>IFERROR((G34-(-Inputs!G120/Inputs!G118))*10000,"n/m")</f>
        <v>-20.876190591655647</v>
      </c>
      <c r="H36" s="59">
        <f>IFERROR((H34-C34)*10000,"n/m")</f>
        <v>-2.7272266091027135</v>
      </c>
      <c r="I36" s="1"/>
    </row>
    <row r="37">
      <c r="A37" s="1"/>
      <c r="B37" s="40" t="s">
        <v>165</v>
      </c>
      <c r="C37" s="58">
        <f>C17/C10</f>
        <v>0.008557624017325165</v>
      </c>
      <c r="D37" s="58">
        <f>D17/D10</f>
        <v>0.014222571387116523</v>
      </c>
      <c r="E37" s="58">
        <f>E17/E10</f>
        <v>0.056346915727013606</v>
      </c>
      <c r="F37" s="58">
        <f>F17/F10</f>
        <v>0.01306607116016405</v>
      </c>
      <c r="G37" s="58">
        <f>G17/G10</f>
        <v>0.01796023091725465</v>
      </c>
      <c r="H37" s="56">
        <f>H17/H10</f>
        <v>0.014325606753683056</v>
      </c>
      <c r="I37" s="111" t="s">
        <v>166</v>
      </c>
    </row>
    <row r="38">
      <c r="A38" s="1"/>
      <c r="B38" s="43" t="s">
        <v>121</v>
      </c>
      <c r="C38" s="57">
        <f>IFERROR((C37-(Inputs!G121/Inputs!G118))*10000,"n/m")</f>
        <v>-122.67732289843521</v>
      </c>
      <c r="D38" s="62">
        <f>IFERROR((D37-C37)*10000,"n/m")</f>
        <v>56.64947369791357</v>
      </c>
      <c r="E38" s="62"/>
      <c r="F38" s="62">
        <f>IFERROR((F37-D37)*10000,"n/m")</f>
        <v>-11.56500226952472</v>
      </c>
      <c r="G38" s="62">
        <f>IFERROR((G37-F37)*10000,"n/m")</f>
        <v>48.941597570906005</v>
      </c>
      <c r="H38" s="59">
        <f>IFERROR((H37-G37)*10000,"n/m")</f>
        <v>-36.34624163571595</v>
      </c>
      <c r="I38" s="1"/>
    </row>
    <row r="39">
      <c r="A39" s="1"/>
      <c r="B39" s="43" t="s">
        <v>122</v>
      </c>
      <c r="C39" s="57">
        <f>IFERROR((C37-(Inputs!C121/Inputs!C118))*10000,"n/m")</f>
        <v>365.3138231816846</v>
      </c>
      <c r="D39" s="57">
        <f>IFERROR((D37-(Inputs!D121/Inputs!D118))*10000,"n/m")</f>
        <v>-28.49950049861563</v>
      </c>
      <c r="E39" s="57">
        <f>IFERROR((E37-(Inputs!E121/Inputs!E118))*10000,"n/m")</f>
        <v>380.55844459753854</v>
      </c>
      <c r="F39" s="57">
        <f>IFERROR((F37-(Inputs!F121/Inputs!F118))*10000,"n/m")</f>
        <v>9.584398029405232</v>
      </c>
      <c r="G39" s="57">
        <f>IFERROR((G37-(Inputs!G121/Inputs!G118))*10000,"n/m")</f>
        <v>-28.651253899140347</v>
      </c>
      <c r="H39" s="59">
        <f>IFERROR((H37-C37)*10000,"n/m")</f>
        <v>57.67982736357891</v>
      </c>
      <c r="I39" s="1"/>
    </row>
    <row r="40">
      <c r="A40" s="1"/>
      <c r="B40" s="1"/>
      <c r="C40" s="3"/>
      <c r="D40" s="3"/>
      <c r="E40" s="3"/>
      <c r="F40" s="3"/>
      <c r="G40" s="3"/>
      <c r="H40" s="37"/>
      <c r="I40" s="1"/>
    </row>
    <row r="41">
      <c r="A41" s="1"/>
      <c r="B41" s="2" t="s">
        <v>167</v>
      </c>
      <c r="C41" s="4"/>
      <c r="D41" s="4"/>
      <c r="E41" s="4"/>
      <c r="F41" s="4"/>
      <c r="G41" s="4"/>
      <c r="H41" s="33"/>
      <c r="I41" s="1"/>
    </row>
    <row r="42">
      <c r="A42" s="1"/>
      <c r="B42" s="31" t="s">
        <v>168</v>
      </c>
      <c r="C42" s="15">
        <f>Inputs!G125</f>
        <v>324995</v>
      </c>
      <c r="D42" s="4">
        <f>C58</f>
        <v>320491</v>
      </c>
      <c r="E42" s="15">
        <f>Inputs!D125</f>
        <v>315353</v>
      </c>
      <c r="F42" s="4">
        <f>D58</f>
        <v>319343</v>
      </c>
      <c r="G42" s="4">
        <f>F58</f>
        <v>315285</v>
      </c>
      <c r="H42" s="33">
        <f>G58</f>
        <v>314151</v>
      </c>
      <c r="I42" s="1"/>
    </row>
    <row r="43">
      <c r="A43" s="1"/>
      <c r="B43" s="43" t="s">
        <v>169</v>
      </c>
      <c r="C43" s="26">
        <v>3819</v>
      </c>
      <c r="D43" s="26">
        <v>8310</v>
      </c>
      <c r="E43" s="15">
        <f>Inputs!F127+Inputs!G127+C43+D43</f>
        <v>25527</v>
      </c>
      <c r="F43" s="26">
        <v>6777</v>
      </c>
      <c r="G43" s="26">
        <v>8193</v>
      </c>
      <c r="H43" s="60">
        <v>7000</v>
      </c>
      <c r="I43" s="1"/>
    </row>
    <row r="44">
      <c r="A44" s="1"/>
      <c r="B44" s="65" t="s">
        <v>82</v>
      </c>
      <c r="C44" s="55">
        <f>IF(Inputs!C127*C43&gt;0,C43/Inputs!C127-1,"n/m")</f>
        <v>-0.3455012853470437</v>
      </c>
      <c r="D44" s="55">
        <f>IF(Inputs!D127*D43&gt;0,D43/Inputs!D127-1,"n/m")</f>
        <v>0.026686434395848835</v>
      </c>
      <c r="E44" s="55">
        <f>IF(Inputs!E127*E43&gt;0,E43/Inputs!E127-1,"n/m")</f>
        <v>-0.0863963351347482</v>
      </c>
      <c r="F44" s="55">
        <f>IF(Inputs!F127*F43&gt;0,F43/Inputs!F127-1,"n/m")</f>
        <v>0.09731217616580312</v>
      </c>
      <c r="G44" s="55">
        <f>IF(Inputs!G127*G43&gt;0,G43/Inputs!G127-1,"n/m")</f>
        <v>0.13445029077817772</v>
      </c>
      <c r="H44" s="56">
        <f>IF(C43*H43&gt;0,H43/C43-1,"n/m")</f>
        <v>0.8329405603561142</v>
      </c>
      <c r="I44" s="1"/>
    </row>
    <row r="45">
      <c r="A45" s="1"/>
      <c r="B45" s="66" t="s">
        <v>118</v>
      </c>
      <c r="C45" s="15">
        <f>C43-Inputs!G127</f>
        <v>-3403</v>
      </c>
      <c r="D45" s="4">
        <f>D43-C43</f>
        <v>4491</v>
      </c>
      <c r="E45" s="4"/>
      <c r="F45" s="4">
        <f>F43-D43</f>
        <v>-1533</v>
      </c>
      <c r="G45" s="4">
        <f>G43-F43</f>
        <v>1416</v>
      </c>
      <c r="H45" s="33">
        <f>H43-G43</f>
        <v>-1193</v>
      </c>
      <c r="I45" s="1"/>
    </row>
    <row r="46">
      <c r="A46" s="1"/>
      <c r="B46" s="43" t="s">
        <v>170</v>
      </c>
      <c r="C46" s="26">
        <v>-1611</v>
      </c>
      <c r="D46" s="26">
        <v>-2374</v>
      </c>
      <c r="E46" s="15">
        <f>Inputs!F128+Inputs!G128+C46+D46</f>
        <v>-8544</v>
      </c>
      <c r="F46" s="26">
        <v>-2845</v>
      </c>
      <c r="G46" s="26">
        <v>-2157</v>
      </c>
      <c r="H46" s="60">
        <v>-2300</v>
      </c>
      <c r="I46" s="1"/>
    </row>
    <row r="47">
      <c r="A47" s="1"/>
      <c r="B47" s="65" t="s">
        <v>82</v>
      </c>
      <c r="C47" s="55">
        <f>IF(Inputs!C128*C46&gt;0,C46/Inputs!C128-1,"n/m")</f>
        <v>-0.8898536852181047</v>
      </c>
      <c r="D47" s="55">
        <f>IF(Inputs!D128*D46&gt;0,D46/Inputs!D128-1,"n/m")</f>
        <v>-0.2208729898260584</v>
      </c>
      <c r="E47" s="55">
        <f>IF(Inputs!E128*E46&gt;0,E46/Inputs!E128-1,"n/m")</f>
        <v>-0.6518762987409852</v>
      </c>
      <c r="F47" s="55">
        <f>IF(Inputs!F128*F46&gt;0,F46/Inputs!F128-1,"n/m")</f>
        <v>0.0631539611360239</v>
      </c>
      <c r="G47" s="55">
        <f>IF(Inputs!G128*G46&gt;0,G46/Inputs!G128-1,"n/m")</f>
        <v>0.14551248008497075</v>
      </c>
      <c r="H47" s="56">
        <f>IF(C46*H46&gt;0,H46/C46-1,"n/m")</f>
        <v>0.42768466790813164</v>
      </c>
      <c r="I47" s="1"/>
    </row>
    <row r="48">
      <c r="A48" s="1"/>
      <c r="B48" s="66" t="s">
        <v>118</v>
      </c>
      <c r="C48" s="15">
        <f>C46-Inputs!G128</f>
        <v>272</v>
      </c>
      <c r="D48" s="4">
        <f>D46-C46</f>
        <v>-763</v>
      </c>
      <c r="E48" s="4"/>
      <c r="F48" s="4">
        <f>F46-D46</f>
        <v>-471</v>
      </c>
      <c r="G48" s="4">
        <f>G46-F46</f>
        <v>688</v>
      </c>
      <c r="H48" s="33">
        <f>H46-G46</f>
        <v>-143</v>
      </c>
      <c r="I48" s="1"/>
    </row>
    <row r="49">
      <c r="A49" s="1"/>
      <c r="B49" s="73" t="s">
        <v>151</v>
      </c>
      <c r="C49" s="32">
        <f>C43+C46</f>
        <v>2208</v>
      </c>
      <c r="D49" s="32">
        <f>D43+D46</f>
        <v>5936</v>
      </c>
      <c r="E49" s="32">
        <f>E43+E46</f>
        <v>16983</v>
      </c>
      <c r="F49" s="32">
        <f>F43+F46</f>
        <v>3932</v>
      </c>
      <c r="G49" s="32">
        <f>G43+G46</f>
        <v>6036</v>
      </c>
      <c r="H49" s="44">
        <f>H43+H46</f>
        <v>4700</v>
      </c>
      <c r="I49" s="1"/>
    </row>
    <row r="50">
      <c r="A50" s="1"/>
      <c r="B50" s="65" t="s">
        <v>82</v>
      </c>
      <c r="C50" s="55" t="str">
        <f>IF(Inputs!C129*C49&gt;0,C49/Inputs!C129-1,"n/m")</f>
        <v>n/m</v>
      </c>
      <c r="D50" s="55">
        <f>IF(Inputs!D129*D49&gt;0,D49/Inputs!D129-1,"n/m")</f>
        <v>0.17614424410540908</v>
      </c>
      <c r="E50" s="55">
        <f>IF(Inputs!E129*E49&gt;0,E49/Inputs!E129-1,"n/m")</f>
        <v>3.9979399646851093</v>
      </c>
      <c r="F50" s="55">
        <f>IF(Inputs!F129*F49&gt;0,F49/Inputs!F129-1,"n/m")</f>
        <v>0.12342857142857144</v>
      </c>
      <c r="G50" s="55">
        <f>IF(Inputs!G129*G49&gt;0,G49/Inputs!G129-1,"n/m")</f>
        <v>0.13054879190859703</v>
      </c>
      <c r="H50" s="56">
        <f>IF(C49*H49&gt;0,H49/C49-1,"n/m")</f>
        <v>1.128623188405797</v>
      </c>
      <c r="I50" s="1"/>
    </row>
    <row r="51">
      <c r="A51" s="1"/>
      <c r="B51" s="66" t="s">
        <v>118</v>
      </c>
      <c r="C51" s="15">
        <f>C49-Inputs!G129</f>
        <v>-3131</v>
      </c>
      <c r="D51" s="4">
        <f>D49-C49</f>
        <v>3728</v>
      </c>
      <c r="E51" s="4"/>
      <c r="F51" s="4">
        <f>F49-D49</f>
        <v>-2004</v>
      </c>
      <c r="G51" s="4">
        <f>G49-F49</f>
        <v>2104</v>
      </c>
      <c r="H51" s="33">
        <f>H49-G49</f>
        <v>-1336</v>
      </c>
      <c r="I51" s="1"/>
    </row>
    <row r="52">
      <c r="A52" s="1"/>
      <c r="B52" s="43" t="s">
        <v>152</v>
      </c>
      <c r="C52" s="26">
        <v>-7349</v>
      </c>
      <c r="D52" s="26">
        <v>-8646</v>
      </c>
      <c r="E52" s="15">
        <f>Inputs!F130+Inputs!G130+C52+D52</f>
        <v>-25550</v>
      </c>
      <c r="F52" s="26">
        <v>-7039</v>
      </c>
      <c r="G52" s="26">
        <v>-6615</v>
      </c>
      <c r="H52" s="60">
        <v>-6500</v>
      </c>
      <c r="I52" s="1"/>
    </row>
    <row r="53">
      <c r="A53" s="1"/>
      <c r="B53" s="65" t="s">
        <v>82</v>
      </c>
      <c r="C53" s="55">
        <f>IF(Inputs!C130*C52&gt;0,C52/Inputs!C130-1,"n/m")</f>
        <v>-0.0075624577987846164</v>
      </c>
      <c r="D53" s="55">
        <f>IF(Inputs!D130*D52&gt;0,D52/Inputs!D130-1,"n/m")</f>
        <v>0.5843870258383728</v>
      </c>
      <c r="E53" s="55">
        <f>IF(Inputs!E130*E52&gt;0,E52/Inputs!E130-1,"n/m")</f>
        <v>0.15277025807615963</v>
      </c>
      <c r="F53" s="55">
        <f>IF(Inputs!F130*F52&gt;0,F52/Inputs!F130-1,"n/m")</f>
        <v>0.6346957733395262</v>
      </c>
      <c r="G53" s="55">
        <f>IF(Inputs!G130*G52&gt;0,G52/Inputs!G130-1,"n/m")</f>
        <v>0.26024004572299475</v>
      </c>
      <c r="H53" s="56">
        <f>IF(C52*H52&gt;0,H52/C52-1,"n/m")</f>
        <v>-0.11552592189413524</v>
      </c>
      <c r="I53" s="1"/>
    </row>
    <row r="54">
      <c r="A54" s="1"/>
      <c r="B54" s="66" t="s">
        <v>118</v>
      </c>
      <c r="C54" s="15">
        <f>C52-Inputs!G130</f>
        <v>-2100</v>
      </c>
      <c r="D54" s="4">
        <f>D52-C52</f>
        <v>-1297</v>
      </c>
      <c r="E54" s="4"/>
      <c r="F54" s="4">
        <f>F52-D52</f>
        <v>1607</v>
      </c>
      <c r="G54" s="4">
        <f>G52-F52</f>
        <v>424</v>
      </c>
      <c r="H54" s="33">
        <f>H52-G52</f>
        <v>115</v>
      </c>
      <c r="I54" s="1"/>
    </row>
    <row r="55">
      <c r="A55" s="1"/>
      <c r="B55" s="43" t="s">
        <v>154</v>
      </c>
      <c r="C55" s="26">
        <v>637</v>
      </c>
      <c r="D55" s="26">
        <v>1562</v>
      </c>
      <c r="E55" s="15">
        <f>Inputs!F131+Inputs!G131+C55+D55</f>
        <v>12557</v>
      </c>
      <c r="F55" s="26">
        <v>-951</v>
      </c>
      <c r="G55" s="26">
        <v>-555</v>
      </c>
      <c r="H55" s="60">
        <v>500</v>
      </c>
      <c r="I55" s="1"/>
    </row>
    <row r="56">
      <c r="A56" s="1"/>
      <c r="B56" s="65" t="s">
        <v>82</v>
      </c>
      <c r="C56" s="55">
        <f>IF(Inputs!C131*C55&gt;0,C55/Inputs!C131-1,"n/m")</f>
        <v>-0.8768129955521176</v>
      </c>
      <c r="D56" s="55" t="str">
        <f>IF(Inputs!D131*D55&gt;0,D55/Inputs!D131-1,"n/m")</f>
        <v>n/m</v>
      </c>
      <c r="E56" s="55" t="str">
        <f>IF(Inputs!E131*E55&gt;0,E55/Inputs!E131-1,"n/m")</f>
        <v>n/m</v>
      </c>
      <c r="F56" s="55" t="str">
        <f>IF(Inputs!F131*F55&gt;0,F55/Inputs!F131-1,"n/m")</f>
        <v>n/m</v>
      </c>
      <c r="G56" s="55" t="str">
        <f>IF(Inputs!G131*G55&gt;0,G55/Inputs!G131-1,"n/m")</f>
        <v>n/m</v>
      </c>
      <c r="H56" s="56">
        <f>IF(C55*H55&gt;0,H55/C55-1,"n/m")</f>
        <v>-0.21507064364207218</v>
      </c>
      <c r="I56" s="1"/>
    </row>
    <row r="57">
      <c r="A57" s="1"/>
      <c r="B57" s="66" t="s">
        <v>118</v>
      </c>
      <c r="C57" s="15">
        <f>C55-Inputs!G131</f>
        <v>-4279</v>
      </c>
      <c r="D57" s="4">
        <f>D55-C55</f>
        <v>925</v>
      </c>
      <c r="E57" s="4"/>
      <c r="F57" s="4">
        <f>F55-D55</f>
        <v>-2513</v>
      </c>
      <c r="G57" s="4">
        <f>G55-F55</f>
        <v>396</v>
      </c>
      <c r="H57" s="33">
        <f>H55-G55</f>
        <v>1055</v>
      </c>
      <c r="I57" s="1"/>
    </row>
    <row r="58">
      <c r="A58" s="1"/>
      <c r="B58" s="54" t="s">
        <v>128</v>
      </c>
      <c r="C58" s="32">
        <f>C42+C49+C52+C55</f>
        <v>320491</v>
      </c>
      <c r="D58" s="32">
        <f>D42+D49+D52+D55</f>
        <v>319343</v>
      </c>
      <c r="E58" s="32">
        <f>E42+E49+E52+E55</f>
        <v>319343</v>
      </c>
      <c r="F58" s="32">
        <f>F42+F49+F52+F55</f>
        <v>315285</v>
      </c>
      <c r="G58" s="32">
        <f>G42+G49+G52+G55</f>
        <v>314151</v>
      </c>
      <c r="H58" s="44">
        <f>H42+H49+H52+H55</f>
        <v>312851</v>
      </c>
      <c r="I58" s="112" t="str">
        <f>"FY25 (E58) = derived annual rollforward (4Q24 closing + sum of four rounded quarterly flows), not reset to the 4Q25 quarterly-rollforward closing (D58); rounding residual E58-D58 = "&amp;TEXT(E58-D58,"+#,##0;-#,##0;0")&amp;"m; reported 12/31/25 stock in E61"</f>
        <v>FY25 (E58) = derived annual rollforward (4Q24 closing + sum of four rounded quarterly flows), not reset to the 4Q25 quarterly-rollforward closing (D58); rounding residual E58-D58 = 0m; reported 12/31/25 stock in E61</v>
      </c>
    </row>
    <row r="59">
      <c r="A59" s="1"/>
      <c r="B59" s="61" t="s">
        <v>82</v>
      </c>
      <c r="C59" s="55">
        <f>IF(Inputs!C125*C58&gt;0,C58/Inputs!C125-1,"n/m")</f>
        <v>-0.014104394049391566</v>
      </c>
      <c r="D59" s="55">
        <f>IF(Inputs!D125*D58&gt;0,D58/Inputs!D125-1,"n/m")</f>
        <v>0.012652487846952498</v>
      </c>
      <c r="E59" s="55">
        <f>IF(Inputs!E125*E58&gt;0,E58/Inputs!E125-1,"n/m")</f>
        <v>0.012652487846952498</v>
      </c>
      <c r="F59" s="55">
        <f>IF(Inputs!F125*F58&gt;0,F58/Inputs!F125-1,"n/m")</f>
        <v>-0.014700505329870661</v>
      </c>
      <c r="G59" s="55">
        <f>IF(Inputs!G125*G58&gt;0,G58/Inputs!G125-1,"n/m")</f>
        <v>-0.0333666671794951</v>
      </c>
      <c r="H59" s="56">
        <f>IF(C58*H58&gt;0,H58/C58-1,"n/m")</f>
        <v>-0.023838422919832403</v>
      </c>
      <c r="I59" s="1"/>
    </row>
    <row r="60">
      <c r="A60" s="1"/>
      <c r="B60" s="43" t="s">
        <v>118</v>
      </c>
      <c r="C60" s="15">
        <f>C58-Inputs!G125</f>
        <v>-4504</v>
      </c>
      <c r="D60" s="4">
        <f>D58-C58</f>
        <v>-1148</v>
      </c>
      <c r="E60" s="4"/>
      <c r="F60" s="4">
        <f>F58-D58</f>
        <v>-4058</v>
      </c>
      <c r="G60" s="4">
        <f>G58-F58</f>
        <v>-1134</v>
      </c>
      <c r="H60" s="33">
        <f>H58-G58</f>
        <v>-1300</v>
      </c>
      <c r="I60" s="1"/>
    </row>
    <row r="61">
      <c r="A61" s="1"/>
      <c r="B61" s="43" t="s">
        <v>171</v>
      </c>
      <c r="C61" s="26">
        <v>320490.495</v>
      </c>
      <c r="D61" s="26">
        <v>319342.875</v>
      </c>
      <c r="E61" s="4">
        <f>D61</f>
        <v>319342.875</v>
      </c>
      <c r="F61" s="26">
        <v>315284.316</v>
      </c>
      <c r="G61" s="26">
        <v>314149.797</v>
      </c>
      <c r="H61" s="33"/>
      <c r="I61" s="1"/>
    </row>
    <row r="62">
      <c r="A62" s="1"/>
      <c r="B62" s="43" t="s">
        <v>159</v>
      </c>
      <c r="C62" s="4">
        <f>IF(ABS(C58-C61)&lt;=5,0,C58-C61)</f>
        <v>0</v>
      </c>
      <c r="D62" s="4">
        <f>IF(ABS(D58-D61)&lt;=5,0,D58-D61)</f>
        <v>0</v>
      </c>
      <c r="E62" s="4">
        <f>IF(ABS(E58-E61)&lt;=5,0,E58-E61)</f>
        <v>0</v>
      </c>
      <c r="F62" s="4">
        <f>IF(ABS(F58-F61)&lt;=5,0,F58-F61)</f>
        <v>0</v>
      </c>
      <c r="G62" s="4">
        <f>IF(ABS(G58-G61)&lt;=5,0,G58-G61)</f>
        <v>0</v>
      </c>
      <c r="H62" s="33"/>
      <c r="I62" s="8" t="s">
        <v>172</v>
      </c>
    </row>
    <row r="63">
      <c r="A63" s="1"/>
      <c r="B63" s="40" t="s">
        <v>173</v>
      </c>
      <c r="C63" s="58">
        <f>C26/C58</f>
        <v>0.8817065065789679</v>
      </c>
      <c r="D63" s="58">
        <f>D26/D58</f>
        <v>0.8750027400005637</v>
      </c>
      <c r="E63" s="58">
        <f>E26/E58</f>
        <v>0.8749996085713481</v>
      </c>
      <c r="F63" s="58">
        <f>F26/F58</f>
        <v>0.8801623927557607</v>
      </c>
      <c r="G63" s="58">
        <f>G26/G58</f>
        <v>0.8830753363828223</v>
      </c>
      <c r="H63" s="56">
        <f>H26/H58</f>
        <v>0.8841051986408864</v>
      </c>
      <c r="I63" s="1"/>
    </row>
    <row r="64">
      <c r="A64" s="1"/>
      <c r="B64" s="43" t="s">
        <v>121</v>
      </c>
      <c r="C64" s="57">
        <f>IFERROR((C63-(Inputs!G117/Inputs!G125))*10000,"n/m")</f>
        <v>22.252837909250147</v>
      </c>
      <c r="D64" s="62">
        <f>IFERROR((D63-C63)*10000,"n/m")</f>
        <v>-67.03766578404213</v>
      </c>
      <c r="E64" s="62"/>
      <c r="F64" s="62">
        <f>IFERROR((F63-D63)*10000,"n/m")</f>
        <v>51.596527551970304</v>
      </c>
      <c r="G64" s="62">
        <f>IFERROR((G63-F63)*10000,"n/m")</f>
        <v>29.12943627061626</v>
      </c>
      <c r="H64" s="59">
        <f>IFERROR((H63-G63)*10000,"n/m")</f>
        <v>10.298622580641181</v>
      </c>
      <c r="I64" s="1"/>
    </row>
    <row r="65">
      <c r="A65" s="1"/>
      <c r="B65" s="43" t="s">
        <v>122</v>
      </c>
      <c r="C65" s="57">
        <f>IFERROR((C63-(Inputs!C117/Inputs!C125))*10000,"n/m")</f>
        <v>34.87259387541908</v>
      </c>
      <c r="D65" s="57">
        <f>IFERROR((D63-(Inputs!D117/Inputs!D125))*10000,"n/m")</f>
        <v>-94.5055519561333</v>
      </c>
      <c r="E65" s="57">
        <f>IFERROR((E63-(Inputs!E117/Inputs!E125))*10000,"n/m")</f>
        <v>-94.53686624828927</v>
      </c>
      <c r="F65" s="57">
        <f>IFERROR((F63-(Inputs!F117/Inputs!F125))*10000,"n/m")</f>
        <v>-13.05407699879968</v>
      </c>
      <c r="G65" s="57">
        <f>IFERROR((G63-(Inputs!G117/Inputs!G125))*10000,"n/m")</f>
        <v>35.94113594779458</v>
      </c>
      <c r="H65" s="59">
        <f>IFERROR((H63-C63)*10000,"n/m")</f>
        <v>23.986920619185614</v>
      </c>
      <c r="I65" s="1"/>
    </row>
    <row r="66">
      <c r="A66" s="1"/>
      <c r="B66" s="1"/>
      <c r="C66" s="3"/>
      <c r="D66" s="3"/>
      <c r="E66" s="3"/>
      <c r="F66" s="3"/>
      <c r="G66" s="3"/>
      <c r="H66" s="37"/>
      <c r="I66" s="1"/>
    </row>
    <row r="67">
      <c r="A67" s="1"/>
      <c r="B67" s="2" t="s">
        <v>174</v>
      </c>
      <c r="C67" s="4"/>
      <c r="D67" s="4"/>
      <c r="E67" s="4"/>
      <c r="F67" s="4"/>
      <c r="G67" s="4"/>
      <c r="H67" s="33"/>
      <c r="I67" s="1"/>
    </row>
    <row r="68">
      <c r="A68" s="1"/>
      <c r="B68" s="31" t="s">
        <v>175</v>
      </c>
      <c r="C68" s="4">
        <f>C43</f>
        <v>3819</v>
      </c>
      <c r="D68" s="4">
        <f>D43</f>
        <v>8310</v>
      </c>
      <c r="E68" s="4">
        <f>E43</f>
        <v>25527</v>
      </c>
      <c r="F68" s="4">
        <f>F43</f>
        <v>6777</v>
      </c>
      <c r="G68" s="4">
        <f>G43</f>
        <v>8193</v>
      </c>
      <c r="H68" s="33">
        <f>H43</f>
        <v>7000</v>
      </c>
      <c r="I68" s="8" t="s">
        <v>176</v>
      </c>
    </row>
    <row r="69">
      <c r="A69" s="1"/>
      <c r="B69" s="43" t="s">
        <v>177</v>
      </c>
      <c r="C69" s="26">
        <v>123</v>
      </c>
      <c r="D69" s="26">
        <v>543</v>
      </c>
      <c r="E69" s="15">
        <f>Inputs!F132+Inputs!G132+C69+D69</f>
        <v>2756</v>
      </c>
      <c r="F69" s="26">
        <v>370</v>
      </c>
      <c r="G69" s="26">
        <v>1319</v>
      </c>
      <c r="H69" s="33">
        <f>H68*(C69+D69+F69+G69)/(C68+D68+F68+G68)</f>
        <v>608.3250304439279</v>
      </c>
      <c r="I69" s="8" t="s">
        <v>178</v>
      </c>
    </row>
    <row r="70">
      <c r="A70" s="1"/>
      <c r="B70" s="65" t="s">
        <v>82</v>
      </c>
      <c r="C70" s="55">
        <f>IF(Inputs!C132*C69&gt;0,C69/Inputs!C132-1,"n/m")</f>
        <v>-0.7783783783783784</v>
      </c>
      <c r="D70" s="55">
        <f>IF(Inputs!D132*D69&gt;0,D69/Inputs!D132-1,"n/m")</f>
        <v>-0.635814889336016</v>
      </c>
      <c r="E70" s="55">
        <f>IF(Inputs!E132*E69&gt;0,E69/Inputs!E132-1,"n/m")</f>
        <v>-0.4520874751491054</v>
      </c>
      <c r="F70" s="55">
        <f>IF(Inputs!F132*F69&gt;0,F69/Inputs!F132-1,"n/m")</f>
        <v>-0.7832454598711189</v>
      </c>
      <c r="G70" s="55">
        <f>IF(Inputs!G132*G69&gt;0,G69/Inputs!G132-1,"n/m")</f>
        <v>2.4438642297650133</v>
      </c>
      <c r="H70" s="56">
        <f>IF(C69*H69&gt;0,H69/C69-1,"n/m")</f>
        <v>3.9457319548286813</v>
      </c>
      <c r="I70" s="1"/>
    </row>
    <row r="71">
      <c r="A71" s="1"/>
      <c r="B71" s="66" t="s">
        <v>118</v>
      </c>
      <c r="C71" s="15">
        <f>C69-Inputs!G132</f>
        <v>-260</v>
      </c>
      <c r="D71" s="4">
        <f>D69-C69</f>
        <v>420</v>
      </c>
      <c r="E71" s="4"/>
      <c r="F71" s="4">
        <f>F69-D69</f>
        <v>-173</v>
      </c>
      <c r="G71" s="4">
        <f>G69-F69</f>
        <v>949</v>
      </c>
      <c r="H71" s="33">
        <f>H69-G69</f>
        <v>-710.6749695560721</v>
      </c>
      <c r="I71" s="1"/>
    </row>
    <row r="72">
      <c r="A72" s="1"/>
      <c r="B72" s="43" t="s">
        <v>179</v>
      </c>
      <c r="C72" s="26">
        <v>2623</v>
      </c>
      <c r="D72" s="26">
        <v>3121</v>
      </c>
      <c r="E72" s="15">
        <f>Inputs!F133+Inputs!G133+C72+D72</f>
        <v>13582</v>
      </c>
      <c r="F72" s="26">
        <v>3020</v>
      </c>
      <c r="G72" s="26">
        <v>4733</v>
      </c>
      <c r="H72" s="33">
        <f>H68*(C72+D72+F72+G72)/(C68+D68+F68+G68)</f>
        <v>3486.4386139709954</v>
      </c>
      <c r="I72" s="8" t="s">
        <v>178</v>
      </c>
    </row>
    <row r="73">
      <c r="A73" s="1"/>
      <c r="B73" s="65" t="s">
        <v>82</v>
      </c>
      <c r="C73" s="55">
        <f>IF(Inputs!C133*C72&gt;0,C72/Inputs!C133-1,"n/m")</f>
        <v>-0.2916554145287604</v>
      </c>
      <c r="D73" s="55">
        <f>IF(Inputs!D133*D72&gt;0,D72/Inputs!D133-1,"n/m")</f>
        <v>0.05367994598244419</v>
      </c>
      <c r="E73" s="55">
        <f>IF(Inputs!E133*E72&gt;0,E72/Inputs!E133-1,"n/m")</f>
        <v>0.175421895283427</v>
      </c>
      <c r="F73" s="55">
        <f>IF(Inputs!F133*F72&gt;0,F72/Inputs!F133-1,"n/m")</f>
        <v>-0.1009228937183686</v>
      </c>
      <c r="G73" s="55">
        <f>IF(Inputs!G133*G72&gt;0,G72/Inputs!G133-1,"n/m")</f>
        <v>0.056709086849743295</v>
      </c>
      <c r="H73" s="56">
        <f>IF(C72*H72&gt;0,H72/C72-1,"n/m")</f>
        <v>0.32917979945520215</v>
      </c>
      <c r="I73" s="1"/>
    </row>
    <row r="74">
      <c r="A74" s="1"/>
      <c r="B74" s="66" t="s">
        <v>118</v>
      </c>
      <c r="C74" s="15">
        <f>C72-Inputs!G133</f>
        <v>-1856</v>
      </c>
      <c r="D74" s="4">
        <f>D72-C72</f>
        <v>498</v>
      </c>
      <c r="E74" s="4"/>
      <c r="F74" s="4">
        <f>F72-D72</f>
        <v>-101</v>
      </c>
      <c r="G74" s="4">
        <f>G72-F72</f>
        <v>1713</v>
      </c>
      <c r="H74" s="33">
        <f>H72-G72</f>
        <v>-1246.5613860290046</v>
      </c>
      <c r="I74" s="1"/>
    </row>
    <row r="75">
      <c r="A75" s="1"/>
      <c r="B75" s="43" t="s">
        <v>180</v>
      </c>
      <c r="C75" s="26">
        <v>1072</v>
      </c>
      <c r="D75" s="26">
        <v>4646</v>
      </c>
      <c r="E75" s="15">
        <f>Inputs!F134+Inputs!G134+C75+D75</f>
        <v>9187</v>
      </c>
      <c r="F75" s="26">
        <v>3386</v>
      </c>
      <c r="G75" s="26">
        <v>2140</v>
      </c>
      <c r="H75" s="33">
        <f>H68*(C75+D75+F75+G75)/(C68+D68+F68+G68)</f>
        <v>2904.4614192405625</v>
      </c>
      <c r="I75" s="8" t="s">
        <v>178</v>
      </c>
    </row>
    <row r="76">
      <c r="A76" s="1"/>
      <c r="B76" s="65" t="s">
        <v>82</v>
      </c>
      <c r="C76" s="55">
        <f>IF(Inputs!C134*C75&gt;0,C75/Inputs!C134-1,"n/m")</f>
        <v>-0.3202282815472416</v>
      </c>
      <c r="D76" s="55">
        <f>IF(Inputs!D134*D75&gt;0,D75/Inputs!D134-1,"n/m")</f>
        <v>0.2756727073036793</v>
      </c>
      <c r="E76" s="55">
        <f>IF(Inputs!E134*E75&gt;0,E75/Inputs!E134-1,"n/m")</f>
        <v>-0.19100035223670309</v>
      </c>
      <c r="F76" s="55">
        <f>IF(Inputs!F134*F75&gt;0,F75/Inputs!F134-1,"n/m")</f>
        <v>2.053201082055906</v>
      </c>
      <c r="G76" s="55">
        <f>IF(Inputs!G134*G75&gt;0,G75/Inputs!G134-1,"n/m")</f>
        <v>-0.09322033898305082</v>
      </c>
      <c r="H76" s="56">
        <f>IF(C75*H75&gt;0,H75/C75-1,"n/m")</f>
        <v>1.709385652276644</v>
      </c>
      <c r="I76" s="1"/>
    </row>
    <row r="77">
      <c r="A77" s="1"/>
      <c r="B77" s="66" t="s">
        <v>118</v>
      </c>
      <c r="C77" s="15">
        <f>C75-Inputs!G134</f>
        <v>-1288</v>
      </c>
      <c r="D77" s="4">
        <f>D75-C75</f>
        <v>3574</v>
      </c>
      <c r="E77" s="4"/>
      <c r="F77" s="4">
        <f>F75-D75</f>
        <v>-1260</v>
      </c>
      <c r="G77" s="4">
        <f>G75-F75</f>
        <v>-1246</v>
      </c>
      <c r="H77" s="33">
        <f>H75-G75</f>
        <v>764.4614192405625</v>
      </c>
      <c r="I77" s="1"/>
    </row>
    <row r="78">
      <c r="A78" s="1"/>
      <c r="B78" s="31" t="s">
        <v>181</v>
      </c>
      <c r="C78" s="26">
        <v>3611.577</v>
      </c>
      <c r="D78" s="26">
        <v>5461.491</v>
      </c>
      <c r="E78" s="15">
        <f>Inputs!F135+Inputs!G135+C78+D78</f>
        <v>20473.984000000004</v>
      </c>
      <c r="F78" s="26">
        <v>7002.095</v>
      </c>
      <c r="G78" s="26">
        <v>5815.351</v>
      </c>
      <c r="H78" s="60">
        <v>5000</v>
      </c>
      <c r="I78" s="8" t="s">
        <v>182</v>
      </c>
    </row>
    <row r="79">
      <c r="A79" s="1"/>
      <c r="B79" s="61" t="s">
        <v>82</v>
      </c>
      <c r="C79" s="55">
        <f>IF(Inputs!C135*C78&gt;0,C78/Inputs!C135-1,"n/m")</f>
        <v>-0.011948290281570295</v>
      </c>
      <c r="D79" s="55">
        <f>IF(Inputs!D135*D78&gt;0,D78/Inputs!D135-1,"n/m")</f>
        <v>-0.22140458758325376</v>
      </c>
      <c r="E79" s="55">
        <f>IF(Inputs!E135*E78&gt;0,E78/Inputs!E135-1,"n/m")</f>
        <v>-0.1901184083887879</v>
      </c>
      <c r="F79" s="55">
        <f>IF(Inputs!F135*F78&gt;0,F78/Inputs!F135-1,"n/m")</f>
        <v>0.3380436851386297</v>
      </c>
      <c r="G79" s="55">
        <f>IF(Inputs!G135*G78&gt;0,G78/Inputs!G135-1,"n/m")</f>
        <v>-0.05714828160040686</v>
      </c>
      <c r="H79" s="56">
        <f>IF(C78*H78&gt;0,H78/C78-1,"n/m")</f>
        <v>0.38443677097290174</v>
      </c>
      <c r="I79" s="1"/>
    </row>
    <row r="80">
      <c r="A80" s="1"/>
      <c r="B80" s="43" t="s">
        <v>118</v>
      </c>
      <c r="C80" s="15">
        <f>C78-Inputs!G135</f>
        <v>-2556.255</v>
      </c>
      <c r="D80" s="4">
        <f>D78-C78</f>
        <v>1849.9139999999998</v>
      </c>
      <c r="E80" s="4"/>
      <c r="F80" s="4">
        <f>F78-D78</f>
        <v>1540.6040000000003</v>
      </c>
      <c r="G80" s="4">
        <f>G78-F78</f>
        <v>-1186.7440000000006</v>
      </c>
      <c r="H80" s="33">
        <f>H78-G78</f>
        <v>-815.3509999999997</v>
      </c>
      <c r="I80" s="1"/>
    </row>
    <row r="81">
      <c r="A81" s="1"/>
      <c r="B81" s="43" t="s">
        <v>183</v>
      </c>
      <c r="C81" s="26">
        <v>1471</v>
      </c>
      <c r="D81" s="26">
        <v>1523</v>
      </c>
      <c r="E81" s="15">
        <f>Inputs!F136+Inputs!G136+C81+D81</f>
        <v>6871</v>
      </c>
      <c r="F81" s="26">
        <v>2241</v>
      </c>
      <c r="G81" s="26">
        <v>2542</v>
      </c>
      <c r="H81" s="33">
        <f>H78*(C81+D81+F81+G81)/(C78+D78+F78+G78)</f>
        <v>1776.3401992296756</v>
      </c>
      <c r="I81" s="8" t="s">
        <v>178</v>
      </c>
    </row>
    <row r="82">
      <c r="A82" s="1"/>
      <c r="B82" s="65" t="s">
        <v>82</v>
      </c>
      <c r="C82" s="55">
        <f>IF(Inputs!C136*C81&gt;0,C81/Inputs!C136-1,"n/m")</f>
        <v>-0.09975520195838439</v>
      </c>
      <c r="D82" s="55">
        <f>IF(Inputs!D136*D81&gt;0,D81/Inputs!D136-1,"n/m")</f>
        <v>-0.6742942686056459</v>
      </c>
      <c r="E82" s="55">
        <f>IF(Inputs!E136*E81&gt;0,E81/Inputs!E136-1,"n/m")</f>
        <v>-0.5020653670555837</v>
      </c>
      <c r="F82" s="55">
        <f>IF(Inputs!F136*F81&gt;0,F81/Inputs!F136-1,"n/m")</f>
        <v>-0.15338118624858332</v>
      </c>
      <c r="G82" s="55">
        <f>IF(Inputs!G136*G81&gt;0,G81/Inputs!G136-1,"n/m")</f>
        <v>1.0666666666666669</v>
      </c>
      <c r="H82" s="56">
        <f>IF(C81*H81&gt;0,H81/C81-1,"n/m")</f>
        <v>0.20757321497598613</v>
      </c>
      <c r="I82" s="1"/>
    </row>
    <row r="83">
      <c r="A83" s="1"/>
      <c r="B83" s="66" t="s">
        <v>118</v>
      </c>
      <c r="C83" s="15">
        <f>C81-Inputs!G136</f>
        <v>241</v>
      </c>
      <c r="D83" s="4">
        <f>D81-C81</f>
        <v>52</v>
      </c>
      <c r="E83" s="4"/>
      <c r="F83" s="4">
        <f>F81-D81</f>
        <v>718</v>
      </c>
      <c r="G83" s="4">
        <f>G81-F81</f>
        <v>301</v>
      </c>
      <c r="H83" s="33">
        <f>H81-G81</f>
        <v>-765.6598007703244</v>
      </c>
      <c r="I83" s="1"/>
    </row>
    <row r="84">
      <c r="A84" s="1"/>
      <c r="B84" s="43" t="s">
        <v>184</v>
      </c>
      <c r="C84" s="26">
        <v>615</v>
      </c>
      <c r="D84" s="26">
        <v>1103</v>
      </c>
      <c r="E84" s="15">
        <f>Inputs!F137+Inputs!G137+C84+D84</f>
        <v>5183</v>
      </c>
      <c r="F84" s="26">
        <v>610</v>
      </c>
      <c r="G84" s="26">
        <v>772</v>
      </c>
      <c r="H84" s="33">
        <f>H78*(C84+D84+F84+G84)/(C78+D78+F78+G78)</f>
        <v>708.069257761604</v>
      </c>
      <c r="I84" s="8" t="s">
        <v>178</v>
      </c>
    </row>
    <row r="85">
      <c r="A85" s="1"/>
      <c r="B85" s="65" t="s">
        <v>82</v>
      </c>
      <c r="C85" s="55">
        <f>IF(Inputs!C137*C84&gt;0,C84/Inputs!C137-1,"n/m")</f>
        <v>-0.1733870967741935</v>
      </c>
      <c r="D85" s="55">
        <f>IF(Inputs!D137*D84&gt;0,D84/Inputs!D137-1,"n/m")</f>
        <v>0.6078717201166182</v>
      </c>
      <c r="E85" s="55">
        <f>IF(Inputs!E137*E84&gt;0,E84/Inputs!E137-1,"n/m")</f>
        <v>0.39892037786774637</v>
      </c>
      <c r="F85" s="55">
        <f>IF(Inputs!F137*F84&gt;0,F84/Inputs!F137-1,"n/m")</f>
        <v>-0.6206467661691542</v>
      </c>
      <c r="G85" s="55">
        <f>IF(Inputs!G137*G84&gt;0,G84/Inputs!G137-1,"n/m")</f>
        <v>-0.5842757135164243</v>
      </c>
      <c r="H85" s="56">
        <f>IF(C84*H84&gt;0,H84/C84-1,"n/m")</f>
        <v>0.15133212644163252</v>
      </c>
      <c r="I85" s="1"/>
    </row>
    <row r="86">
      <c r="A86" s="1"/>
      <c r="B86" s="66" t="s">
        <v>118</v>
      </c>
      <c r="C86" s="15">
        <f>C84-Inputs!G137</f>
        <v>-1242</v>
      </c>
      <c r="D86" s="4">
        <f>D84-C84</f>
        <v>488</v>
      </c>
      <c r="E86" s="4"/>
      <c r="F86" s="4">
        <f>F84-D84</f>
        <v>-493</v>
      </c>
      <c r="G86" s="4">
        <f>G84-F84</f>
        <v>162</v>
      </c>
      <c r="H86" s="33">
        <f>H84-G84</f>
        <v>-63.930742238395965</v>
      </c>
      <c r="I86" s="1"/>
    </row>
    <row r="87">
      <c r="A87" s="1"/>
      <c r="B87" s="43" t="s">
        <v>185</v>
      </c>
      <c r="C87" s="26">
        <v>1525</v>
      </c>
      <c r="D87" s="26">
        <v>2835</v>
      </c>
      <c r="E87" s="15">
        <f>Inputs!F138+Inputs!G138+C87+D87</f>
        <v>8419</v>
      </c>
      <c r="F87" s="26">
        <v>4152</v>
      </c>
      <c r="G87" s="26">
        <v>2501</v>
      </c>
      <c r="H87" s="33">
        <f>H78*(C87+D87+F87+G87)/(C78+D78+F78+G78)</f>
        <v>2515.473140557595</v>
      </c>
      <c r="I87" s="8" t="s">
        <v>178</v>
      </c>
    </row>
    <row r="88">
      <c r="A88" s="1"/>
      <c r="B88" s="65" t="s">
        <v>82</v>
      </c>
      <c r="C88" s="55">
        <f>IF(Inputs!C138*C87&gt;0,C87/Inputs!C138-1,"n/m")</f>
        <v>0.19420516836335167</v>
      </c>
      <c r="D88" s="55">
        <f>IF(Inputs!D138*D87&gt;0,D87/Inputs!D138-1,"n/m")</f>
        <v>0.7150635208711433</v>
      </c>
      <c r="E88" s="55">
        <f>IF(Inputs!E138*E87&gt;0,E87/Inputs!E138-1,"n/m")</f>
        <v>0.08255111225408251</v>
      </c>
      <c r="F88" s="55">
        <f>IF(Inputs!F138*F87&gt;0,F87/Inputs!F138-1,"n/m")</f>
        <v>3.2453987730061353</v>
      </c>
      <c r="G88" s="55">
        <f>IF(Inputs!G138*G87&gt;0,G87/Inputs!G138-1,"n/m")</f>
        <v>-0.18825056799740347</v>
      </c>
      <c r="H88" s="56">
        <f>IF(C87*H87&gt;0,H87/C87-1,"n/m")</f>
        <v>0.6494905839721934</v>
      </c>
      <c r="I88" s="1"/>
    </row>
    <row r="89">
      <c r="A89" s="1"/>
      <c r="B89" s="66" t="s">
        <v>118</v>
      </c>
      <c r="C89" s="15">
        <f>C87-Inputs!G138</f>
        <v>-1556</v>
      </c>
      <c r="D89" s="4">
        <f>D87-C87</f>
        <v>1310</v>
      </c>
      <c r="E89" s="4"/>
      <c r="F89" s="4">
        <f>F87-D87</f>
        <v>1317</v>
      </c>
      <c r="G89" s="4">
        <f>G87-F87</f>
        <v>-1651</v>
      </c>
      <c r="H89" s="33">
        <f>H87-G87</f>
        <v>14.473140557594888</v>
      </c>
      <c r="I89" s="1"/>
    </row>
    <row r="90">
      <c r="A90" s="1"/>
      <c r="B90" s="31" t="s">
        <v>186</v>
      </c>
      <c r="C90" s="4">
        <f>-C52</f>
        <v>7349</v>
      </c>
      <c r="D90" s="4">
        <f>-D52</f>
        <v>8646</v>
      </c>
      <c r="E90" s="4">
        <f>-E52</f>
        <v>25550</v>
      </c>
      <c r="F90" s="4">
        <f>-F52</f>
        <v>7039</v>
      </c>
      <c r="G90" s="4">
        <f>-G52</f>
        <v>6615</v>
      </c>
      <c r="H90" s="33">
        <f>-H52</f>
        <v>6500</v>
      </c>
      <c r="I90" s="8" t="s">
        <v>187</v>
      </c>
    </row>
    <row r="91">
      <c r="A91" s="1"/>
      <c r="B91" s="43" t="s">
        <v>188</v>
      </c>
      <c r="C91" s="26">
        <v>2766</v>
      </c>
      <c r="D91" s="26">
        <v>3103</v>
      </c>
      <c r="E91" s="15">
        <f>Inputs!F139+Inputs!G139+C91+D91</f>
        <v>7309</v>
      </c>
      <c r="F91" s="26">
        <v>2207</v>
      </c>
      <c r="G91" s="26">
        <v>2715</v>
      </c>
      <c r="H91" s="33">
        <f>H90*(C91+D91+F91+G91)/(C90+D90+F90+G90)</f>
        <v>2365.729029646868</v>
      </c>
      <c r="I91" s="8" t="s">
        <v>178</v>
      </c>
    </row>
    <row r="92">
      <c r="A92" s="1"/>
      <c r="B92" s="65" t="s">
        <v>82</v>
      </c>
      <c r="C92" s="55">
        <f>IF(Inputs!C139*C91&gt;0,C91/Inputs!C139-1,"n/m")</f>
        <v>0.551318003365115</v>
      </c>
      <c r="D92" s="55">
        <f>IF(Inputs!D139*D91&gt;0,D91/Inputs!D139-1,"n/m")</f>
        <v>2.0243664717348926</v>
      </c>
      <c r="E92" s="55">
        <f>IF(Inputs!E139*E91&gt;0,E91/Inputs!E139-1,"n/m")</f>
        <v>0.9053701772679874</v>
      </c>
      <c r="F92" s="55">
        <f>IF(Inputs!F139*F91&gt;0,F91/Inputs!F139-1,"n/m")</f>
        <v>1.7450248756218905</v>
      </c>
      <c r="G92" s="55">
        <f>IF(Inputs!G139*G91&gt;0,G91/Inputs!G139-1,"n/m")</f>
        <v>3.268867924528302</v>
      </c>
      <c r="H92" s="56">
        <f>IF(C91*H91&gt;0,H91/C91-1,"n/m")</f>
        <v>-0.14471112449498624</v>
      </c>
      <c r="I92" s="1"/>
    </row>
    <row r="93">
      <c r="A93" s="1"/>
      <c r="B93" s="66" t="s">
        <v>118</v>
      </c>
      <c r="C93" s="15">
        <f>C91-Inputs!G139</f>
        <v>2130</v>
      </c>
      <c r="D93" s="4">
        <f>D91-C91</f>
        <v>337</v>
      </c>
      <c r="E93" s="4"/>
      <c r="F93" s="4">
        <f>F91-D91</f>
        <v>-896</v>
      </c>
      <c r="G93" s="4">
        <f>G91-F91</f>
        <v>508</v>
      </c>
      <c r="H93" s="33">
        <f>H91-G91</f>
        <v>-349.2709703531318</v>
      </c>
      <c r="I93" s="1"/>
    </row>
    <row r="94">
      <c r="A94" s="1"/>
      <c r="B94" s="43" t="s">
        <v>189</v>
      </c>
      <c r="C94" s="26">
        <v>2036</v>
      </c>
      <c r="D94" s="26">
        <v>2223</v>
      </c>
      <c r="E94" s="15">
        <f>Inputs!F140+Inputs!G140+C94+D94</f>
        <v>7718</v>
      </c>
      <c r="F94" s="26">
        <v>2043</v>
      </c>
      <c r="G94" s="26">
        <v>2018</v>
      </c>
      <c r="H94" s="33">
        <f>H90*(C94+D94+F94+G94)/(C90+D90+F90+G90)</f>
        <v>1824.007555060879</v>
      </c>
      <c r="I94" s="8" t="s">
        <v>178</v>
      </c>
    </row>
    <row r="95">
      <c r="A95" s="1"/>
      <c r="B95" s="65" t="s">
        <v>82</v>
      </c>
      <c r="C95" s="55">
        <f>IF(Inputs!C140*C94&gt;0,C94/Inputs!C140-1,"n/m")</f>
        <v>-0.3760343242414955</v>
      </c>
      <c r="D95" s="55">
        <f>IF(Inputs!D140*D94&gt;0,D94/Inputs!D140-1,"n/m")</f>
        <v>-0.013753327417923678</v>
      </c>
      <c r="E95" s="55">
        <f>IF(Inputs!E140*E94&gt;0,E94/Inputs!E140-1,"n/m")</f>
        <v>-0.23975571315996846</v>
      </c>
      <c r="F95" s="55">
        <f>IF(Inputs!F140*F94&gt;0,F94/Inputs!F140-1,"n/m")</f>
        <v>0.5500758725341426</v>
      </c>
      <c r="G95" s="55">
        <f>IF(Inputs!G140*G94&gt;0,G94/Inputs!G140-1,"n/m")</f>
        <v>-0.0574497898178421</v>
      </c>
      <c r="H95" s="56">
        <f>IF(C94*H94&gt;0,H94/C94-1,"n/m")</f>
        <v>-0.10412202600153286</v>
      </c>
      <c r="I95" s="1"/>
    </row>
    <row r="96">
      <c r="A96" s="1"/>
      <c r="B96" s="66" t="s">
        <v>118</v>
      </c>
      <c r="C96" s="15">
        <f>C94-Inputs!G140</f>
        <v>-105</v>
      </c>
      <c r="D96" s="4">
        <f>D94-C94</f>
        <v>187</v>
      </c>
      <c r="E96" s="4"/>
      <c r="F96" s="4">
        <f>F94-D94</f>
        <v>-180</v>
      </c>
      <c r="G96" s="4">
        <f>G94-F94</f>
        <v>-25</v>
      </c>
      <c r="H96" s="33">
        <f>H94-G94</f>
        <v>-193.99244493912101</v>
      </c>
      <c r="I96" s="1"/>
    </row>
    <row r="97">
      <c r="A97" s="1"/>
      <c r="B97" s="43" t="s">
        <v>190</v>
      </c>
      <c r="C97" s="26">
        <v>2547</v>
      </c>
      <c r="D97" s="26">
        <v>3320</v>
      </c>
      <c r="E97" s="15">
        <f>Inputs!F141+Inputs!G141+C97+D97</f>
        <v>10523</v>
      </c>
      <c r="F97" s="26">
        <v>2789</v>
      </c>
      <c r="G97" s="26">
        <v>1882</v>
      </c>
      <c r="H97" s="33">
        <f>H90*(C97+D97+F97+G97)/(C90+D90+F90+G90)</f>
        <v>2310.263415292253</v>
      </c>
      <c r="I97" s="8" t="s">
        <v>178</v>
      </c>
    </row>
    <row r="98">
      <c r="A98" s="1"/>
      <c r="B98" s="65" t="s">
        <v>82</v>
      </c>
      <c r="C98" s="55">
        <f>IF(Inputs!C141*C97&gt;0,C97/Inputs!C141-1,"n/m")</f>
        <v>0.07969478592624002</v>
      </c>
      <c r="D98" s="55">
        <f>IF(Inputs!D141*D97&gt;0,D97/Inputs!D141-1,"n/m")</f>
        <v>0.5250344510794671</v>
      </c>
      <c r="E98" s="55">
        <f>IF(Inputs!E141*E97&gt;0,E97/Inputs!E141-1,"n/m")</f>
        <v>0.2869022869022868</v>
      </c>
      <c r="F98" s="55">
        <f>IF(Inputs!F141*F97&gt;0,F97/Inputs!F141-1,"n/m")</f>
        <v>0.2770146520146519</v>
      </c>
      <c r="G98" s="55">
        <f>IF(Inputs!G141*G97&gt;0,G97/Inputs!G141-1,"n/m")</f>
        <v>-0.23867313915857602</v>
      </c>
      <c r="H98" s="56">
        <f>IF(C97*H97&gt;0,H97/C97-1,"n/m")</f>
        <v>-0.0929472260336659</v>
      </c>
      <c r="I98" s="1"/>
    </row>
    <row r="99">
      <c r="A99" s="1"/>
      <c r="B99" s="66" t="s">
        <v>118</v>
      </c>
      <c r="C99" s="15">
        <f>C97-Inputs!G141</f>
        <v>75</v>
      </c>
      <c r="D99" s="4">
        <f>D97-C97</f>
        <v>773</v>
      </c>
      <c r="E99" s="4"/>
      <c r="F99" s="4">
        <f>F97-D97</f>
        <v>-531</v>
      </c>
      <c r="G99" s="4">
        <f>G97-F97</f>
        <v>-907</v>
      </c>
      <c r="H99" s="33">
        <f>H97-G97</f>
        <v>428.26341529225283</v>
      </c>
      <c r="I99" s="1"/>
    </row>
    <row r="100">
      <c r="A100" s="1"/>
      <c r="B100" s="1"/>
      <c r="C100" s="3"/>
      <c r="D100" s="3"/>
      <c r="E100" s="3"/>
      <c r="F100" s="3"/>
      <c r="G100" s="3"/>
      <c r="H100" s="37"/>
      <c r="I100" s="1"/>
    </row>
    <row r="101">
      <c r="A101" s="1"/>
      <c r="B101" s="2" t="s">
        <v>191</v>
      </c>
      <c r="C101" s="4"/>
      <c r="D101" s="4"/>
      <c r="E101" s="4"/>
      <c r="F101" s="4"/>
      <c r="G101" s="4"/>
      <c r="H101" s="33"/>
      <c r="I101" s="1"/>
    </row>
    <row r="102">
      <c r="A102" s="1"/>
      <c r="B102" s="31" t="s">
        <v>103</v>
      </c>
      <c r="C102" s="26">
        <v>670.774</v>
      </c>
      <c r="D102" s="26">
        <v>644.765</v>
      </c>
      <c r="E102" s="15">
        <f>Inputs!F142+Inputs!G142+C102+D102</f>
        <v>2653.294</v>
      </c>
      <c r="F102" s="26">
        <v>636.047</v>
      </c>
      <c r="G102" s="26">
        <v>630.097</v>
      </c>
      <c r="H102" s="33">
        <f>H108/10000*H31*H7/365</f>
        <v>631.8774711963014</v>
      </c>
      <c r="I102" s="8" t="s">
        <v>192</v>
      </c>
    </row>
    <row r="103">
      <c r="A103" s="1"/>
      <c r="B103" s="61" t="s">
        <v>82</v>
      </c>
      <c r="C103" s="55">
        <f>IF(Inputs!C142*C102&gt;0,C102/Inputs!C142-1,"n/m")</f>
        <v>-0.0022104542885192924</v>
      </c>
      <c r="D103" s="55">
        <f>IF(Inputs!D142*D102&gt;0,D102/Inputs!D142-1,"n/m")</f>
        <v>-0.030078524580299693</v>
      </c>
      <c r="E103" s="55">
        <f>IF(Inputs!E142*E102&gt;0,E102/Inputs!E142-1,"n/m")</f>
        <v>-0.023441074162039444</v>
      </c>
      <c r="F103" s="55">
        <f>IF(Inputs!F142*F102&gt;0,F102/Inputs!F142-1,"n/m")</f>
        <v>-0.04296412433926522</v>
      </c>
      <c r="G103" s="55">
        <f>IF(Inputs!G142*G102&gt;0,G102/Inputs!G142-1,"n/m")</f>
        <v>-0.06396307531411838</v>
      </c>
      <c r="H103" s="56">
        <f>IF(C102*H102&gt;0,H102/C102-1,"n/m")</f>
        <v>-0.05798753202076801</v>
      </c>
      <c r="I103" s="1"/>
    </row>
    <row r="104">
      <c r="A104" s="1"/>
      <c r="B104" s="43" t="s">
        <v>118</v>
      </c>
      <c r="C104" s="15">
        <f>C102-Inputs!G142</f>
        <v>-2.3799999999999955</v>
      </c>
      <c r="D104" s="4">
        <f>D102-C102</f>
        <v>-26.009000000000015</v>
      </c>
      <c r="E104" s="4"/>
      <c r="F104" s="4">
        <f>F102-D102</f>
        <v>-8.717999999999961</v>
      </c>
      <c r="G104" s="4">
        <f>G102-F102</f>
        <v>-5.9500000000000455</v>
      </c>
      <c r="H104" s="33">
        <f>H102-G102</f>
        <v>1.7804711963013915</v>
      </c>
      <c r="I104" s="1"/>
    </row>
    <row r="105">
      <c r="A105" s="1"/>
      <c r="B105" s="61" t="s">
        <v>85</v>
      </c>
      <c r="C105" s="58" t="s">
        <v>86</v>
      </c>
      <c r="D105" s="58" t="s">
        <v>86</v>
      </c>
      <c r="E105" s="58" t="s">
        <v>86</v>
      </c>
      <c r="F105" s="58" t="s">
        <v>86</v>
      </c>
      <c r="G105" s="58" t="s">
        <v>86</v>
      </c>
      <c r="H105" s="56" t="s">
        <v>86</v>
      </c>
      <c r="I105" s="8" t="s">
        <v>94</v>
      </c>
    </row>
    <row r="106">
      <c r="A106" s="1"/>
      <c r="B106" s="61" t="s">
        <v>88</v>
      </c>
      <c r="C106" s="58" t="s">
        <v>86</v>
      </c>
      <c r="D106" s="58" t="s">
        <v>86</v>
      </c>
      <c r="E106" s="58" t="s">
        <v>86</v>
      </c>
      <c r="F106" s="58" t="s">
        <v>86</v>
      </c>
      <c r="G106" s="58" t="s">
        <v>86</v>
      </c>
      <c r="H106" s="56" t="s">
        <v>86</v>
      </c>
      <c r="I106" s="8" t="s">
        <v>95</v>
      </c>
    </row>
    <row r="107">
      <c r="A107" s="1"/>
      <c r="B107" s="61" t="s">
        <v>89</v>
      </c>
      <c r="C107" s="58" t="s">
        <v>86</v>
      </c>
      <c r="D107" s="58" t="s">
        <v>86</v>
      </c>
      <c r="E107" s="58" t="s">
        <v>86</v>
      </c>
      <c r="F107" s="58" t="s">
        <v>86</v>
      </c>
      <c r="G107" s="58" t="s">
        <v>86</v>
      </c>
      <c r="H107" s="56" t="s">
        <v>86</v>
      </c>
      <c r="I107" s="8" t="s">
        <v>95</v>
      </c>
    </row>
    <row r="108">
      <c r="A108" s="1"/>
      <c r="B108" s="61" t="s">
        <v>193</v>
      </c>
      <c r="C108" s="72">
        <f>C102*365/C7/C31*10000</f>
        <v>93.63810738560824</v>
      </c>
      <c r="D108" s="72">
        <f>D102*365/D7/D31*10000</f>
        <v>91.03223345818859</v>
      </c>
      <c r="E108" s="72">
        <f>E102*365/E7/E31*10000</f>
        <v>94.16801235460996</v>
      </c>
      <c r="F108" s="72">
        <f>F102*365/F7/F31*10000</f>
        <v>92.6337135381788</v>
      </c>
      <c r="G108" s="72">
        <f>G102*365/G7/G31*10000</f>
        <v>91.08693134349835</v>
      </c>
      <c r="H108" s="70">
        <v>90.5</v>
      </c>
      <c r="I108" s="8" t="s">
        <v>194</v>
      </c>
    </row>
    <row r="109">
      <c r="A109" s="1"/>
      <c r="B109" s="66" t="s">
        <v>121</v>
      </c>
      <c r="C109" s="57">
        <f>IFERROR((C108-(Inputs!G142*365/Inputs!G114/Inputs!G124*10000))*1,"n/m")</f>
        <v>-1.4516737319757027</v>
      </c>
      <c r="D109" s="62">
        <f>IFERROR((D108-C108)*1,"n/m")</f>
        <v>-2.605873927419651</v>
      </c>
      <c r="E109" s="62"/>
      <c r="F109" s="62">
        <f>IFERROR((F108-D108)*1,"n/m")</f>
        <v>1.6014800799902105</v>
      </c>
      <c r="G109" s="62">
        <f>IFERROR((G108-F108)*1,"n/m")</f>
        <v>-1.5467821946804463</v>
      </c>
      <c r="H109" s="59">
        <f>IFERROR((H108-G108)*1,"n/m")</f>
        <v>-0.5869313434983496</v>
      </c>
      <c r="I109" s="1"/>
    </row>
    <row r="110">
      <c r="A110" s="1"/>
      <c r="B110" s="66" t="s">
        <v>122</v>
      </c>
      <c r="C110" s="57">
        <f>IFERROR((C108-(Inputs!C142*365/Inputs!C114/Inputs!C124*10000))*1,"n/m")</f>
        <v>2.385049187849532</v>
      </c>
      <c r="D110" s="57">
        <f>IFERROR((D108-(Inputs!D142*365/Inputs!D114/Inputs!D124*10000))*1,"n/m")</f>
        <v>-2.4244982531673713</v>
      </c>
      <c r="E110" s="57">
        <f>IFERROR((E108-(Inputs!E142*365/Inputs!E114/Inputs!E124*10000))*1,"n/m")</f>
        <v>1.6247625819019333</v>
      </c>
      <c r="F110" s="57">
        <f>IFERROR((F108-(Inputs!F142*365/Inputs!F114/Inputs!F124*10000))*1,"n/m")</f>
        <v>-3.460559489289082</v>
      </c>
      <c r="G110" s="57">
        <f>IFERROR((G108-(Inputs!G142*365/Inputs!G114/Inputs!G124*10000))*1,"n/m")</f>
        <v>-4.00284977408559</v>
      </c>
      <c r="H110" s="59">
        <f>IFERROR((H108-C108)*1,"n/m")</f>
        <v>-3.1381073856082367</v>
      </c>
      <c r="I110" s="1"/>
    </row>
    <row r="111">
      <c r="A111" s="1"/>
      <c r="B111" s="31" t="s">
        <v>104</v>
      </c>
      <c r="C111" s="26">
        <v>21.238</v>
      </c>
      <c r="D111" s="26">
        <v>38.592</v>
      </c>
      <c r="E111" s="15">
        <f>Inputs!F143+Inputs!G143+C111+D111</f>
        <v>141.696</v>
      </c>
      <c r="F111" s="26">
        <v>51.738</v>
      </c>
      <c r="G111" s="26">
        <v>104.321</v>
      </c>
      <c r="H111" s="60">
        <v>42</v>
      </c>
      <c r="I111" s="8" t="s">
        <v>155</v>
      </c>
    </row>
    <row r="112">
      <c r="A112" s="1"/>
      <c r="B112" s="61" t="s">
        <v>82</v>
      </c>
      <c r="C112" s="55">
        <f>IF(Inputs!C143*C111&gt;0,C111/Inputs!C143-1,"n/m")</f>
        <v>-0.14397420395002014</v>
      </c>
      <c r="D112" s="55">
        <f>IF(Inputs!D143*D111&gt;0,D111/Inputs!D143-1,"n/m")</f>
        <v>-0.1586657946370177</v>
      </c>
      <c r="E112" s="55">
        <f>IF(Inputs!E143*E111&gt;0,E111/Inputs!E143-1,"n/m")</f>
        <v>-0.1903548368664647</v>
      </c>
      <c r="F112" s="55">
        <f>IF(Inputs!F143*F111&gt;0,F111/Inputs!F143-1,"n/m")</f>
        <v>0.2887460768196084</v>
      </c>
      <c r="G112" s="55">
        <f>IF(Inputs!G143*G111&gt;0,G111/Inputs!G143-1,"n/m")</f>
        <v>1.5005033557046978</v>
      </c>
      <c r="H112" s="56">
        <f>IF(C111*H111&gt;0,H111/C111-1,"n/m")</f>
        <v>0.9775873434410021</v>
      </c>
      <c r="I112" s="1"/>
    </row>
    <row r="113">
      <c r="A113" s="1"/>
      <c r="B113" s="43" t="s">
        <v>118</v>
      </c>
      <c r="C113" s="15">
        <f>C111-Inputs!G143</f>
        <v>-20.482</v>
      </c>
      <c r="D113" s="4">
        <f>D111-C111</f>
        <v>17.354</v>
      </c>
      <c r="E113" s="4"/>
      <c r="F113" s="4">
        <f>F111-D111</f>
        <v>13.146</v>
      </c>
      <c r="G113" s="4">
        <f>G111-F111</f>
        <v>52.583</v>
      </c>
      <c r="H113" s="33">
        <f>H111-G111</f>
        <v>-62.321</v>
      </c>
      <c r="I113" s="1"/>
    </row>
    <row r="114">
      <c r="A114" s="1"/>
      <c r="B114" s="61" t="s">
        <v>85</v>
      </c>
      <c r="C114" s="58" t="s">
        <v>86</v>
      </c>
      <c r="D114" s="58" t="s">
        <v>86</v>
      </c>
      <c r="E114" s="58" t="s">
        <v>86</v>
      </c>
      <c r="F114" s="58" t="s">
        <v>86</v>
      </c>
      <c r="G114" s="58" t="s">
        <v>86</v>
      </c>
      <c r="H114" s="56" t="s">
        <v>86</v>
      </c>
      <c r="I114" s="8" t="s">
        <v>94</v>
      </c>
    </row>
    <row r="115">
      <c r="A115" s="1"/>
      <c r="B115" s="61" t="s">
        <v>88</v>
      </c>
      <c r="C115" s="58" t="s">
        <v>86</v>
      </c>
      <c r="D115" s="58" t="s">
        <v>86</v>
      </c>
      <c r="E115" s="58" t="s">
        <v>86</v>
      </c>
      <c r="F115" s="58" t="s">
        <v>86</v>
      </c>
      <c r="G115" s="58" t="s">
        <v>86</v>
      </c>
      <c r="H115" s="56" t="s">
        <v>86</v>
      </c>
      <c r="I115" s="8" t="s">
        <v>95</v>
      </c>
    </row>
    <row r="116">
      <c r="A116" s="1"/>
      <c r="B116" s="61" t="s">
        <v>89</v>
      </c>
      <c r="C116" s="58" t="s">
        <v>86</v>
      </c>
      <c r="D116" s="58" t="s">
        <v>86</v>
      </c>
      <c r="E116" s="58" t="s">
        <v>86</v>
      </c>
      <c r="F116" s="58" t="s">
        <v>86</v>
      </c>
      <c r="G116" s="58" t="s">
        <v>86</v>
      </c>
      <c r="H116" s="56" t="s">
        <v>86</v>
      </c>
      <c r="I116" s="8" t="s">
        <v>95</v>
      </c>
    </row>
    <row r="117">
      <c r="A117" s="1"/>
      <c r="B117" s="31" t="s">
        <v>105</v>
      </c>
      <c r="C117" s="26">
        <v>-3.213</v>
      </c>
      <c r="D117" s="26">
        <v>-2.372</v>
      </c>
      <c r="E117" s="15">
        <f>Inputs!F144+Inputs!G144+C117+D117</f>
        <v>-13.065999999999999</v>
      </c>
      <c r="F117" s="26">
        <v>-10.308</v>
      </c>
      <c r="G117" s="26">
        <v>-7.337</v>
      </c>
      <c r="H117" s="60">
        <v>-6</v>
      </c>
      <c r="I117" s="8" t="s">
        <v>155</v>
      </c>
    </row>
    <row r="118">
      <c r="A118" s="1"/>
      <c r="B118" s="61" t="s">
        <v>82</v>
      </c>
      <c r="C118" s="55">
        <f>IF(Inputs!C144*C117&gt;0,C117/Inputs!C144-1,"n/m")</f>
        <v>1.1082677165354329</v>
      </c>
      <c r="D118" s="55">
        <f>IF(Inputs!D144*D117&gt;0,D117/Inputs!D144-1,"n/m")</f>
        <v>-0.7303013075611142</v>
      </c>
      <c r="E118" s="55">
        <f>IF(Inputs!E144*E117&gt;0,E117/Inputs!E144-1,"n/m")</f>
        <v>-0.2183536731275426</v>
      </c>
      <c r="F118" s="55">
        <f>IF(Inputs!F144*F117&gt;0,F117/Inputs!F144-1,"n/m")</f>
        <v>1.6437548089253653</v>
      </c>
      <c r="G118" s="55">
        <f>IF(Inputs!G144*G117&gt;0,G117/Inputs!G144-1,"n/m")</f>
        <v>1.0482970407593522</v>
      </c>
      <c r="H118" s="56">
        <f>IF(C117*H117&gt;0,H117/C117-1,"n/m")</f>
        <v>0.8674136321195145</v>
      </c>
      <c r="I118" s="1"/>
    </row>
    <row r="119">
      <c r="A119" s="1"/>
      <c r="B119" s="43" t="s">
        <v>118</v>
      </c>
      <c r="C119" s="15">
        <f>C117-Inputs!G144</f>
        <v>0.3689999999999998</v>
      </c>
      <c r="D119" s="4">
        <f>D117-C117</f>
        <v>0.8410000000000002</v>
      </c>
      <c r="E119" s="4"/>
      <c r="F119" s="4">
        <f>F117-D117</f>
        <v>-7.936</v>
      </c>
      <c r="G119" s="4">
        <f>G117-F117</f>
        <v>2.971</v>
      </c>
      <c r="H119" s="33">
        <f>H117-G117</f>
        <v>1.3369999999999997</v>
      </c>
      <c r="I119" s="1"/>
    </row>
    <row r="120">
      <c r="A120" s="1"/>
      <c r="B120" s="61" t="s">
        <v>85</v>
      </c>
      <c r="C120" s="58" t="s">
        <v>86</v>
      </c>
      <c r="D120" s="58" t="s">
        <v>86</v>
      </c>
      <c r="E120" s="58" t="s">
        <v>86</v>
      </c>
      <c r="F120" s="58" t="s">
        <v>86</v>
      </c>
      <c r="G120" s="58" t="s">
        <v>86</v>
      </c>
      <c r="H120" s="56" t="s">
        <v>86</v>
      </c>
      <c r="I120" s="8" t="s">
        <v>94</v>
      </c>
    </row>
    <row r="121">
      <c r="A121" s="1"/>
      <c r="B121" s="61" t="s">
        <v>88</v>
      </c>
      <c r="C121" s="58" t="s">
        <v>86</v>
      </c>
      <c r="D121" s="58" t="s">
        <v>86</v>
      </c>
      <c r="E121" s="58" t="s">
        <v>86</v>
      </c>
      <c r="F121" s="58" t="s">
        <v>86</v>
      </c>
      <c r="G121" s="58" t="s">
        <v>86</v>
      </c>
      <c r="H121" s="56" t="s">
        <v>86</v>
      </c>
      <c r="I121" s="8" t="s">
        <v>95</v>
      </c>
    </row>
    <row r="122">
      <c r="A122" s="1"/>
      <c r="B122" s="61" t="s">
        <v>89</v>
      </c>
      <c r="C122" s="58" t="s">
        <v>86</v>
      </c>
      <c r="D122" s="58" t="s">
        <v>86</v>
      </c>
      <c r="E122" s="58" t="s">
        <v>86</v>
      </c>
      <c r="F122" s="58" t="s">
        <v>86</v>
      </c>
      <c r="G122" s="58" t="s">
        <v>86</v>
      </c>
      <c r="H122" s="56" t="s">
        <v>86</v>
      </c>
      <c r="I122" s="8" t="s">
        <v>95</v>
      </c>
    </row>
    <row r="123">
      <c r="A123" s="1"/>
      <c r="B123" s="54" t="s">
        <v>106</v>
      </c>
      <c r="C123" s="32">
        <f>C102+C111+C117</f>
        <v>688.799</v>
      </c>
      <c r="D123" s="32">
        <f>D102+D111+D117</f>
        <v>680.985</v>
      </c>
      <c r="E123" s="64">
        <f>Inputs!F145+Inputs!G145+C123+D123</f>
        <v>2781.924</v>
      </c>
      <c r="F123" s="32">
        <f>F102+F111+F117</f>
        <v>677.4770000000001</v>
      </c>
      <c r="G123" s="32">
        <f>G102+G111+G117</f>
        <v>727.081</v>
      </c>
      <c r="H123" s="44">
        <f>H102+H111+H117</f>
        <v>667.8774711963014</v>
      </c>
      <c r="I123" s="1"/>
    </row>
    <row r="124">
      <c r="A124" s="1"/>
      <c r="B124" s="61" t="s">
        <v>82</v>
      </c>
      <c r="C124" s="55">
        <f>IF(Inputs!C145*C123&gt;0,C123/Inputs!C145-1,"n/m")</f>
        <v>-0.009700293007220306</v>
      </c>
      <c r="D124" s="55">
        <f>IF(Inputs!D145*D123&gt;0,D123/Inputs!D145-1,"n/m")</f>
        <v>-0.029707837312188845</v>
      </c>
      <c r="E124" s="55">
        <f>IF(Inputs!E145*E123&gt;0,E123/Inputs!E145-1,"n/m")</f>
        <v>-0.032467480524485115</v>
      </c>
      <c r="F124" s="55">
        <f>IF(Inputs!F145*F123&gt;0,F123/Inputs!F145-1,"n/m")</f>
        <v>-0.03334674565669005</v>
      </c>
      <c r="G124" s="55">
        <f>IF(Inputs!G145*G123&gt;0,G123/Inputs!G145-1,"n/m")</f>
        <v>0.02219763472666636</v>
      </c>
      <c r="H124" s="56">
        <f>IF(C123*H123&gt;0,H123/C123-1,"n/m")</f>
        <v>-0.03037392447390108</v>
      </c>
      <c r="I124" s="1"/>
    </row>
    <row r="125">
      <c r="A125" s="1"/>
      <c r="B125" s="43" t="s">
        <v>118</v>
      </c>
      <c r="C125" s="15">
        <f>C123-Inputs!G145</f>
        <v>-22.493000000000052</v>
      </c>
      <c r="D125" s="4">
        <f>D123-C123</f>
        <v>-7.8139999999999645</v>
      </c>
      <c r="E125" s="4"/>
      <c r="F125" s="4">
        <f>F123-D123</f>
        <v>-3.5079999999999245</v>
      </c>
      <c r="G125" s="4">
        <f>G123-F123</f>
        <v>49.60399999999993</v>
      </c>
      <c r="H125" s="33">
        <f>H123-G123</f>
        <v>-59.203528803698646</v>
      </c>
      <c r="I125" s="1"/>
    </row>
    <row r="126">
      <c r="A126" s="1"/>
      <c r="B126" s="61" t="s">
        <v>85</v>
      </c>
      <c r="C126" s="58" t="s">
        <v>86</v>
      </c>
      <c r="D126" s="58" t="s">
        <v>86</v>
      </c>
      <c r="E126" s="58" t="s">
        <v>86</v>
      </c>
      <c r="F126" s="58" t="s">
        <v>86</v>
      </c>
      <c r="G126" s="58" t="s">
        <v>86</v>
      </c>
      <c r="H126" s="56" t="s">
        <v>86</v>
      </c>
      <c r="I126" s="8" t="s">
        <v>94</v>
      </c>
    </row>
    <row r="127">
      <c r="A127" s="1"/>
      <c r="B127" s="61" t="s">
        <v>88</v>
      </c>
      <c r="C127" s="58" t="s">
        <v>86</v>
      </c>
      <c r="D127" s="58" t="s">
        <v>86</v>
      </c>
      <c r="E127" s="58" t="s">
        <v>86</v>
      </c>
      <c r="F127" s="58" t="s">
        <v>86</v>
      </c>
      <c r="G127" s="58" t="s">
        <v>86</v>
      </c>
      <c r="H127" s="56" t="s">
        <v>86</v>
      </c>
      <c r="I127" s="8" t="s">
        <v>95</v>
      </c>
    </row>
    <row r="128">
      <c r="A128" s="1"/>
      <c r="B128" s="61" t="s">
        <v>89</v>
      </c>
      <c r="C128" s="58" t="s">
        <v>86</v>
      </c>
      <c r="D128" s="58" t="s">
        <v>86</v>
      </c>
      <c r="E128" s="58" t="s">
        <v>86</v>
      </c>
      <c r="F128" s="58" t="s">
        <v>86</v>
      </c>
      <c r="G128" s="58" t="s">
        <v>86</v>
      </c>
      <c r="H128" s="56" t="s">
        <v>86</v>
      </c>
      <c r="I128" s="8" t="s">
        <v>95</v>
      </c>
    </row>
    <row r="129">
      <c r="A129" s="1"/>
      <c r="B129" s="86" t="s">
        <v>195</v>
      </c>
      <c r="C129" s="4"/>
      <c r="D129" s="4"/>
      <c r="E129" s="4"/>
      <c r="F129" s="4"/>
      <c r="G129" s="4"/>
      <c r="H129" s="33"/>
      <c r="I129" s="1"/>
    </row>
    <row r="130">
      <c r="A130" s="1"/>
      <c r="B130" s="43" t="s">
        <v>196</v>
      </c>
      <c r="C130" s="4"/>
      <c r="D130" s="4"/>
      <c r="E130" s="4"/>
      <c r="F130" s="26">
        <v>156.706</v>
      </c>
      <c r="G130" s="26">
        <v>243.066</v>
      </c>
      <c r="H130" s="33">
        <f>H136+H140</f>
        <v>185.08275428571426</v>
      </c>
      <c r="I130" s="8" t="s">
        <v>197</v>
      </c>
    </row>
    <row r="131">
      <c r="A131" s="1"/>
      <c r="B131" s="65" t="s">
        <v>82</v>
      </c>
      <c r="C131" s="58"/>
      <c r="D131" s="58"/>
      <c r="E131" s="58"/>
      <c r="F131" s="58" t="s">
        <v>32</v>
      </c>
      <c r="G131" s="58" t="s">
        <v>32</v>
      </c>
      <c r="H131" s="56"/>
      <c r="I131" s="1"/>
    </row>
    <row r="132">
      <c r="A132" s="1"/>
      <c r="B132" s="66" t="s">
        <v>118</v>
      </c>
      <c r="C132" s="4"/>
      <c r="D132" s="4"/>
      <c r="E132" s="4"/>
      <c r="F132" s="4" t="s">
        <v>32</v>
      </c>
      <c r="G132" s="4">
        <f>G130-F130</f>
        <v>86.36000000000001</v>
      </c>
      <c r="H132" s="33">
        <f>H130-G130</f>
        <v>-57.983245714285744</v>
      </c>
      <c r="I132" s="1"/>
    </row>
    <row r="133">
      <c r="A133" s="1"/>
      <c r="B133" s="65" t="s">
        <v>85</v>
      </c>
      <c r="C133" s="58"/>
      <c r="D133" s="58"/>
      <c r="E133" s="58"/>
      <c r="F133" s="58" t="s">
        <v>86</v>
      </c>
      <c r="G133" s="58" t="s">
        <v>86</v>
      </c>
      <c r="H133" s="56" t="s">
        <v>86</v>
      </c>
      <c r="I133" s="8" t="s">
        <v>94</v>
      </c>
    </row>
    <row r="134">
      <c r="A134" s="1"/>
      <c r="B134" s="65" t="s">
        <v>88</v>
      </c>
      <c r="C134" s="58"/>
      <c r="D134" s="58"/>
      <c r="E134" s="58"/>
      <c r="F134" s="58" t="s">
        <v>86</v>
      </c>
      <c r="G134" s="58" t="s">
        <v>86</v>
      </c>
      <c r="H134" s="56" t="s">
        <v>86</v>
      </c>
      <c r="I134" s="8" t="s">
        <v>95</v>
      </c>
    </row>
    <row r="135">
      <c r="A135" s="1"/>
      <c r="B135" s="65" t="s">
        <v>89</v>
      </c>
      <c r="C135" s="58"/>
      <c r="D135" s="58"/>
      <c r="E135" s="58"/>
      <c r="F135" s="58" t="s">
        <v>86</v>
      </c>
      <c r="G135" s="58" t="s">
        <v>86</v>
      </c>
      <c r="H135" s="56" t="s">
        <v>86</v>
      </c>
      <c r="I135" s="8" t="s">
        <v>95</v>
      </c>
    </row>
    <row r="136">
      <c r="A136" s="1"/>
      <c r="B136" s="66" t="s">
        <v>198</v>
      </c>
      <c r="C136" s="4"/>
      <c r="D136" s="4"/>
      <c r="E136" s="4"/>
      <c r="F136" s="4"/>
      <c r="G136" s="4"/>
      <c r="H136" s="60">
        <v>152.094</v>
      </c>
      <c r="I136" s="8" t="s">
        <v>199</v>
      </c>
    </row>
    <row r="137">
      <c r="A137" s="1"/>
      <c r="B137" s="66" t="s">
        <v>200</v>
      </c>
      <c r="C137" s="4"/>
      <c r="D137" s="4"/>
      <c r="E137" s="4"/>
      <c r="F137" s="4"/>
      <c r="G137" s="4"/>
      <c r="H137" s="60">
        <v>57730.32</v>
      </c>
      <c r="I137" s="1"/>
    </row>
    <row r="138">
      <c r="A138" s="1"/>
      <c r="B138" s="65" t="s">
        <v>201</v>
      </c>
      <c r="C138" s="58"/>
      <c r="D138" s="58"/>
      <c r="E138" s="58"/>
      <c r="F138" s="58"/>
      <c r="G138" s="58"/>
      <c r="H138" s="71">
        <v>0.004</v>
      </c>
      <c r="I138" s="8" t="s">
        <v>202</v>
      </c>
    </row>
    <row r="139">
      <c r="A139" s="1"/>
      <c r="B139" s="65" t="s">
        <v>203</v>
      </c>
      <c r="C139" s="58"/>
      <c r="D139" s="58"/>
      <c r="E139" s="58"/>
      <c r="F139" s="58"/>
      <c r="G139" s="58"/>
      <c r="H139" s="71">
        <v>0.125</v>
      </c>
      <c r="I139" s="8" t="s">
        <v>204</v>
      </c>
    </row>
    <row r="140">
      <c r="A140" s="1"/>
      <c r="B140" s="66" t="s">
        <v>205</v>
      </c>
      <c r="C140" s="4"/>
      <c r="D140" s="4"/>
      <c r="E140" s="4"/>
      <c r="F140" s="4"/>
      <c r="G140" s="4"/>
      <c r="H140" s="33">
        <f>H139/(1-H139)*H138*H137</f>
        <v>32.98875428571428</v>
      </c>
      <c r="I140" s="8" t="s">
        <v>206</v>
      </c>
    </row>
    <row r="141">
      <c r="A141" s="1"/>
      <c r="B141" s="43" t="s">
        <v>207</v>
      </c>
      <c r="C141" s="4"/>
      <c r="D141" s="4"/>
      <c r="E141" s="4"/>
      <c r="F141" s="4">
        <f>F147-F130</f>
        <v>-3.7079999999999984</v>
      </c>
      <c r="G141" s="4">
        <f>G147-G130</f>
        <v>-0.3480000000000132</v>
      </c>
      <c r="H141" s="60">
        <v>0</v>
      </c>
      <c r="I141" s="8" t="s">
        <v>208</v>
      </c>
    </row>
    <row r="142">
      <c r="A142" s="1"/>
      <c r="B142" s="65" t="s">
        <v>82</v>
      </c>
      <c r="C142" s="58"/>
      <c r="D142" s="58"/>
      <c r="E142" s="58"/>
      <c r="F142" s="58" t="s">
        <v>32</v>
      </c>
      <c r="G142" s="58" t="s">
        <v>32</v>
      </c>
      <c r="H142" s="56"/>
      <c r="I142" s="1"/>
    </row>
    <row r="143">
      <c r="A143" s="1"/>
      <c r="B143" s="66" t="s">
        <v>118</v>
      </c>
      <c r="C143" s="4"/>
      <c r="D143" s="4"/>
      <c r="E143" s="4"/>
      <c r="F143" s="4" t="s">
        <v>32</v>
      </c>
      <c r="G143" s="4">
        <f>G141-F141</f>
        <v>3.359999999999985</v>
      </c>
      <c r="H143" s="33">
        <f>H141-G141</f>
        <v>0.3480000000000132</v>
      </c>
      <c r="I143" s="1"/>
    </row>
    <row r="144">
      <c r="A144" s="1"/>
      <c r="B144" s="65" t="s">
        <v>85</v>
      </c>
      <c r="C144" s="58"/>
      <c r="D144" s="58"/>
      <c r="E144" s="58"/>
      <c r="F144" s="58" t="s">
        <v>86</v>
      </c>
      <c r="G144" s="58" t="s">
        <v>86</v>
      </c>
      <c r="H144" s="56" t="s">
        <v>86</v>
      </c>
      <c r="I144" s="8" t="s">
        <v>94</v>
      </c>
    </row>
    <row r="145">
      <c r="A145" s="1"/>
      <c r="B145" s="65" t="s">
        <v>88</v>
      </c>
      <c r="C145" s="58"/>
      <c r="D145" s="58"/>
      <c r="E145" s="58"/>
      <c r="F145" s="58" t="s">
        <v>86</v>
      </c>
      <c r="G145" s="58" t="s">
        <v>86</v>
      </c>
      <c r="H145" s="56" t="s">
        <v>86</v>
      </c>
      <c r="I145" s="8" t="s">
        <v>95</v>
      </c>
    </row>
    <row r="146">
      <c r="A146" s="1"/>
      <c r="B146" s="65" t="s">
        <v>89</v>
      </c>
      <c r="C146" s="58"/>
      <c r="D146" s="58"/>
      <c r="E146" s="58"/>
      <c r="F146" s="58" t="s">
        <v>86</v>
      </c>
      <c r="G146" s="58" t="s">
        <v>86</v>
      </c>
      <c r="H146" s="56" t="s">
        <v>86</v>
      </c>
      <c r="I146" s="8" t="s">
        <v>95</v>
      </c>
    </row>
    <row r="147">
      <c r="A147" s="1"/>
      <c r="B147" s="31" t="s">
        <v>107</v>
      </c>
      <c r="C147" s="26">
        <v>124.647</v>
      </c>
      <c r="D147" s="26">
        <v>237.608</v>
      </c>
      <c r="E147" s="15">
        <f>Inputs!F146+Inputs!G146+C147+D147</f>
        <v>489.648</v>
      </c>
      <c r="F147" s="26">
        <v>152.998</v>
      </c>
      <c r="G147" s="26">
        <v>242.718</v>
      </c>
      <c r="H147" s="33">
        <f>H130+H141</f>
        <v>185.08275428571426</v>
      </c>
      <c r="I147" s="8" t="s">
        <v>209</v>
      </c>
    </row>
    <row r="148">
      <c r="A148" s="1"/>
      <c r="B148" s="61" t="s">
        <v>82</v>
      </c>
      <c r="C148" s="55">
        <f>IF(Inputs!C146*C147&gt;0,C147/Inputs!C146-1,"n/m")</f>
        <v>0.7209780747777104</v>
      </c>
      <c r="D148" s="55" t="str">
        <f>IF(Inputs!D146*D147&gt;0,IF(ABS(Inputs!D146)&lt;0.05*ABS(D147),"n/m",D147/Inputs!D146-1),"n/m")</f>
        <v>n/m</v>
      </c>
      <c r="E148" s="55">
        <f>IF(Inputs!E146*E147&gt;0,E147/Inputs!E146-1,"n/m")</f>
        <v>1.407019786161976</v>
      </c>
      <c r="F148" s="55">
        <f>IF(Inputs!F146*F147&gt;0,F147/Inputs!F146-1,"n/m")</f>
        <v>3.0472449276512448</v>
      </c>
      <c r="G148" s="55">
        <f>IF(Inputs!G146*G147&gt;0,G147/Inputs!G146-1,"n/m")</f>
        <v>1.7092086170331506</v>
      </c>
      <c r="H148" s="56">
        <f>IF(C147*H147&gt;0,H147/C147-1,"n/m")</f>
        <v>0.48485526555564307</v>
      </c>
      <c r="I148" s="102" t="s">
        <v>210</v>
      </c>
    </row>
    <row r="149">
      <c r="A149" s="1"/>
      <c r="B149" s="43" t="s">
        <v>118</v>
      </c>
      <c r="C149" s="15">
        <f>C147-Inputs!G146</f>
        <v>35.057</v>
      </c>
      <c r="D149" s="4">
        <f>D147-C147</f>
        <v>112.961</v>
      </c>
      <c r="E149" s="4"/>
      <c r="F149" s="4">
        <f>F147-D147</f>
        <v>-84.61000000000001</v>
      </c>
      <c r="G149" s="4">
        <f>G147-F147</f>
        <v>89.72</v>
      </c>
      <c r="H149" s="33">
        <f>H147-G147</f>
        <v>-57.63524571428573</v>
      </c>
      <c r="I149" s="1"/>
    </row>
    <row r="150">
      <c r="A150" s="1"/>
      <c r="B150" s="61" t="s">
        <v>85</v>
      </c>
      <c r="C150" s="58" t="s">
        <v>86</v>
      </c>
      <c r="D150" s="58" t="s">
        <v>86</v>
      </c>
      <c r="E150" s="58" t="s">
        <v>86</v>
      </c>
      <c r="F150" s="58" t="s">
        <v>86</v>
      </c>
      <c r="G150" s="58" t="s">
        <v>86</v>
      </c>
      <c r="H150" s="56" t="s">
        <v>86</v>
      </c>
      <c r="I150" s="8" t="s">
        <v>94</v>
      </c>
    </row>
    <row r="151">
      <c r="A151" s="1"/>
      <c r="B151" s="61" t="s">
        <v>88</v>
      </c>
      <c r="C151" s="58" t="s">
        <v>86</v>
      </c>
      <c r="D151" s="58" t="s">
        <v>86</v>
      </c>
      <c r="E151" s="58" t="s">
        <v>86</v>
      </c>
      <c r="F151" s="58" t="s">
        <v>86</v>
      </c>
      <c r="G151" s="58" t="s">
        <v>86</v>
      </c>
      <c r="H151" s="56" t="s">
        <v>86</v>
      </c>
      <c r="I151" s="8" t="s">
        <v>95</v>
      </c>
    </row>
    <row r="152">
      <c r="A152" s="1"/>
      <c r="B152" s="61" t="s">
        <v>89</v>
      </c>
      <c r="C152" s="58" t="s">
        <v>86</v>
      </c>
      <c r="D152" s="58" t="s">
        <v>86</v>
      </c>
      <c r="E152" s="58" t="s">
        <v>86</v>
      </c>
      <c r="F152" s="58" t="s">
        <v>86</v>
      </c>
      <c r="G152" s="58" t="s">
        <v>86</v>
      </c>
      <c r="H152" s="56" t="s">
        <v>86</v>
      </c>
      <c r="I152" s="8" t="s">
        <v>95</v>
      </c>
    </row>
    <row r="153">
      <c r="A153" s="1"/>
      <c r="B153" s="54" t="s">
        <v>108</v>
      </c>
      <c r="C153" s="32">
        <f>C123+C147</f>
        <v>813.446</v>
      </c>
      <c r="D153" s="32">
        <f>D123+D147</f>
        <v>918.5930000000001</v>
      </c>
      <c r="E153" s="32">
        <f>E123+E147</f>
        <v>3271.572</v>
      </c>
      <c r="F153" s="32">
        <f>F123+F147</f>
        <v>830.4750000000001</v>
      </c>
      <c r="G153" s="32">
        <f>G123+G147</f>
        <v>969.799</v>
      </c>
      <c r="H153" s="44">
        <f>H123+H147</f>
        <v>852.9602254820156</v>
      </c>
      <c r="I153" s="1"/>
    </row>
    <row r="154">
      <c r="A154" s="1"/>
      <c r="B154" s="61" t="s">
        <v>82</v>
      </c>
      <c r="C154" s="55">
        <f>IF(Inputs!C156*C153&gt;0,C153/Inputs!C156-1,"n/m")</f>
        <v>0.05921033784997931</v>
      </c>
      <c r="D154" s="55">
        <f>IF(Inputs!D156*D153&gt;0,D153/Inputs!D156-1,"n/m")</f>
        <v>0.3080376722276965</v>
      </c>
      <c r="E154" s="55">
        <f>IF(Inputs!E156*E153&gt;0,E153/Inputs!E156-1,"n/m")</f>
        <v>0.06264653090815542</v>
      </c>
      <c r="F154" s="55">
        <f>IF(Inputs!F156*F153&gt;0,F153/Inputs!F156-1,"n/m")</f>
        <v>0.12431310591876299</v>
      </c>
      <c r="G154" s="55">
        <f>IF(Inputs!G156*G153&gt;0,G153/Inputs!G156-1,"n/m")</f>
        <v>0.21091371762631694</v>
      </c>
      <c r="H154" s="56">
        <f>IF(C153*H153&gt;0,H153/C153-1,"n/m")</f>
        <v>0.04857633510032078</v>
      </c>
      <c r="I154" s="1"/>
    </row>
    <row r="155">
      <c r="A155" s="1"/>
      <c r="B155" s="43" t="s">
        <v>118</v>
      </c>
      <c r="C155" s="15">
        <f>C153-Inputs!G156</f>
        <v>12.563999999999965</v>
      </c>
      <c r="D155" s="4">
        <f>D153-C153</f>
        <v>105.14700000000005</v>
      </c>
      <c r="E155" s="4"/>
      <c r="F155" s="4">
        <f>F153-D153</f>
        <v>-88.11799999999994</v>
      </c>
      <c r="G155" s="4">
        <f>G153-F153</f>
        <v>139.32399999999984</v>
      </c>
      <c r="H155" s="33">
        <f>H153-G153</f>
        <v>-116.83877451798435</v>
      </c>
      <c r="I155" s="1"/>
    </row>
    <row r="156">
      <c r="A156" s="1"/>
      <c r="B156" s="61" t="s">
        <v>85</v>
      </c>
      <c r="C156" s="58" t="s">
        <v>86</v>
      </c>
      <c r="D156" s="58" t="s">
        <v>86</v>
      </c>
      <c r="E156" s="58" t="s">
        <v>86</v>
      </c>
      <c r="F156" s="58" t="s">
        <v>86</v>
      </c>
      <c r="G156" s="58" t="s">
        <v>86</v>
      </c>
      <c r="H156" s="56" t="s">
        <v>86</v>
      </c>
      <c r="I156" s="8" t="s">
        <v>94</v>
      </c>
    </row>
    <row r="157">
      <c r="A157" s="1"/>
      <c r="B157" s="61" t="s">
        <v>88</v>
      </c>
      <c r="C157" s="58" t="s">
        <v>86</v>
      </c>
      <c r="D157" s="58" t="s">
        <v>86</v>
      </c>
      <c r="E157" s="58" t="s">
        <v>86</v>
      </c>
      <c r="F157" s="58" t="s">
        <v>86</v>
      </c>
      <c r="G157" s="58" t="s">
        <v>86</v>
      </c>
      <c r="H157" s="56" t="s">
        <v>86</v>
      </c>
      <c r="I157" s="8" t="s">
        <v>95</v>
      </c>
    </row>
    <row r="158">
      <c r="A158" s="1"/>
      <c r="B158" s="61" t="s">
        <v>89</v>
      </c>
      <c r="C158" s="58" t="s">
        <v>86</v>
      </c>
      <c r="D158" s="58" t="s">
        <v>86</v>
      </c>
      <c r="E158" s="58" t="s">
        <v>86</v>
      </c>
      <c r="F158" s="58" t="s">
        <v>86</v>
      </c>
      <c r="G158" s="58" t="s">
        <v>86</v>
      </c>
      <c r="H158" s="56" t="s">
        <v>86</v>
      </c>
      <c r="I158" s="8" t="s">
        <v>95</v>
      </c>
    </row>
    <row r="159">
      <c r="A159" s="1"/>
      <c r="B159" s="31" t="s">
        <v>109</v>
      </c>
      <c r="C159" s="26">
        <v>132.792</v>
      </c>
      <c r="D159" s="26">
        <v>73.384</v>
      </c>
      <c r="E159" s="15">
        <f>Inputs!F147+Inputs!G147+C159+D159</f>
        <v>268.773</v>
      </c>
      <c r="F159" s="26">
        <v>42.074</v>
      </c>
      <c r="G159" s="26">
        <v>210.868</v>
      </c>
      <c r="H159" s="36">
        <f>'Revenue summary'!H117*H165</f>
        <v>71.34459019256529</v>
      </c>
      <c r="I159" s="8" t="s">
        <v>211</v>
      </c>
    </row>
    <row r="160">
      <c r="A160" s="1"/>
      <c r="B160" s="61" t="s">
        <v>82</v>
      </c>
      <c r="C160" s="55">
        <f>IF(Inputs!C147*C159&gt;0,C159/Inputs!C147-1,"n/m")</f>
        <v>0.7019814923995795</v>
      </c>
      <c r="D160" s="55">
        <f>IF(Inputs!D147*D159&gt;0,D159/Inputs!D147-1,"n/m")</f>
        <v>2.7607748680366933</v>
      </c>
      <c r="E160" s="55">
        <f>IF(Inputs!E147*E159&gt;0,E159/Inputs!E147-1,"n/m")</f>
        <v>0.33735209529590904</v>
      </c>
      <c r="F160" s="55">
        <f>IF(Inputs!F147*F159&gt;0,F159/Inputs!F147-1,"n/m")</f>
        <v>1.2132561809573907</v>
      </c>
      <c r="G160" s="55">
        <f>IF(Inputs!G147*G159&gt;0,G159/Inputs!G147-1,"n/m")</f>
        <v>3.83786450088329</v>
      </c>
      <c r="H160" s="56">
        <f>IF(C159*H159&gt;0,H159/C159-1,"n/m")</f>
        <v>-0.4627342747110873</v>
      </c>
      <c r="I160" s="1"/>
    </row>
    <row r="161">
      <c r="A161" s="1"/>
      <c r="B161" s="43" t="s">
        <v>118</v>
      </c>
      <c r="C161" s="15">
        <f>C159-Inputs!G147</f>
        <v>89.205</v>
      </c>
      <c r="D161" s="4">
        <f>D159-C159</f>
        <v>-59.408</v>
      </c>
      <c r="E161" s="4"/>
      <c r="F161" s="4">
        <f>F159-D159</f>
        <v>-31.310000000000002</v>
      </c>
      <c r="G161" s="4">
        <f>G159-F159</f>
        <v>168.79399999999998</v>
      </c>
      <c r="H161" s="33">
        <f>H159-G159</f>
        <v>-139.5234098074347</v>
      </c>
      <c r="I161" s="1"/>
    </row>
    <row r="162">
      <c r="A162" s="1"/>
      <c r="B162" s="61" t="s">
        <v>85</v>
      </c>
      <c r="C162" s="58" t="s">
        <v>86</v>
      </c>
      <c r="D162" s="58" t="s">
        <v>86</v>
      </c>
      <c r="E162" s="58" t="s">
        <v>86</v>
      </c>
      <c r="F162" s="58" t="s">
        <v>86</v>
      </c>
      <c r="G162" s="58" t="s">
        <v>86</v>
      </c>
      <c r="H162" s="56" t="s">
        <v>86</v>
      </c>
      <c r="I162" s="8" t="s">
        <v>94</v>
      </c>
    </row>
    <row r="163">
      <c r="A163" s="1"/>
      <c r="B163" s="61" t="s">
        <v>88</v>
      </c>
      <c r="C163" s="58" t="s">
        <v>86</v>
      </c>
      <c r="D163" s="58" t="s">
        <v>86</v>
      </c>
      <c r="E163" s="58" t="s">
        <v>86</v>
      </c>
      <c r="F163" s="58" t="s">
        <v>86</v>
      </c>
      <c r="G163" s="58" t="s">
        <v>86</v>
      </c>
      <c r="H163" s="56" t="s">
        <v>86</v>
      </c>
      <c r="I163" s="8" t="s">
        <v>95</v>
      </c>
    </row>
    <row r="164">
      <c r="A164" s="1"/>
      <c r="B164" s="61" t="s">
        <v>89</v>
      </c>
      <c r="C164" s="58" t="s">
        <v>86</v>
      </c>
      <c r="D164" s="58" t="s">
        <v>86</v>
      </c>
      <c r="E164" s="58" t="s">
        <v>86</v>
      </c>
      <c r="F164" s="58" t="s">
        <v>86</v>
      </c>
      <c r="G164" s="58" t="s">
        <v>86</v>
      </c>
      <c r="H164" s="56" t="s">
        <v>86</v>
      </c>
      <c r="I164" s="8" t="s">
        <v>95</v>
      </c>
    </row>
    <row r="165">
      <c r="A165" s="1"/>
      <c r="B165" s="61" t="s">
        <v>212</v>
      </c>
      <c r="C165" s="55">
        <f>C159/'Revenue summary'!C92</f>
        <v>0.17825554095359034</v>
      </c>
      <c r="D165" s="55">
        <f>D159/'Revenue summary'!D92</f>
        <v>0.06939831592007807</v>
      </c>
      <c r="E165" s="55">
        <f>E159/'Revenue summary'!E92</f>
        <v>0.09546092403949666</v>
      </c>
      <c r="F165" s="55">
        <f>F159/'Revenue summary'!F92</f>
        <v>0.05390688461410338</v>
      </c>
      <c r="G165" s="55">
        <f>G159/'Revenue summary'!G92</f>
        <v>0.28851050438851533</v>
      </c>
      <c r="H165" s="71">
        <v>0.17</v>
      </c>
      <c r="I165" s="1"/>
    </row>
    <row r="166">
      <c r="A166" s="1"/>
      <c r="B166" s="66" t="s">
        <v>121</v>
      </c>
      <c r="C166" s="57">
        <f>IFERROR((C165-(Inputs!G147/Inputs!G115))*10000,"n/m")</f>
        <v>994.5361515435292</v>
      </c>
      <c r="D166" s="62">
        <f>IFERROR((D165-C165)*10000,"n/m")</f>
        <v>-1088.5722503351226</v>
      </c>
      <c r="E166" s="62"/>
      <c r="F166" s="62">
        <f>IFERROR((F165-D165)*10000,"n/m")</f>
        <v>-154.9143130597469</v>
      </c>
      <c r="G166" s="62">
        <f>IFERROR((G165-F165)*10000,"n/m")</f>
        <v>2346.03619774412</v>
      </c>
      <c r="H166" s="59">
        <f>IFERROR((H165-G165)*10000,"n/m")</f>
        <v>-1185.1050438851532</v>
      </c>
      <c r="I166" s="1"/>
    </row>
    <row r="167">
      <c r="A167" s="1"/>
      <c r="B167" s="66" t="s">
        <v>122</v>
      </c>
      <c r="C167" s="57">
        <f>IFERROR((C165-(Inputs!C147/Inputs!C115))*10000,"n/m")</f>
        <v>-494.3357011277402</v>
      </c>
      <c r="D167" s="57">
        <f>IFERROR((D165-(Inputs!D147/Inputs!D115))*10000,"n/m")</f>
        <v>468.4202054855174</v>
      </c>
      <c r="E167" s="57">
        <f>IFERROR((E165-(Inputs!E147/Inputs!E115))*10000,"n/m")</f>
        <v>75.85420821569141</v>
      </c>
      <c r="F167" s="57">
        <f>IFERROR((F165-(Inputs!F147/Inputs!F115))*10000,"n/m")</f>
        <v>125.82863858619419</v>
      </c>
      <c r="G167" s="57">
        <f>IFERROR((G165-(Inputs!G147/Inputs!G115))*10000,"n/m")</f>
        <v>2097.0857858927793</v>
      </c>
      <c r="H167" s="59">
        <f>IFERROR((H165-C165)*10000,"n/m")</f>
        <v>-82.55540953590324</v>
      </c>
      <c r="I167" s="1"/>
    </row>
    <row r="168">
      <c r="A168" s="1"/>
      <c r="B168" s="31" t="s">
        <v>110</v>
      </c>
      <c r="C168" s="26">
        <v>5.303</v>
      </c>
      <c r="D168" s="26">
        <v>2.24</v>
      </c>
      <c r="E168" s="15">
        <f>Inputs!F148+Inputs!G148+C168+D168</f>
        <v>10.689</v>
      </c>
      <c r="F168" s="26">
        <v>-8.805</v>
      </c>
      <c r="G168" s="26">
        <v>6.66</v>
      </c>
      <c r="H168" s="36">
        <f>'Revenue summary'!H118*H174</f>
        <v>4.578262472250179</v>
      </c>
      <c r="I168" s="8" t="s">
        <v>213</v>
      </c>
    </row>
    <row r="169">
      <c r="A169" s="1"/>
      <c r="B169" s="61" t="s">
        <v>82</v>
      </c>
      <c r="C169" s="55">
        <f>IF(Inputs!C148*C168&gt;0,C168/Inputs!C148-1,"n/m")</f>
        <v>-0.17411618128017448</v>
      </c>
      <c r="D169" s="55" t="str">
        <f>IF(Inputs!D148*D168&gt;0,D168/Inputs!D148-1,"n/m")</f>
        <v>n/m</v>
      </c>
      <c r="E169" s="55">
        <f>IF(Inputs!E148*E168&gt;0,E168/Inputs!E148-1,"n/m")</f>
        <v>-0.263944360280953</v>
      </c>
      <c r="F169" s="55" t="str">
        <f>IF(Inputs!F148*F168&gt;0,F168/Inputs!F148-1,"n/m")</f>
        <v>n/m</v>
      </c>
      <c r="G169" s="55">
        <f>IF(Inputs!G148*G168&gt;0,G168/Inputs!G148-1,"n/m")</f>
        <v>1.3811226313907756</v>
      </c>
      <c r="H169" s="56">
        <f>IF(C168*H168&gt;0,H168/C168-1,"n/m")</f>
        <v>-0.13666557189323414</v>
      </c>
      <c r="I169" s="1"/>
    </row>
    <row r="170">
      <c r="A170" s="1"/>
      <c r="B170" s="43" t="s">
        <v>118</v>
      </c>
      <c r="C170" s="15">
        <f>C168-Inputs!G148</f>
        <v>2.506</v>
      </c>
      <c r="D170" s="4">
        <f>D168-C168</f>
        <v>-3.0629999999999997</v>
      </c>
      <c r="E170" s="4"/>
      <c r="F170" s="4">
        <f>F168-D168</f>
        <v>-11.045</v>
      </c>
      <c r="G170" s="4">
        <f>G168-F168</f>
        <v>15.465</v>
      </c>
      <c r="H170" s="33">
        <f>H168-G168</f>
        <v>-2.081737527749821</v>
      </c>
      <c r="I170" s="1"/>
    </row>
    <row r="171">
      <c r="A171" s="1"/>
      <c r="B171" s="61" t="s">
        <v>85</v>
      </c>
      <c r="C171" s="58" t="s">
        <v>86</v>
      </c>
      <c r="D171" s="58" t="s">
        <v>86</v>
      </c>
      <c r="E171" s="58" t="s">
        <v>86</v>
      </c>
      <c r="F171" s="58" t="s">
        <v>86</v>
      </c>
      <c r="G171" s="58" t="s">
        <v>86</v>
      </c>
      <c r="H171" s="56" t="s">
        <v>86</v>
      </c>
      <c r="I171" s="8" t="s">
        <v>94</v>
      </c>
    </row>
    <row r="172">
      <c r="A172" s="1"/>
      <c r="B172" s="61" t="s">
        <v>88</v>
      </c>
      <c r="C172" s="58" t="s">
        <v>86</v>
      </c>
      <c r="D172" s="58" t="s">
        <v>86</v>
      </c>
      <c r="E172" s="58" t="s">
        <v>86</v>
      </c>
      <c r="F172" s="58" t="s">
        <v>86</v>
      </c>
      <c r="G172" s="58" t="s">
        <v>86</v>
      </c>
      <c r="H172" s="56" t="s">
        <v>86</v>
      </c>
      <c r="I172" s="8" t="s">
        <v>95</v>
      </c>
    </row>
    <row r="173">
      <c r="A173" s="1"/>
      <c r="B173" s="61" t="s">
        <v>89</v>
      </c>
      <c r="C173" s="58" t="s">
        <v>86</v>
      </c>
      <c r="D173" s="58" t="s">
        <v>86</v>
      </c>
      <c r="E173" s="58" t="s">
        <v>86</v>
      </c>
      <c r="F173" s="58" t="s">
        <v>86</v>
      </c>
      <c r="G173" s="58" t="s">
        <v>86</v>
      </c>
      <c r="H173" s="56" t="s">
        <v>86</v>
      </c>
      <c r="I173" s="8" t="s">
        <v>95</v>
      </c>
    </row>
    <row r="174">
      <c r="A174" s="1"/>
      <c r="B174" s="61" t="s">
        <v>214</v>
      </c>
      <c r="C174" s="55">
        <f>C168/'Revenue summary'!C99</f>
        <v>0.08480051171344047</v>
      </c>
      <c r="D174" s="55">
        <f>D168/'Revenue summary'!D99</f>
        <v>0.010672917947178586</v>
      </c>
      <c r="E174" s="55">
        <f>E168/'Revenue summary'!E99</f>
        <v>0.025465582511203285</v>
      </c>
      <c r="F174" s="55">
        <f>F168/'Revenue summary'!F99</f>
        <v>-0.27538860913896096</v>
      </c>
      <c r="G174" s="55">
        <f>G168/'Revenue summary'!G99</f>
        <v>0.24219062511364048</v>
      </c>
      <c r="H174" s="71">
        <v>0.08</v>
      </c>
      <c r="I174" s="1"/>
    </row>
    <row r="175">
      <c r="A175" s="1"/>
      <c r="B175" s="66" t="s">
        <v>121</v>
      </c>
      <c r="C175" s="57">
        <f>IFERROR((C174-(Inputs!G148/Inputs!G116))*10000,"n/m")</f>
        <v>-102.67636887898723</v>
      </c>
      <c r="D175" s="62">
        <f>IFERROR((D174-C174)*10000,"n/m")</f>
        <v>-741.2759376626188</v>
      </c>
      <c r="E175" s="62"/>
      <c r="F175" s="62">
        <f>IFERROR((F174-D174)*10000,"n/m")</f>
        <v>-2860.6152708613954</v>
      </c>
      <c r="G175" s="62">
        <f>IFERROR((G174-F174)*10000,"n/m")</f>
        <v>5175.792342526014</v>
      </c>
      <c r="H175" s="59">
        <f>IFERROR((H174-G174)*10000,"n/m")</f>
        <v>-1621.9062511364045</v>
      </c>
      <c r="I175" s="1"/>
    </row>
    <row r="176">
      <c r="A176" s="1"/>
      <c r="B176" s="66" t="s">
        <v>122</v>
      </c>
      <c r="C176" s="57">
        <f>IFERROR((C174-(Inputs!C148/Inputs!C116))*10000,"n/m")</f>
        <v>-741.2333057549849</v>
      </c>
      <c r="D176" s="57">
        <f>IFERROR((D174-(Inputs!D148/Inputs!D116))*10000,"n/m")</f>
        <v>553.7677926760182</v>
      </c>
      <c r="E176" s="57">
        <f>IFERROR((E174-(Inputs!E148/Inputs!E116))*10000,"n/m")</f>
        <v>-1314.8489627313843</v>
      </c>
      <c r="F176" s="57">
        <f>IFERROR((F174-(Inputs!F148/Inputs!F116))*10000,"n/m")</f>
        <v>-2783.484937967508</v>
      </c>
      <c r="G176" s="57">
        <f>IFERROR((G174-(Inputs!G148/Inputs!G116))*10000,"n/m")</f>
        <v>1471.224765123013</v>
      </c>
      <c r="H176" s="59">
        <f>IFERROR((H174-C174)*10000,"n/m")</f>
        <v>-48.00511713440467</v>
      </c>
      <c r="I176" s="1"/>
    </row>
    <row r="177">
      <c r="A177" s="1"/>
      <c r="B177" s="54" t="s">
        <v>215</v>
      </c>
      <c r="C177" s="32">
        <f>C153+C159+C168</f>
        <v>951.541</v>
      </c>
      <c r="D177" s="32">
        <f>D153+D159+D168</f>
        <v>994.2170000000001</v>
      </c>
      <c r="E177" s="64">
        <f>Inputs!F149+Inputs!G149+C177+D177</f>
        <v>3551.034</v>
      </c>
      <c r="F177" s="32">
        <f>F153+F159+F168</f>
        <v>863.7440000000001</v>
      </c>
      <c r="G177" s="32">
        <f>G153+G159+G168</f>
        <v>1187.327</v>
      </c>
      <c r="H177" s="44">
        <f>H153+H159+H168</f>
        <v>928.8830781468312</v>
      </c>
      <c r="I177" s="1"/>
    </row>
    <row r="178">
      <c r="A178" s="1"/>
      <c r="B178" s="61" t="s">
        <v>82</v>
      </c>
      <c r="C178" s="55">
        <f>IF(Inputs!C149*C177&gt;0,C177/Inputs!C149-1,"n/m")</f>
        <v>0.11628580847167536</v>
      </c>
      <c r="D178" s="55">
        <f>IF(Inputs!D149*D177&gt;0,D177/Inputs!D149-1,"n/m")</f>
        <v>0.37963826397793077</v>
      </c>
      <c r="E178" s="55">
        <f>IF(Inputs!E149*E177&gt;0,E177/Inputs!E149-1,"n/m")</f>
        <v>0.07796616961093417</v>
      </c>
      <c r="F178" s="55">
        <f>IF(Inputs!F149*F177&gt;0,F177/Inputs!F149-1,"n/m")</f>
        <v>0.13948892494821985</v>
      </c>
      <c r="G178" s="55">
        <f>IF(Inputs!G149*G177&gt;0,G177/Inputs!G149-1,"n/m")</f>
        <v>0.40136273614189655</v>
      </c>
      <c r="H178" s="56">
        <f>IF(C177*H177&gt;0,H177/C177-1,"n/m")</f>
        <v>-0.023811818779399863</v>
      </c>
      <c r="I178" s="1"/>
    </row>
    <row r="179">
      <c r="A179" s="1"/>
      <c r="B179" s="43" t="s">
        <v>118</v>
      </c>
      <c r="C179" s="15">
        <f>C177-Inputs!G149</f>
        <v>104.27500000000009</v>
      </c>
      <c r="D179" s="4">
        <f>D177-C177</f>
        <v>42.676000000000045</v>
      </c>
      <c r="E179" s="4"/>
      <c r="F179" s="4">
        <f>F177-D177</f>
        <v>-130.47299999999996</v>
      </c>
      <c r="G179" s="4">
        <f>G177-F177</f>
        <v>323.58299999999986</v>
      </c>
      <c r="H179" s="33">
        <f>H177-G177</f>
        <v>-258.44392185316883</v>
      </c>
      <c r="I179" s="1"/>
    </row>
    <row r="180">
      <c r="A180" s="1"/>
      <c r="B180" s="61" t="s">
        <v>85</v>
      </c>
      <c r="C180" s="58" t="s">
        <v>86</v>
      </c>
      <c r="D180" s="58" t="s">
        <v>86</v>
      </c>
      <c r="E180" s="58" t="s">
        <v>86</v>
      </c>
      <c r="F180" s="58" t="s">
        <v>86</v>
      </c>
      <c r="G180" s="58" t="s">
        <v>86</v>
      </c>
      <c r="H180" s="56" t="s">
        <v>86</v>
      </c>
      <c r="I180" s="8" t="s">
        <v>94</v>
      </c>
    </row>
    <row r="181">
      <c r="A181" s="1"/>
      <c r="B181" s="61" t="s">
        <v>88</v>
      </c>
      <c r="C181" s="58" t="s">
        <v>86</v>
      </c>
      <c r="D181" s="58" t="s">
        <v>86</v>
      </c>
      <c r="E181" s="58" t="s">
        <v>86</v>
      </c>
      <c r="F181" s="58" t="s">
        <v>86</v>
      </c>
      <c r="G181" s="58" t="s">
        <v>86</v>
      </c>
      <c r="H181" s="56" t="s">
        <v>86</v>
      </c>
      <c r="I181" s="8" t="s">
        <v>95</v>
      </c>
    </row>
    <row r="182">
      <c r="A182" s="1"/>
      <c r="B182" s="61" t="s">
        <v>89</v>
      </c>
      <c r="C182" s="58" t="s">
        <v>86</v>
      </c>
      <c r="D182" s="58" t="s">
        <v>86</v>
      </c>
      <c r="E182" s="58" t="s">
        <v>86</v>
      </c>
      <c r="F182" s="58" t="s">
        <v>86</v>
      </c>
      <c r="G182" s="58" t="s">
        <v>86</v>
      </c>
      <c r="H182" s="56" t="s">
        <v>86</v>
      </c>
      <c r="I182" s="8" t="s">
        <v>95</v>
      </c>
    </row>
    <row r="183">
      <c r="A183" s="1"/>
      <c r="B183" s="43" t="s">
        <v>216</v>
      </c>
      <c r="C183" s="26">
        <v>951.541</v>
      </c>
      <c r="D183" s="26">
        <v>994.217</v>
      </c>
      <c r="E183" s="26">
        <v>3551.034</v>
      </c>
      <c r="F183" s="26">
        <v>863.744</v>
      </c>
      <c r="G183" s="26">
        <v>1187.327</v>
      </c>
      <c r="H183" s="33"/>
      <c r="I183" s="8" t="s">
        <v>217</v>
      </c>
    </row>
    <row r="184">
      <c r="A184" s="1"/>
      <c r="B184" s="43" t="s">
        <v>218</v>
      </c>
      <c r="C184" s="4">
        <f>C177-C183</f>
        <v>0</v>
      </c>
      <c r="D184" s="4">
        <f>D177-D183</f>
        <v>0</v>
      </c>
      <c r="E184" s="4">
        <f>E177-E183</f>
        <v>0</v>
      </c>
      <c r="F184" s="4">
        <f>F177-F183</f>
        <v>0</v>
      </c>
      <c r="G184" s="4">
        <f>G177-G183</f>
        <v>0</v>
      </c>
      <c r="H184" s="33"/>
      <c r="I184" s="1"/>
    </row>
    <row r="185">
      <c r="A185" s="1"/>
      <c r="B185" s="1"/>
      <c r="C185" s="3"/>
      <c r="D185" s="3"/>
      <c r="E185" s="3"/>
      <c r="F185" s="3"/>
      <c r="G185" s="3"/>
      <c r="H185" s="37"/>
      <c r="I185" s="1"/>
    </row>
    <row r="186">
      <c r="A186" s="1"/>
      <c r="B186" s="2" t="s">
        <v>219</v>
      </c>
      <c r="C186" s="4"/>
      <c r="D186" s="4"/>
      <c r="E186" s="4"/>
      <c r="F186" s="4"/>
      <c r="G186" s="4"/>
      <c r="H186" s="33"/>
      <c r="I186" s="1"/>
    </row>
    <row r="187">
      <c r="A187" s="1"/>
      <c r="B187" s="31" t="s">
        <v>220</v>
      </c>
      <c r="C187" s="26">
        <v>-168.377</v>
      </c>
      <c r="D187" s="26">
        <v>-181.181</v>
      </c>
      <c r="E187" s="15">
        <f>Inputs!F150+Inputs!G150+C187+D187</f>
        <v>-690.292</v>
      </c>
      <c r="F187" s="26">
        <v>-193.137</v>
      </c>
      <c r="G187" s="26">
        <v>-262.168</v>
      </c>
      <c r="H187" s="33">
        <f>-H190*H153</f>
        <v>-204.71045411568375</v>
      </c>
      <c r="I187" s="8" t="s">
        <v>221</v>
      </c>
    </row>
    <row r="188">
      <c r="A188" s="1"/>
      <c r="B188" s="61" t="s">
        <v>82</v>
      </c>
      <c r="C188" s="55">
        <f>IF(Inputs!C150*C187&gt;0,C187/Inputs!C150-1,"n/m")</f>
        <v>0.010866498165903238</v>
      </c>
      <c r="D188" s="55">
        <f>IF(Inputs!D150*D187&gt;0,D187/Inputs!D150-1,"n/m")</f>
        <v>0.21252133177179178</v>
      </c>
      <c r="E188" s="55">
        <f>IF(Inputs!E150*E187&gt;0,E187/Inputs!E150-1,"n/m")</f>
        <v>0.02270784411043536</v>
      </c>
      <c r="F188" s="55">
        <f>IF(Inputs!F150*F187&gt;0,F187/Inputs!F150-1,"n/m")</f>
        <v>0.13260225773347023</v>
      </c>
      <c r="G188" s="55">
        <f>IF(Inputs!G150*G187&gt;0,G187/Inputs!G150-1,"n/m")</f>
        <v>0.5402710784976117</v>
      </c>
      <c r="H188" s="56">
        <f>IF(C187*H187&gt;0,H187/C187-1,"n/m")</f>
        <v>0.21578632542261555</v>
      </c>
      <c r="I188" s="1"/>
    </row>
    <row r="189">
      <c r="A189" s="1"/>
      <c r="B189" s="43" t="s">
        <v>118</v>
      </c>
      <c r="C189" s="15">
        <f>C187-Inputs!G150</f>
        <v>1.8319999999999936</v>
      </c>
      <c r="D189" s="4">
        <f>D187-C187</f>
        <v>-12.804000000000002</v>
      </c>
      <c r="E189" s="4"/>
      <c r="F189" s="4">
        <f>F187-D187</f>
        <v>-11.955999999999989</v>
      </c>
      <c r="G189" s="4">
        <f>G187-F187</f>
        <v>-69.031</v>
      </c>
      <c r="H189" s="33">
        <f>H187-G187</f>
        <v>57.45754588431626</v>
      </c>
      <c r="I189" s="1"/>
    </row>
    <row r="190">
      <c r="A190" s="1"/>
      <c r="B190" s="61" t="s">
        <v>222</v>
      </c>
      <c r="C190" s="58">
        <f>-C187/C153</f>
        <v>0.20699222812577603</v>
      </c>
      <c r="D190" s="58">
        <f>-D187/D153</f>
        <v>0.1972375143289792</v>
      </c>
      <c r="E190" s="58">
        <f>-E187/E153</f>
        <v>0.2109970375097965</v>
      </c>
      <c r="F190" s="58">
        <f>-F187/F153</f>
        <v>0.23256208796170863</v>
      </c>
      <c r="G190" s="58">
        <f>-G187/G153</f>
        <v>0.27033230597268093</v>
      </c>
      <c r="H190" s="71">
        <v>0.24</v>
      </c>
      <c r="I190" s="1"/>
    </row>
    <row r="191">
      <c r="A191" s="1"/>
      <c r="B191" s="66" t="s">
        <v>121</v>
      </c>
      <c r="C191" s="57">
        <f>IFERROR((C190-(-Inputs!G150/Inputs!G156))*10000,"n/m")</f>
        <v>-55.34710923921659</v>
      </c>
      <c r="D191" s="62">
        <f>IFERROR((D190-C190)*10000,"n/m")</f>
        <v>-97.54713796796821</v>
      </c>
      <c r="E191" s="62"/>
      <c r="F191" s="62">
        <f>IFERROR((F190-D190)*10000,"n/m")</f>
        <v>353.2457363272942</v>
      </c>
      <c r="G191" s="62">
        <f>IFERROR((G190-F190)*10000,"n/m")</f>
        <v>377.70218010972303</v>
      </c>
      <c r="H191" s="59">
        <f>IFERROR((H190-G190)*10000,"n/m")</f>
        <v>-303.3230597268094</v>
      </c>
      <c r="I191" s="1"/>
    </row>
    <row r="192">
      <c r="A192" s="1"/>
      <c r="B192" s="66" t="s">
        <v>122</v>
      </c>
      <c r="C192" s="57">
        <f>IFERROR((C190-(-Inputs!C150/Inputs!C156))*10000,"n/m")</f>
        <v>-98.99229137100063</v>
      </c>
      <c r="D192" s="57">
        <f>IFERROR((D190-(-Inputs!D150/Inputs!D156))*10000,"n/m")</f>
        <v>-155.37380725330564</v>
      </c>
      <c r="E192" s="57">
        <f>IFERROR((E190-(-Inputs!E150/Inputs!E156))*10000,"n/m")</f>
        <v>-82.39835691961878</v>
      </c>
      <c r="F192" s="57">
        <f>IFERROR((F190-(-Inputs!F150/Inputs!F156))*10000,"n/m")</f>
        <v>17.02047157594089</v>
      </c>
      <c r="G192" s="57">
        <f>IFERROR((G190-(-Inputs!G150/Inputs!G156))*10000,"n/m")</f>
        <v>578.0536692298324</v>
      </c>
      <c r="H192" s="59">
        <f>IFERROR((H190-C190)*10000,"n/m")</f>
        <v>330.0777187422396</v>
      </c>
      <c r="I192" s="1"/>
    </row>
    <row r="193">
      <c r="A193" s="1"/>
      <c r="B193" s="31" t="s">
        <v>223</v>
      </c>
      <c r="C193" s="26">
        <v>-95.228</v>
      </c>
      <c r="D193" s="26">
        <v>-104.444</v>
      </c>
      <c r="E193" s="15">
        <f>Inputs!F151+Inputs!G151+C193+D193</f>
        <v>-370.00100000000003</v>
      </c>
      <c r="F193" s="26">
        <v>-90.2</v>
      </c>
      <c r="G193" s="26">
        <v>-94.624</v>
      </c>
      <c r="H193" s="60">
        <v>-95</v>
      </c>
      <c r="I193" s="8" t="s">
        <v>155</v>
      </c>
    </row>
    <row r="194">
      <c r="A194" s="1"/>
      <c r="B194" s="61" t="s">
        <v>82</v>
      </c>
      <c r="C194" s="55">
        <f>IF(Inputs!C151*C193&gt;0,C193/Inputs!C151-1,"n/m")</f>
        <v>-0.05470572469450774</v>
      </c>
      <c r="D194" s="55">
        <f>IF(Inputs!D151*D193&gt;0,D193/Inputs!D151-1,"n/m")</f>
        <v>0.07185813099074334</v>
      </c>
      <c r="E194" s="55">
        <f>IF(Inputs!E151*E193&gt;0,E193/Inputs!E151-1,"n/m")</f>
        <v>-0.027134972825586745</v>
      </c>
      <c r="F194" s="55">
        <f>IF(Inputs!F151*F193&gt;0,F193/Inputs!F151-1,"n/m")</f>
        <v>0.08308017434949133</v>
      </c>
      <c r="G194" s="55">
        <f>IF(Inputs!G151*G193&gt;0,G193/Inputs!G151-1,"n/m")</f>
        <v>0.08703244187115144</v>
      </c>
      <c r="H194" s="56">
        <f>IF(C193*H193&gt;0,H193/C193-1,"n/m")</f>
        <v>-0.002394253790901746</v>
      </c>
      <c r="I194" s="1"/>
    </row>
    <row r="195">
      <c r="A195" s="1"/>
      <c r="B195" s="43" t="s">
        <v>118</v>
      </c>
      <c r="C195" s="15">
        <f>C193-Inputs!G151</f>
        <v>-8.179999999999993</v>
      </c>
      <c r="D195" s="4">
        <f>D193-C193</f>
        <v>-9.216000000000008</v>
      </c>
      <c r="E195" s="4"/>
      <c r="F195" s="4">
        <f>F193-D193</f>
        <v>14.244</v>
      </c>
      <c r="G195" s="4">
        <f>G193-F193</f>
        <v>-4.423999999999992</v>
      </c>
      <c r="H195" s="33">
        <f>H193-G193</f>
        <v>-0.3760000000000048</v>
      </c>
      <c r="I195" s="1"/>
    </row>
    <row r="196">
      <c r="A196" s="1"/>
      <c r="B196" s="54" t="s">
        <v>224</v>
      </c>
      <c r="C196" s="32">
        <f>C153+C187+C193</f>
        <v>549.841</v>
      </c>
      <c r="D196" s="32">
        <f>D153+D187+D193</f>
        <v>632.9680000000001</v>
      </c>
      <c r="E196" s="64">
        <f>Inputs!F152+Inputs!G152+C196+D196</f>
        <v>2211.2790000000005</v>
      </c>
      <c r="F196" s="32">
        <f>F153+F187+F193</f>
        <v>547.1380000000001</v>
      </c>
      <c r="G196" s="32">
        <f>G153+G187+G193</f>
        <v>613.007</v>
      </c>
      <c r="H196" s="44">
        <f>H153+H187+H193</f>
        <v>553.2497713663319</v>
      </c>
      <c r="I196" s="1"/>
    </row>
    <row r="197">
      <c r="A197" s="1"/>
      <c r="B197" s="61" t="s">
        <v>82</v>
      </c>
      <c r="C197" s="55">
        <f>IF(Inputs!C152*C196&gt;0,C196/Inputs!C152-1,"n/m")</f>
        <v>0.09821478504717707</v>
      </c>
      <c r="D197" s="55">
        <f>IF(Inputs!D152*D196&gt;0,D196/Inputs!D152-1,"n/m")</f>
        <v>0.3899135048012632</v>
      </c>
      <c r="E197" s="55">
        <f>IF(Inputs!E152*E196&gt;0,E196/Inputs!E152-1,"n/m")</f>
        <v>0.09284447686486641</v>
      </c>
      <c r="F197" s="55">
        <f>IF(Inputs!F152*F196&gt;0,F196/Inputs!F152-1,"n/m")</f>
        <v>0.1284802359516961</v>
      </c>
      <c r="G197" s="55">
        <f>IF(Inputs!G152*G196&gt;0,G196/Inputs!G152-1,"n/m")</f>
        <v>0.12762842032651167</v>
      </c>
      <c r="H197" s="56">
        <f>IF(C196*H196&gt;0,H196/C196-1,"n/m")</f>
        <v>0.006199558356564605</v>
      </c>
      <c r="I197" s="1"/>
    </row>
    <row r="198">
      <c r="A198" s="1"/>
      <c r="B198" s="43" t="s">
        <v>118</v>
      </c>
      <c r="C198" s="15">
        <f>C196-Inputs!G152</f>
        <v>6.216000000000008</v>
      </c>
      <c r="D198" s="4">
        <f>D196-C196</f>
        <v>83.12700000000007</v>
      </c>
      <c r="E198" s="4"/>
      <c r="F198" s="4">
        <f>F196-D196</f>
        <v>-85.82999999999993</v>
      </c>
      <c r="G198" s="4">
        <f>G196-F196</f>
        <v>65.8689999999998</v>
      </c>
      <c r="H198" s="33">
        <f>H196-G196</f>
        <v>-59.75722863366809</v>
      </c>
      <c r="I198" s="1"/>
    </row>
    <row r="199">
      <c r="A199" s="1"/>
      <c r="B199" s="61" t="s">
        <v>225</v>
      </c>
      <c r="C199" s="58">
        <f>C196/C153</f>
        <v>0.6759403820290468</v>
      </c>
      <c r="D199" s="58">
        <f>D196/D153</f>
        <v>0.6890625119067966</v>
      </c>
      <c r="E199" s="58">
        <f>E196/E153</f>
        <v>0.6759071785673677</v>
      </c>
      <c r="F199" s="58">
        <f>F196/F153</f>
        <v>0.6588253710226076</v>
      </c>
      <c r="G199" s="58">
        <f>G196/G153</f>
        <v>0.6320969602979586</v>
      </c>
      <c r="H199" s="56">
        <f>H196/H153</f>
        <v>0.6486231770698163</v>
      </c>
      <c r="I199" s="1"/>
    </row>
    <row r="200">
      <c r="A200" s="1"/>
      <c r="B200" s="66" t="s">
        <v>121</v>
      </c>
      <c r="C200" s="57">
        <f>IFERROR((C199-(Inputs!G152/Inputs!G156))*10000,"n/m")</f>
        <v>-28.425098326755325</v>
      </c>
      <c r="D200" s="62">
        <f>IFERROR((D199-C199)*10000,"n/m")</f>
        <v>131.22129877749745</v>
      </c>
      <c r="E200" s="62"/>
      <c r="F200" s="62">
        <f>IFERROR((F199-D199)*10000,"n/m")</f>
        <v>-302.3714088418894</v>
      </c>
      <c r="G200" s="62">
        <f>IFERROR((G199-F199)*10000,"n/m")</f>
        <v>-267.2841072464904</v>
      </c>
      <c r="H200" s="59">
        <f>IFERROR((H199-G199)*10000,"n/m")</f>
        <v>165.26216771857727</v>
      </c>
      <c r="I200" s="1"/>
    </row>
    <row r="201">
      <c r="A201" s="1"/>
      <c r="B201" s="66" t="s">
        <v>122</v>
      </c>
      <c r="C201" s="57">
        <f>IFERROR((C199-(Inputs!C152/Inputs!C156))*10000,"n/m")</f>
        <v>240.06853029367227</v>
      </c>
      <c r="D201" s="57">
        <f>IFERROR((D199-(Inputs!D152/Inputs!D156))*10000,"n/m")</f>
        <v>405.9070342342552</v>
      </c>
      <c r="E201" s="57">
        <f>IFERROR((E199-(Inputs!E152/Inputs!E156))*10000,"n/m")</f>
        <v>186.7695622041765</v>
      </c>
      <c r="F201" s="57">
        <f>IFERROR((F199-(Inputs!F152/Inputs!F156))*10000,"n/m")</f>
        <v>24.328392315452476</v>
      </c>
      <c r="G201" s="57">
        <f>IFERROR((G199-(Inputs!G152/Inputs!G156))*10000,"n/m")</f>
        <v>-466.85931563763774</v>
      </c>
      <c r="H201" s="59">
        <f>IFERROR((H199-C199)*10000,"n/m")</f>
        <v>-273.17204959230514</v>
      </c>
      <c r="I201" s="1"/>
    </row>
    <row r="202">
      <c r="A202" s="1"/>
      <c r="B202" s="31" t="s">
        <v>226</v>
      </c>
      <c r="C202" s="26">
        <v>-69.623</v>
      </c>
      <c r="D202" s="26">
        <v>-27.829</v>
      </c>
      <c r="E202" s="15">
        <f>Inputs!F153+Inputs!G153+C202+D202</f>
        <v>-130.36100000000002</v>
      </c>
      <c r="F202" s="26">
        <v>-22.956</v>
      </c>
      <c r="G202" s="26">
        <v>-85.259</v>
      </c>
      <c r="H202" s="33">
        <f>-H205*H159</f>
        <v>-32.10506558665438</v>
      </c>
      <c r="I202" s="8" t="s">
        <v>227</v>
      </c>
    </row>
    <row r="203">
      <c r="A203" s="1"/>
      <c r="B203" s="61" t="s">
        <v>82</v>
      </c>
      <c r="C203" s="55">
        <f>IF(Inputs!C153*C202&gt;0,C202/Inputs!C153-1,"n/m")</f>
        <v>0.5554388865306852</v>
      </c>
      <c r="D203" s="55">
        <f>IF(Inputs!D153*D202&gt;0,D202/Inputs!D153-1,"n/m")</f>
        <v>2.0608227012758467</v>
      </c>
      <c r="E203" s="55">
        <f>IF(Inputs!E153*E202&gt;0,E202/Inputs!E153-1,"n/m")</f>
        <v>0.29056241399451577</v>
      </c>
      <c r="F203" s="55">
        <f>IF(Inputs!F153*F202&gt;0,F202/Inputs!F153-1,"n/m")</f>
        <v>1.6175598631698973</v>
      </c>
      <c r="G203" s="55">
        <f>IF(Inputs!G153*G202&gt;0,G202/Inputs!G153-1,"n/m")</f>
        <v>2.5320021541903146</v>
      </c>
      <c r="H203" s="56">
        <f>IF(C202*H202&gt;0,H202/C202-1,"n/m")</f>
        <v>-0.5388727060503802</v>
      </c>
      <c r="I203" s="1"/>
    </row>
    <row r="204">
      <c r="A204" s="1"/>
      <c r="B204" s="43" t="s">
        <v>118</v>
      </c>
      <c r="C204" s="15">
        <f>C202-Inputs!G153</f>
        <v>-45.48400000000001</v>
      </c>
      <c r="D204" s="4">
        <f>D202-C202</f>
        <v>41.794000000000004</v>
      </c>
      <c r="E204" s="4"/>
      <c r="F204" s="4">
        <f>F202-D202</f>
        <v>4.873000000000001</v>
      </c>
      <c r="G204" s="4">
        <f>G202-F202</f>
        <v>-62.303</v>
      </c>
      <c r="H204" s="33">
        <f>H202-G202</f>
        <v>53.15393441334562</v>
      </c>
      <c r="I204" s="1"/>
    </row>
    <row r="205">
      <c r="A205" s="1"/>
      <c r="B205" s="61" t="s">
        <v>228</v>
      </c>
      <c r="C205" s="58">
        <f>IFERROR(-C202/C159,0)</f>
        <v>0.5243011627206459</v>
      </c>
      <c r="D205" s="58">
        <f>IFERROR(-D202/D159,0)</f>
        <v>0.37922435408263383</v>
      </c>
      <c r="E205" s="58">
        <f>IFERROR(-E202/E159,0)</f>
        <v>0.48502267712902714</v>
      </c>
      <c r="F205" s="58">
        <f>IFERROR(-F202/F159,0)</f>
        <v>0.5456101155107668</v>
      </c>
      <c r="G205" s="58">
        <f>IFERROR(-G202/G159,0)</f>
        <v>0.40432403209590834</v>
      </c>
      <c r="H205" s="71">
        <v>0.45</v>
      </c>
      <c r="I205" s="1"/>
    </row>
    <row r="206">
      <c r="A206" s="1"/>
      <c r="B206" s="66" t="s">
        <v>121</v>
      </c>
      <c r="C206" s="57">
        <f>IFERROR((C205-(IFERROR(-Inputs!G153/Inputs!G147,0)))*10000,"n/m")</f>
        <v>-295.10753676444955</v>
      </c>
      <c r="D206" s="62">
        <f>IFERROR((D205-C205)*10000,"n/m")</f>
        <v>-1450.7680863801204</v>
      </c>
      <c r="E206" s="62"/>
      <c r="F206" s="62">
        <f>IFERROR((F205-D205)*10000,"n/m")</f>
        <v>1663.8576142813295</v>
      </c>
      <c r="G206" s="62">
        <f>IFERROR((G205-F205)*10000,"n/m")</f>
        <v>-1412.8608341485842</v>
      </c>
      <c r="H206" s="59">
        <f>IFERROR((H205-G205)*10000,"n/m")</f>
        <v>456.75967904091675</v>
      </c>
      <c r="I206" s="1"/>
    </row>
    <row r="207">
      <c r="A207" s="1"/>
      <c r="B207" s="66" t="s">
        <v>122</v>
      </c>
      <c r="C207" s="57">
        <f>IFERROR((C205-(IFERROR(-Inputs!C153/Inputs!C147,0)))*10000,"n/m")</f>
        <v>-493.9599961818164</v>
      </c>
      <c r="D207" s="57">
        <f>IFERROR((D205-(IFERROR(-Inputs!D153/Inputs!D147,0)))*10000,"n/m")</f>
        <v>-867.2142565395202</v>
      </c>
      <c r="E207" s="57">
        <f>IFERROR((E205-(IFERROR(-Inputs!E153/Inputs!E147,0)))*10000,"n/m")</f>
        <v>-175.84625308104006</v>
      </c>
      <c r="F207" s="57">
        <f>IFERROR((F205-(IFERROR(-Inputs!F153/Inputs!F147,0)))*10000,"n/m")</f>
        <v>842.7397663649011</v>
      </c>
      <c r="G207" s="57">
        <f>IFERROR((G205-(IFERROR(-Inputs!G153/Inputs!G147,0)))*10000,"n/m")</f>
        <v>-1494.8788430118248</v>
      </c>
      <c r="H207" s="59">
        <f>IFERROR((H205-C205)*10000,"n/m")</f>
        <v>-743.0116272064586</v>
      </c>
      <c r="I207" s="1"/>
    </row>
    <row r="208">
      <c r="A208" s="1"/>
      <c r="B208" s="54" t="s">
        <v>229</v>
      </c>
      <c r="C208" s="32">
        <f>C159+C202+C168</f>
        <v>68.472</v>
      </c>
      <c r="D208" s="32">
        <f>D159+D202+D168</f>
        <v>47.795</v>
      </c>
      <c r="E208" s="64">
        <f>Inputs!F154+Inputs!G154+C208+D208</f>
        <v>149.101</v>
      </c>
      <c r="F208" s="32">
        <f>F159+F202+F168</f>
        <v>10.312999999999999</v>
      </c>
      <c r="G208" s="32">
        <f>G159+G202+G168</f>
        <v>132.269</v>
      </c>
      <c r="H208" s="44">
        <f>H159+H202+H168</f>
        <v>43.81778707816109</v>
      </c>
      <c r="I208" s="1"/>
    </row>
    <row r="209">
      <c r="A209" s="1"/>
      <c r="B209" s="61" t="s">
        <v>82</v>
      </c>
      <c r="C209" s="55">
        <f>IF(Inputs!C154*C208&gt;0,C208/Inputs!C154-1,"n/m")</f>
        <v>0.7255178670429916</v>
      </c>
      <c r="D209" s="55">
        <f>IF(Inputs!D154*D208&gt;0,D208/Inputs!D154-1,"n/m")</f>
        <v>4.152544200086244</v>
      </c>
      <c r="E209" s="55">
        <f>IF(Inputs!E154*E208&gt;0,E208/Inputs!E154-1,"n/m")</f>
        <v>0.3023627549460628</v>
      </c>
      <c r="F209" s="55">
        <f>IF(Inputs!F154*F208&gt;0,F208/Inputs!F154-1,"n/m")</f>
        <v>-0.026064784210029446</v>
      </c>
      <c r="G209" s="55">
        <f>IF(Inputs!G154*G208&gt;0,G208/Inputs!G154-1,"n/m")</f>
        <v>4.946010339402113</v>
      </c>
      <c r="H209" s="56">
        <f>IF(C208*H208&gt;0,H208/C208-1,"n/m")</f>
        <v>-0.3600626960193788</v>
      </c>
      <c r="I209" s="1"/>
    </row>
    <row r="210">
      <c r="A210" s="1"/>
      <c r="B210" s="43" t="s">
        <v>118</v>
      </c>
      <c r="C210" s="15">
        <f>C208-Inputs!G154</f>
        <v>46.22699999999999</v>
      </c>
      <c r="D210" s="4">
        <f>D208-C208</f>
        <v>-20.676999999999992</v>
      </c>
      <c r="E210" s="4"/>
      <c r="F210" s="4">
        <f>F208-D208</f>
        <v>-37.482</v>
      </c>
      <c r="G210" s="4">
        <f>G208-F208</f>
        <v>121.956</v>
      </c>
      <c r="H210" s="33">
        <f>H208-G208</f>
        <v>-88.45121292183892</v>
      </c>
      <c r="I210" s="1"/>
    </row>
    <row r="211">
      <c r="A211" s="1"/>
      <c r="B211" s="54" t="s">
        <v>230</v>
      </c>
      <c r="C211" s="32">
        <f>C196+C208</f>
        <v>618.313</v>
      </c>
      <c r="D211" s="32">
        <f>D196+D208</f>
        <v>680.763</v>
      </c>
      <c r="E211" s="64">
        <f>Inputs!F155+Inputs!G155+C211+D211</f>
        <v>2360.38</v>
      </c>
      <c r="F211" s="32">
        <f>F196+F208</f>
        <v>557.4510000000001</v>
      </c>
      <c r="G211" s="32">
        <f>G196+G208</f>
        <v>745.276</v>
      </c>
      <c r="H211" s="44">
        <f>H196+H208</f>
        <v>597.067558444493</v>
      </c>
      <c r="I211" s="1"/>
    </row>
    <row r="212">
      <c r="A212" s="1"/>
      <c r="B212" s="61" t="s">
        <v>82</v>
      </c>
      <c r="C212" s="55">
        <f>IF(Inputs!C155*C211&gt;0,C211/Inputs!C155-1,"n/m")</f>
        <v>0.144282409549366</v>
      </c>
      <c r="D212" s="55">
        <f>IF(Inputs!D155*D211&gt;0,D211/Inputs!D155-1,"n/m")</f>
        <v>0.465024092003693</v>
      </c>
      <c r="E212" s="55">
        <f>IF(Inputs!E155*E211&gt;0,E211/Inputs!E155-1,"n/m")</f>
        <v>0.10406421999896165</v>
      </c>
      <c r="F212" s="55">
        <f>IF(Inputs!F155*F211&gt;0,F211/Inputs!F155-1,"n/m")</f>
        <v>0.12517711743642979</v>
      </c>
      <c r="G212" s="55">
        <f>IF(Inputs!G155*G211&gt;0,G211/Inputs!G155-1,"n/m")</f>
        <v>0.31704455086857397</v>
      </c>
      <c r="H212" s="56">
        <f>IF(C211*H211&gt;0,H211/C211-1,"n/m")</f>
        <v>-0.03436033458055543</v>
      </c>
      <c r="I212" s="1"/>
    </row>
    <row r="213">
      <c r="A213" s="1"/>
      <c r="B213" s="43" t="s">
        <v>118</v>
      </c>
      <c r="C213" s="15">
        <f>C211-Inputs!G155</f>
        <v>52.442999999999984</v>
      </c>
      <c r="D213" s="4">
        <f>D211-C211</f>
        <v>62.450000000000045</v>
      </c>
      <c r="E213" s="4"/>
      <c r="F213" s="4">
        <f>F211-D211</f>
        <v>-123.3119999999999</v>
      </c>
      <c r="G213" s="4">
        <f>G211-F211</f>
        <v>187.82499999999982</v>
      </c>
      <c r="H213" s="33">
        <f>H211-G211</f>
        <v>-148.20844155550697</v>
      </c>
      <c r="I213" s="1"/>
    </row>
    <row r="214">
      <c r="A214" s="1"/>
      <c r="B214" s="61" t="s">
        <v>231</v>
      </c>
      <c r="C214" s="58">
        <f>C211/C177</f>
        <v>0.6498017426469274</v>
      </c>
      <c r="D214" s="58">
        <f>D211/D177</f>
        <v>0.6847227516729245</v>
      </c>
      <c r="E214" s="58">
        <f>E211/E177</f>
        <v>0.6647021684388266</v>
      </c>
      <c r="F214" s="58">
        <f>F211/F177</f>
        <v>0.645389143079431</v>
      </c>
      <c r="G214" s="58">
        <f>G211/G177</f>
        <v>0.6276922869605425</v>
      </c>
      <c r="H214" s="56">
        <f>H211/H177</f>
        <v>0.642780100629751</v>
      </c>
      <c r="I214" s="1"/>
    </row>
    <row r="215">
      <c r="A215" s="1"/>
      <c r="B215" s="66" t="s">
        <v>121</v>
      </c>
      <c r="C215" s="57">
        <f>IFERROR((C214-(Inputs!G155/Inputs!G149))*10000,"n/m")</f>
        <v>-180.75877840617372</v>
      </c>
      <c r="D215" s="62">
        <f>IFERROR((D214-C214)*10000,"n/m")</f>
        <v>349.21009025997154</v>
      </c>
      <c r="E215" s="62"/>
      <c r="F215" s="62">
        <f>IFERROR((F214-D214)*10000,"n/m")</f>
        <v>-393.3360859349355</v>
      </c>
      <c r="G215" s="62">
        <f>IFERROR((G214-F214)*10000,"n/m")</f>
        <v>-176.96856118888493</v>
      </c>
      <c r="H215" s="59">
        <f>IFERROR((H214-G214)*10000,"n/m")</f>
        <v>150.87813669208526</v>
      </c>
      <c r="I215" s="1"/>
    </row>
    <row r="216">
      <c r="A216" s="1"/>
      <c r="B216" s="66" t="s">
        <v>122</v>
      </c>
      <c r="C216" s="57">
        <f>IFERROR((C214-(Inputs!C155/Inputs!C149))*10000,"n/m")</f>
        <v>158.98383140957816</v>
      </c>
      <c r="D216" s="57">
        <f>IFERROR((D214-(Inputs!D155/Inputs!D149))*10000,"n/m")</f>
        <v>399.07616153744164</v>
      </c>
      <c r="E216" s="57">
        <f>IFERROR((E214-(Inputs!E155/Inputs!E149))*10000,"n/m")</f>
        <v>157.1233844075115</v>
      </c>
      <c r="F216" s="57">
        <f>IFERROR((F214-(Inputs!F155/Inputs!F149))*10000,"n/m")</f>
        <v>-82.09094410839613</v>
      </c>
      <c r="G216" s="57">
        <f>IFERROR((G214-(Inputs!G155/Inputs!G149))*10000,"n/m")</f>
        <v>-401.8533352700226</v>
      </c>
      <c r="H216" s="59">
        <f>IFERROR((H214-C214)*10000,"n/m")</f>
        <v>-70.21642017176366</v>
      </c>
      <c r="I216" s="1"/>
    </row>
    <row r="217">
      <c r="A217" s="1"/>
      <c r="B217" s="43" t="s">
        <v>232</v>
      </c>
      <c r="C217" s="26">
        <v>618.313</v>
      </c>
      <c r="D217" s="26">
        <v>680.763</v>
      </c>
      <c r="E217" s="26">
        <v>2360.38</v>
      </c>
      <c r="F217" s="26">
        <v>557.451</v>
      </c>
      <c r="G217" s="26">
        <v>745.276</v>
      </c>
      <c r="H217" s="33"/>
      <c r="I217" s="1"/>
    </row>
    <row r="218">
      <c r="A218" s="1"/>
      <c r="B218" s="43" t="s">
        <v>218</v>
      </c>
      <c r="C218" s="4">
        <f>C211-C217</f>
        <v>0</v>
      </c>
      <c r="D218" s="4">
        <f>D211-D217</f>
        <v>0</v>
      </c>
      <c r="E218" s="4">
        <f>E211-E217</f>
        <v>0</v>
      </c>
      <c r="F218" s="4">
        <f>F211-F217</f>
        <v>0</v>
      </c>
      <c r="G218" s="4">
        <f>G211-G217</f>
        <v>0</v>
      </c>
      <c r="H218" s="33"/>
      <c r="I218" s="1"/>
    </row>
    <row r="219">
      <c r="A219" s="1"/>
      <c r="B219" s="1"/>
      <c r="C219" s="3"/>
      <c r="D219" s="3"/>
      <c r="E219" s="3"/>
      <c r="F219" s="3"/>
      <c r="G219" s="3"/>
      <c r="H219" s="37"/>
      <c r="I219" s="1"/>
    </row>
    <row r="220">
      <c r="A220" s="1"/>
      <c r="B220" s="2" t="s">
        <v>233</v>
      </c>
      <c r="C220" s="4"/>
      <c r="D220" s="4"/>
      <c r="E220" s="4"/>
      <c r="F220" s="4"/>
      <c r="G220" s="4"/>
      <c r="H220" s="33"/>
      <c r="I220" s="1"/>
    </row>
    <row r="221">
      <c r="A221" s="1"/>
      <c r="B221" s="40" t="s">
        <v>234</v>
      </c>
      <c r="C221" s="68">
        <v>-0.006</v>
      </c>
      <c r="D221" s="68">
        <v>-0.003</v>
      </c>
      <c r="E221" s="68">
        <v>-0.006</v>
      </c>
      <c r="F221" s="68">
        <v>-0.009000000000000001</v>
      </c>
      <c r="G221" s="68">
        <v>0.004</v>
      </c>
      <c r="H221" s="56"/>
      <c r="I221" s="8" t="s">
        <v>235</v>
      </c>
    </row>
    <row r="222">
      <c r="A222" s="1"/>
      <c r="B222" s="43" t="s">
        <v>121</v>
      </c>
      <c r="C222" s="57">
        <f>(C221-Inputs!G157)*10000</f>
        <v>-70</v>
      </c>
      <c r="D222" s="62">
        <f>IFERROR((D221-C221)*10000,"n/m")</f>
        <v>30</v>
      </c>
      <c r="E222" s="62"/>
      <c r="F222" s="62">
        <f>IFERROR((F221-D221)*10000,"n/m")</f>
        <v>-60.00000000000001</v>
      </c>
      <c r="G222" s="62">
        <f>IFERROR((G221-F221)*10000,"n/m")</f>
        <v>130</v>
      </c>
      <c r="H222" s="59"/>
      <c r="I222" s="1"/>
    </row>
    <row r="223">
      <c r="A223" s="1"/>
      <c r="B223" s="43" t="s">
        <v>122</v>
      </c>
      <c r="C223" s="57">
        <f>(C221-Inputs!C157)*10000</f>
        <v>-170</v>
      </c>
      <c r="D223" s="57">
        <f>(D221-Inputs!D157)*10000</f>
        <v>479.99999999999994</v>
      </c>
      <c r="E223" s="57">
        <f>(E221-Inputs!E157)*10000</f>
        <v>310.00000000000006</v>
      </c>
      <c r="F223" s="57">
        <f>(F221-Inputs!F157)*10000</f>
        <v>-110.00000000000001</v>
      </c>
      <c r="G223" s="57">
        <f>(G221-Inputs!G157)*10000</f>
        <v>30</v>
      </c>
      <c r="H223" s="59"/>
      <c r="I223" s="1"/>
    </row>
    <row r="224">
      <c r="A224" s="1"/>
      <c r="B224" s="40" t="s">
        <v>236</v>
      </c>
      <c r="C224" s="68">
        <v>0.006</v>
      </c>
      <c r="D224" s="68">
        <v>0.015</v>
      </c>
      <c r="E224" s="68">
        <v>0.03</v>
      </c>
      <c r="F224" s="68">
        <v>0.008</v>
      </c>
      <c r="G224" s="68">
        <v>0.002</v>
      </c>
      <c r="H224" s="56"/>
      <c r="I224" s="8" t="s">
        <v>235</v>
      </c>
    </row>
    <row r="225">
      <c r="A225" s="1"/>
      <c r="B225" s="43" t="s">
        <v>121</v>
      </c>
      <c r="C225" s="57">
        <f>(C224-Inputs!G158)*10000</f>
        <v>100</v>
      </c>
      <c r="D225" s="62">
        <f>IFERROR((D224-C224)*10000,"n/m")</f>
        <v>90</v>
      </c>
      <c r="E225" s="62"/>
      <c r="F225" s="62">
        <f>IFERROR((F224-D224)*10000,"n/m")</f>
        <v>-69.99999999999999</v>
      </c>
      <c r="G225" s="62">
        <f>IFERROR((G224-F224)*10000,"n/m")</f>
        <v>-60</v>
      </c>
      <c r="H225" s="59"/>
      <c r="I225" s="1"/>
    </row>
    <row r="226">
      <c r="A226" s="1"/>
      <c r="B226" s="43" t="s">
        <v>122</v>
      </c>
      <c r="C226" s="57">
        <f>(C224-Inputs!C158)*10000</f>
        <v>110</v>
      </c>
      <c r="D226" s="57">
        <f>(D224-Inputs!D158)*10000</f>
        <v>230</v>
      </c>
      <c r="E226" s="57">
        <f>(E224-Inputs!E158)*10000</f>
        <v>290</v>
      </c>
      <c r="F226" s="57">
        <f>(F224-Inputs!F158)*10000</f>
        <v>-40</v>
      </c>
      <c r="G226" s="57">
        <f>(G224-Inputs!G158)*10000</f>
        <v>60</v>
      </c>
      <c r="H226" s="59"/>
      <c r="I226" s="1"/>
    </row>
    <row r="227">
      <c r="A227" s="1"/>
      <c r="B227" s="40" t="s">
        <v>237</v>
      </c>
      <c r="C227" s="58"/>
      <c r="D227" s="58"/>
      <c r="E227" s="58"/>
      <c r="F227" s="58"/>
      <c r="G227" s="58"/>
      <c r="H227" s="71">
        <v>0.012</v>
      </c>
      <c r="I227" s="1"/>
    </row>
    <row r="228">
      <c r="A228" s="1"/>
      <c r="B228" s="40" t="s">
        <v>238</v>
      </c>
      <c r="C228" s="58"/>
      <c r="D228" s="58"/>
      <c r="E228" s="58"/>
      <c r="F228" s="58"/>
      <c r="G228" s="58"/>
      <c r="H228" s="71">
        <v>0.006</v>
      </c>
      <c r="I228" s="1"/>
    </row>
    <row r="229">
      <c r="A229" s="1"/>
      <c r="B229" s="40" t="s">
        <v>239</v>
      </c>
      <c r="C229" s="58"/>
      <c r="D229" s="58"/>
      <c r="E229" s="58"/>
      <c r="F229" s="58"/>
      <c r="G229" s="58"/>
      <c r="H229" s="56">
        <f>(1+H227)*(1+H228)*(1+H138)-1</f>
        <v>0.022144288000000012</v>
      </c>
      <c r="I229" s="8" t="s">
        <v>240</v>
      </c>
    </row>
    <row r="230">
      <c r="A230" s="1"/>
      <c r="B230" s="1"/>
      <c r="C230" s="3"/>
      <c r="D230" s="3"/>
      <c r="E230" s="3"/>
      <c r="F230" s="3"/>
      <c r="G230" s="3"/>
      <c r="H230" s="37"/>
      <c r="I230" s="1"/>
    </row>
    <row r="231">
      <c r="A231" s="1"/>
      <c r="B231" s="2" t="s">
        <v>241</v>
      </c>
      <c r="C231" s="4"/>
      <c r="D231" s="4"/>
      <c r="E231" s="4"/>
      <c r="F231" s="4"/>
      <c r="G231" s="4"/>
      <c r="H231" s="33"/>
      <c r="I231" s="1"/>
    </row>
    <row r="232">
      <c r="A232" s="1"/>
      <c r="B232" s="43" t="s">
        <v>242</v>
      </c>
      <c r="C232" s="26">
        <v>547</v>
      </c>
      <c r="D232" s="26">
        <v>530</v>
      </c>
      <c r="E232" s="4">
        <f>D232</f>
        <v>530</v>
      </c>
      <c r="F232" s="26">
        <v>549</v>
      </c>
      <c r="G232" s="26">
        <v>553</v>
      </c>
      <c r="H232" s="33"/>
      <c r="I232" s="8" t="s">
        <v>243</v>
      </c>
    </row>
    <row r="233">
      <c r="A233" s="1"/>
      <c r="B233" s="65" t="s">
        <v>82</v>
      </c>
      <c r="C233" s="55">
        <f>IF(Inputs!C159*C232&gt;0,C232/Inputs!C159-1,"n/m")</f>
        <v>-0.589030803906837</v>
      </c>
      <c r="D233" s="55">
        <f>IF(Inputs!D159*D232&gt;0,D232/Inputs!D159-1,"n/m")</f>
        <v>-0.405829596412556</v>
      </c>
      <c r="E233" s="55">
        <f>IF(Inputs!E159*E232&gt;0,E232/Inputs!E159-1,"n/m")</f>
        <v>-0.405829596412556</v>
      </c>
      <c r="F233" s="55">
        <f>IF(Inputs!F159*F232&gt;0,F232/Inputs!F159-1,"n/m")</f>
        <v>-0.3926991150442478</v>
      </c>
      <c r="G233" s="55">
        <f>IF(Inputs!G159*G232&gt;0,G232/Inputs!G159-1,"n/m")</f>
        <v>-0.23300970873786409</v>
      </c>
      <c r="H233" s="56"/>
      <c r="I233" s="1"/>
    </row>
    <row r="234">
      <c r="A234" s="1"/>
      <c r="B234" s="66" t="s">
        <v>118</v>
      </c>
      <c r="C234" s="15">
        <f>C232-Inputs!G159</f>
        <v>-174</v>
      </c>
      <c r="D234" s="4">
        <f>D232-C232</f>
        <v>-17</v>
      </c>
      <c r="E234" s="4"/>
      <c r="F234" s="4">
        <f>F232-D232</f>
        <v>19</v>
      </c>
      <c r="G234" s="4">
        <f>G232-F232</f>
        <v>4</v>
      </c>
      <c r="H234" s="33"/>
      <c r="I234" s="1"/>
    </row>
    <row r="235">
      <c r="A235" s="1"/>
      <c r="B235" s="43" t="s">
        <v>244</v>
      </c>
      <c r="C235" s="26">
        <v>31</v>
      </c>
      <c r="D235" s="26">
        <v>44</v>
      </c>
      <c r="E235" s="4">
        <f>D235</f>
        <v>44</v>
      </c>
      <c r="F235" s="26">
        <v>70</v>
      </c>
      <c r="G235" s="26">
        <v>81</v>
      </c>
      <c r="H235" s="33"/>
      <c r="I235" s="8" t="s">
        <v>243</v>
      </c>
    </row>
    <row r="236">
      <c r="A236" s="1"/>
      <c r="B236" s="65" t="s">
        <v>82</v>
      </c>
      <c r="C236" s="55">
        <f>IF(Inputs!C160*C235&gt;0,C235/Inputs!C160-1,"n/m")</f>
        <v>-0.7615384615384615</v>
      </c>
      <c r="D236" s="55">
        <f>IF(Inputs!D160*D235&gt;0,D235/Inputs!D160-1,"n/m")</f>
        <v>-0.6507936507936508</v>
      </c>
      <c r="E236" s="55">
        <f>IF(Inputs!E160*E235&gt;0,E235/Inputs!E160-1,"n/m")</f>
        <v>-0.6507936507936508</v>
      </c>
      <c r="F236" s="55">
        <f>IF(Inputs!F160*F235&gt;0,F235/Inputs!F160-1,"n/m")</f>
        <v>0.01449275362318847</v>
      </c>
      <c r="G236" s="55">
        <f>IF(Inputs!G160*G235&gt;0,G235/Inputs!G160-1,"n/m")</f>
        <v>2</v>
      </c>
      <c r="H236" s="56"/>
      <c r="I236" s="1"/>
    </row>
    <row r="237">
      <c r="A237" s="1"/>
      <c r="B237" s="66" t="s">
        <v>118</v>
      </c>
      <c r="C237" s="15">
        <f>C235-Inputs!G160</f>
        <v>4</v>
      </c>
      <c r="D237" s="4">
        <f>D235-C235</f>
        <v>13</v>
      </c>
      <c r="E237" s="4"/>
      <c r="F237" s="4">
        <f>F235-D235</f>
        <v>26</v>
      </c>
      <c r="G237" s="4">
        <f>G235-F235</f>
        <v>11</v>
      </c>
      <c r="H237" s="33"/>
      <c r="I237" s="1"/>
    </row>
    <row r="238">
      <c r="A238" s="1"/>
      <c r="B238" s="43" t="s">
        <v>245</v>
      </c>
      <c r="C238" s="26">
        <v>91</v>
      </c>
      <c r="D238" s="26">
        <v>94</v>
      </c>
      <c r="E238" s="4">
        <f>D238</f>
        <v>94</v>
      </c>
      <c r="F238" s="26">
        <v>101</v>
      </c>
      <c r="G238" s="26">
        <v>114</v>
      </c>
      <c r="H238" s="33"/>
      <c r="I238" s="8" t="s">
        <v>243</v>
      </c>
    </row>
    <row r="239">
      <c r="A239" s="1"/>
      <c r="B239" s="65" t="s">
        <v>82</v>
      </c>
      <c r="C239" s="55">
        <f>IF(Inputs!C161*C238&gt;0,C238/Inputs!C161-1,"n/m")</f>
        <v>-0.061855670103092786</v>
      </c>
      <c r="D239" s="55">
        <f>IF(Inputs!D161*D238&gt;0,D238/Inputs!D161-1,"n/m")</f>
        <v>-0.04081632653061229</v>
      </c>
      <c r="E239" s="55">
        <f>IF(Inputs!E161*E238&gt;0,E238/Inputs!E161-1,"n/m")</f>
        <v>-0.04081632653061229</v>
      </c>
      <c r="F239" s="55">
        <f>IF(Inputs!F161*F238&gt;0,F238/Inputs!F161-1,"n/m")</f>
        <v>0.030612244897959107</v>
      </c>
      <c r="G239" s="55">
        <f>IF(Inputs!G161*G238&gt;0,G238/Inputs!G161-1,"n/m")</f>
        <v>0.16326530612244894</v>
      </c>
      <c r="H239" s="56"/>
      <c r="I239" s="1"/>
    </row>
    <row r="240">
      <c r="A240" s="1"/>
      <c r="B240" s="66" t="s">
        <v>118</v>
      </c>
      <c r="C240" s="15">
        <f>C238-Inputs!G161</f>
        <v>-7</v>
      </c>
      <c r="D240" s="4">
        <f>D238-C238</f>
        <v>3</v>
      </c>
      <c r="E240" s="4"/>
      <c r="F240" s="4">
        <f>F238-D238</f>
        <v>7</v>
      </c>
      <c r="G240" s="4">
        <f>G238-F238</f>
        <v>13</v>
      </c>
      <c r="H240" s="33"/>
      <c r="I240" s="1"/>
    </row>
    <row r="241">
      <c r="A241" s="1"/>
      <c r="B241" s="43" t="s">
        <v>246</v>
      </c>
      <c r="C241" s="26">
        <v>57</v>
      </c>
      <c r="D241" s="26">
        <v>75</v>
      </c>
      <c r="E241" s="4">
        <f>D241</f>
        <v>75</v>
      </c>
      <c r="F241" s="26">
        <v>86</v>
      </c>
      <c r="G241" s="26">
        <v>114</v>
      </c>
      <c r="H241" s="33"/>
      <c r="I241" s="8" t="s">
        <v>243</v>
      </c>
    </row>
    <row r="242">
      <c r="A242" s="1"/>
      <c r="B242" s="65" t="s">
        <v>82</v>
      </c>
      <c r="C242" s="55">
        <f>IF(Inputs!C162*C241&gt;0,C241/Inputs!C162-1,"n/m")</f>
        <v>0.78125</v>
      </c>
      <c r="D242" s="55">
        <f>IF(Inputs!D162*D241&gt;0,D241/Inputs!D162-1,"n/m")</f>
        <v>0.7857142857142858</v>
      </c>
      <c r="E242" s="55">
        <f>IF(Inputs!E162*E241&gt;0,E241/Inputs!E162-1,"n/m")</f>
        <v>0.7857142857142858</v>
      </c>
      <c r="F242" s="55">
        <f>IF(Inputs!F162*F241&gt;0,F241/Inputs!F162-1,"n/m")</f>
        <v>1.3243243243243241</v>
      </c>
      <c r="G242" s="55">
        <f>IF(Inputs!G162*G241&gt;0,G241/Inputs!G162-1,"n/m")</f>
        <v>1.5333333333333332</v>
      </c>
      <c r="H242" s="56"/>
      <c r="I242" s="1"/>
    </row>
    <row r="243">
      <c r="A243" s="1"/>
      <c r="B243" s="66" t="s">
        <v>118</v>
      </c>
      <c r="C243" s="15">
        <f>C241-Inputs!G162</f>
        <v>12</v>
      </c>
      <c r="D243" s="4">
        <f>D241-C241</f>
        <v>18</v>
      </c>
      <c r="E243" s="4"/>
      <c r="F243" s="4">
        <f>F241-D241</f>
        <v>11</v>
      </c>
      <c r="G243" s="4">
        <f>G241-F241</f>
        <v>28</v>
      </c>
      <c r="H243" s="33"/>
      <c r="I243" s="1"/>
    </row>
    <row r="244">
      <c r="A244" s="1"/>
      <c r="B244" s="43" t="s">
        <v>247</v>
      </c>
      <c r="C244" s="26">
        <v>38</v>
      </c>
      <c r="D244" s="26">
        <v>32</v>
      </c>
      <c r="E244" s="4">
        <f>D244</f>
        <v>32</v>
      </c>
      <c r="F244" s="26">
        <v>27</v>
      </c>
      <c r="G244" s="26">
        <v>30</v>
      </c>
      <c r="H244" s="33"/>
      <c r="I244" s="8" t="s">
        <v>243</v>
      </c>
    </row>
    <row r="245">
      <c r="A245" s="1"/>
      <c r="B245" s="65" t="s">
        <v>82</v>
      </c>
      <c r="C245" s="55">
        <f>IF(Inputs!C163*C244&gt;0,C244/Inputs!C163-1,"n/m")</f>
        <v>1.1111111111111112</v>
      </c>
      <c r="D245" s="55">
        <f>IF(Inputs!D163*D244&gt;0,D244/Inputs!D163-1,"n/m")</f>
        <v>0.18518518518518512</v>
      </c>
      <c r="E245" s="55">
        <f>IF(Inputs!E163*E244&gt;0,E244/Inputs!E163-1,"n/m")</f>
        <v>0.18518518518518512</v>
      </c>
      <c r="F245" s="55">
        <f>IF(Inputs!F163*F244&gt;0,F244/Inputs!F163-1,"n/m")</f>
        <v>-0.15625</v>
      </c>
      <c r="G245" s="55">
        <f>IF(Inputs!G163*G244&gt;0,G244/Inputs!G163-1,"n/m")</f>
        <v>-0.0625</v>
      </c>
      <c r="H245" s="56"/>
      <c r="I245" s="1"/>
    </row>
    <row r="246">
      <c r="A246" s="1"/>
      <c r="B246" s="66" t="s">
        <v>118</v>
      </c>
      <c r="C246" s="15">
        <f>C244-Inputs!G163</f>
        <v>6</v>
      </c>
      <c r="D246" s="4">
        <f>D244-C244</f>
        <v>-6</v>
      </c>
      <c r="E246" s="4"/>
      <c r="F246" s="4">
        <f>F244-D244</f>
        <v>-5</v>
      </c>
      <c r="G246" s="4">
        <f>G244-F244</f>
        <v>3</v>
      </c>
      <c r="H246" s="33"/>
      <c r="I246" s="1"/>
    </row>
    <row r="247">
      <c r="A247" s="1"/>
      <c r="B247" s="54" t="s">
        <v>248</v>
      </c>
      <c r="C247" s="32">
        <f>C232+C235+C238+C241+C244</f>
        <v>764</v>
      </c>
      <c r="D247" s="32">
        <f>D232+D235+D238+D241+D244</f>
        <v>775</v>
      </c>
      <c r="E247" s="32">
        <f>E232+E235+E238+E241+E244</f>
        <v>775</v>
      </c>
      <c r="F247" s="32">
        <f>F232+F235+F238+F241+F244</f>
        <v>833</v>
      </c>
      <c r="G247" s="32">
        <f>G232+G235+G238+G241+G244</f>
        <v>892</v>
      </c>
      <c r="H247" s="44"/>
      <c r="I247" s="1"/>
    </row>
    <row r="248">
      <c r="A248" s="1"/>
      <c r="B248" s="43" t="s">
        <v>249</v>
      </c>
      <c r="C248" s="26">
        <v>763</v>
      </c>
      <c r="D248" s="26">
        <v>775</v>
      </c>
      <c r="E248" s="4">
        <f>D248</f>
        <v>775</v>
      </c>
      <c r="F248" s="26">
        <v>833</v>
      </c>
      <c r="G248" s="26">
        <v>891</v>
      </c>
      <c r="H248" s="33"/>
      <c r="I248" s="1"/>
    </row>
    <row r="249">
      <c r="A249" s="1"/>
      <c r="B249" s="43" t="s">
        <v>250</v>
      </c>
      <c r="C249" s="4">
        <f>IF(ABS(C247-C248)&lt;=2,0,C247-C248)</f>
        <v>0</v>
      </c>
      <c r="D249" s="4">
        <f>IF(ABS(D247-D248)&lt;=2,0,D247-D248)</f>
        <v>0</v>
      </c>
      <c r="E249" s="4">
        <f>IF(ABS(E247-E248)&lt;=2,0,E247-E248)</f>
        <v>0</v>
      </c>
      <c r="F249" s="4">
        <f>IF(ABS(F247-F248)&lt;=2,0,F247-F248)</f>
        <v>0</v>
      </c>
      <c r="G249" s="4">
        <f>IF(ABS(G247-G248)&lt;=2,0,G247-G248)</f>
        <v>0</v>
      </c>
      <c r="H249" s="33"/>
      <c r="I249" s="8" t="s">
        <v>251</v>
      </c>
    </row>
    <row r="250">
      <c r="A250" s="1"/>
      <c r="B250" s="1"/>
      <c r="C250" s="3"/>
      <c r="D250" s="3"/>
      <c r="E250" s="3"/>
      <c r="F250" s="3"/>
      <c r="G250" s="3"/>
      <c r="H250" s="37"/>
      <c r="I250" s="1"/>
    </row>
    <row r="251">
      <c r="A251" s="1"/>
      <c r="B251" s="14" t="s">
        <v>252</v>
      </c>
      <c r="C251" s="4"/>
      <c r="D251" s="4"/>
      <c r="E251" s="4"/>
      <c r="F251" s="4"/>
      <c r="G251" s="4"/>
      <c r="H251" s="33"/>
      <c r="I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1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2" t="s">
        <v>0</v>
      </c>
      <c r="C2" s="6"/>
      <c r="D2" s="6"/>
      <c r="E2" s="6"/>
      <c r="F2" s="6"/>
      <c r="G2" s="6"/>
      <c r="H2" s="6"/>
      <c r="I2" s="1"/>
    </row>
    <row r="3">
      <c r="A3" s="1"/>
      <c r="B3" s="2" t="s">
        <v>253</v>
      </c>
      <c r="C3" s="6"/>
      <c r="D3" s="6"/>
      <c r="E3" s="6"/>
      <c r="F3" s="6"/>
      <c r="G3" s="6"/>
      <c r="H3" s="6"/>
      <c r="I3" s="1"/>
    </row>
    <row r="4">
      <c r="A4" s="1"/>
      <c r="B4" s="1" t="s">
        <v>2</v>
      </c>
      <c r="C4" s="6"/>
      <c r="D4" s="6"/>
      <c r="E4" s="6"/>
      <c r="F4" s="6"/>
      <c r="G4" s="6"/>
      <c r="H4" s="6"/>
      <c r="I4" s="1"/>
    </row>
    <row r="5">
      <c r="A5" s="1"/>
      <c r="B5" s="29" t="s">
        <v>71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42" t="s">
        <v>4</v>
      </c>
    </row>
    <row r="6">
      <c r="A6" s="1"/>
      <c r="B6" s="19" t="s">
        <v>78</v>
      </c>
      <c r="C6" s="12">
        <v>45930</v>
      </c>
      <c r="D6" s="12">
        <v>46022</v>
      </c>
      <c r="E6" s="12">
        <v>46022</v>
      </c>
      <c r="F6" s="12">
        <v>46112</v>
      </c>
      <c r="G6" s="12">
        <v>46203</v>
      </c>
      <c r="H6" s="12">
        <v>46295</v>
      </c>
      <c r="I6" s="19"/>
    </row>
    <row r="7">
      <c r="A7" s="1"/>
      <c r="B7" s="27" t="s">
        <v>79</v>
      </c>
      <c r="C7" s="20">
        <v>92</v>
      </c>
      <c r="D7" s="20">
        <v>92</v>
      </c>
      <c r="E7" s="20">
        <v>365</v>
      </c>
      <c r="F7" s="20">
        <v>90</v>
      </c>
      <c r="G7" s="20">
        <v>91</v>
      </c>
      <c r="H7" s="20">
        <v>92</v>
      </c>
      <c r="I7" s="27"/>
    </row>
    <row r="8">
      <c r="A8" s="1"/>
      <c r="B8" s="1"/>
      <c r="C8" s="3"/>
      <c r="D8" s="3"/>
      <c r="E8" s="3"/>
      <c r="F8" s="3"/>
      <c r="G8" s="3"/>
      <c r="H8" s="37"/>
      <c r="I8" s="1"/>
    </row>
    <row r="9">
      <c r="A9" s="1"/>
      <c r="B9" s="2" t="s">
        <v>144</v>
      </c>
      <c r="C9" s="4"/>
      <c r="D9" s="4"/>
      <c r="E9" s="4"/>
      <c r="F9" s="4"/>
      <c r="G9" s="4"/>
      <c r="H9" s="33"/>
      <c r="I9" s="1"/>
    </row>
    <row r="10">
      <c r="A10" s="1"/>
      <c r="B10" s="31" t="s">
        <v>145</v>
      </c>
      <c r="C10" s="15">
        <f>Inputs!G164</f>
        <v>232160</v>
      </c>
      <c r="D10" s="4">
        <f>C26</f>
        <v>235003</v>
      </c>
      <c r="E10" s="15">
        <f>Inputs!D164</f>
        <v>212183</v>
      </c>
      <c r="F10" s="4">
        <f>D26</f>
        <v>240958</v>
      </c>
      <c r="G10" s="4">
        <f>F26</f>
        <v>255840</v>
      </c>
      <c r="H10" s="33">
        <f>G26</f>
        <v>267816</v>
      </c>
      <c r="I10" s="8" t="s">
        <v>146</v>
      </c>
    </row>
    <row r="11">
      <c r="A11" s="1"/>
      <c r="B11" s="43" t="s">
        <v>147</v>
      </c>
      <c r="C11" s="26">
        <v>7913</v>
      </c>
      <c r="D11" s="26">
        <v>9351</v>
      </c>
      <c r="E11" s="15">
        <f>Inputs!F166+Inputs!G166+C11+D11</f>
        <v>40166</v>
      </c>
      <c r="F11" s="26">
        <v>19348</v>
      </c>
      <c r="G11" s="26">
        <v>15363</v>
      </c>
      <c r="H11" s="60">
        <v>12000</v>
      </c>
      <c r="I11" s="8" t="s">
        <v>148</v>
      </c>
    </row>
    <row r="12">
      <c r="A12" s="1"/>
      <c r="B12" s="65" t="s">
        <v>82</v>
      </c>
      <c r="C12" s="55">
        <f>IF(Inputs!C166*C11&gt;0,C11/Inputs!C166-1,"n/m")</f>
        <v>-0.19558808579851583</v>
      </c>
      <c r="D12" s="55">
        <f>IF(Inputs!D166*D11&gt;0,D11/Inputs!D166-1,"n/m")</f>
        <v>0.3196443691786621</v>
      </c>
      <c r="E12" s="55">
        <f>IF(Inputs!E166*E11&gt;0,E11/Inputs!E166-1,"n/m")</f>
        <v>-0.13192133131618755</v>
      </c>
      <c r="F12" s="55">
        <f>IF(Inputs!F166*F11&gt;0,F11/Inputs!F166-1,"n/m")</f>
        <v>0.26029181865554984</v>
      </c>
      <c r="G12" s="55">
        <f>IF(Inputs!G166*G11&gt;0,G11/Inputs!G166-1,"n/m")</f>
        <v>1.0348344370860927</v>
      </c>
      <c r="H12" s="56">
        <f>IF(C11*H11&gt;0,H11/C11-1,"n/m")</f>
        <v>0.5164918488563124</v>
      </c>
      <c r="I12" s="1"/>
    </row>
    <row r="13">
      <c r="A13" s="1"/>
      <c r="B13" s="66" t="s">
        <v>118</v>
      </c>
      <c r="C13" s="15">
        <f>C11-Inputs!G166</f>
        <v>363</v>
      </c>
      <c r="D13" s="4">
        <f>D11-C11</f>
        <v>1438</v>
      </c>
      <c r="E13" s="4"/>
      <c r="F13" s="4">
        <f>F11-D11</f>
        <v>9997</v>
      </c>
      <c r="G13" s="4">
        <f>G11-F11</f>
        <v>-3985</v>
      </c>
      <c r="H13" s="33">
        <f>H11-G11</f>
        <v>-3363</v>
      </c>
      <c r="I13" s="1"/>
    </row>
    <row r="14">
      <c r="A14" s="1"/>
      <c r="B14" s="43" t="s">
        <v>149</v>
      </c>
      <c r="C14" s="26">
        <v>-3570</v>
      </c>
      <c r="D14" s="26">
        <v>-2558</v>
      </c>
      <c r="E14" s="15">
        <f>Inputs!F167+Inputs!G167+C14+D14</f>
        <v>-8602</v>
      </c>
      <c r="F14" s="26">
        <v>-4690</v>
      </c>
      <c r="G14" s="26">
        <v>-4117</v>
      </c>
      <c r="H14" s="33">
        <f>-H10*H34</f>
        <v>-4017.24</v>
      </c>
      <c r="I14" s="8" t="s">
        <v>150</v>
      </c>
    </row>
    <row r="15">
      <c r="A15" s="1"/>
      <c r="B15" s="65" t="s">
        <v>82</v>
      </c>
      <c r="C15" s="55">
        <f>IF(Inputs!C167*C14&gt;0,C14/Inputs!C167-1,"n/m")</f>
        <v>0.8402061855670102</v>
      </c>
      <c r="D15" s="55">
        <f>IF(Inputs!D167*D14&gt;0,D14/Inputs!D167-1,"n/m")</f>
        <v>0.479467900520532</v>
      </c>
      <c r="E15" s="55">
        <f>IF(Inputs!E167*E14&gt;0,E14/Inputs!E167-1,"n/m")</f>
        <v>0.07551887971992999</v>
      </c>
      <c r="F15" s="55">
        <f>IF(Inputs!F167*F14&gt;0,F14/Inputs!F167-1,"n/m")</f>
        <v>1.8100659077291792</v>
      </c>
      <c r="G15" s="55">
        <f>IF(Inputs!G167*G14&gt;0,G14/Inputs!G167-1,"n/m")</f>
        <v>4.114285714285714</v>
      </c>
      <c r="H15" s="56">
        <f>IF(C14*H14&gt;0,H14/C14-1,"n/m")</f>
        <v>0.12527731092436967</v>
      </c>
      <c r="I15" s="1"/>
    </row>
    <row r="16">
      <c r="A16" s="1"/>
      <c r="B16" s="66" t="s">
        <v>118</v>
      </c>
      <c r="C16" s="15">
        <f>C14-Inputs!G167</f>
        <v>-2765</v>
      </c>
      <c r="D16" s="4">
        <f>D14-C14</f>
        <v>1012</v>
      </c>
      <c r="E16" s="4"/>
      <c r="F16" s="4">
        <f>F14-D14</f>
        <v>-2132</v>
      </c>
      <c r="G16" s="4">
        <f>G14-F14</f>
        <v>573</v>
      </c>
      <c r="H16" s="33">
        <f>H14-G14</f>
        <v>99.76000000000022</v>
      </c>
      <c r="I16" s="1"/>
    </row>
    <row r="17">
      <c r="A17" s="1"/>
      <c r="B17" s="73" t="s">
        <v>151</v>
      </c>
      <c r="C17" s="32">
        <f>C11+C14</f>
        <v>4343</v>
      </c>
      <c r="D17" s="32">
        <f>D11+D14</f>
        <v>6793</v>
      </c>
      <c r="E17" s="32">
        <f>E11+E14</f>
        <v>31564</v>
      </c>
      <c r="F17" s="32">
        <f>F11+F14</f>
        <v>14658</v>
      </c>
      <c r="G17" s="32">
        <f>G11+G14</f>
        <v>11246</v>
      </c>
      <c r="H17" s="44">
        <f>H11+H14</f>
        <v>7982.76</v>
      </c>
      <c r="I17" s="1"/>
    </row>
    <row r="18">
      <c r="A18" s="1"/>
      <c r="B18" s="65" t="s">
        <v>82</v>
      </c>
      <c r="C18" s="55">
        <f>IF(Inputs!C168*C17&gt;0,C17/Inputs!C168-1,"n/m")</f>
        <v>-0.45004432062808664</v>
      </c>
      <c r="D18" s="55">
        <f>IF(Inputs!D168*D17&gt;0,D17/Inputs!D168-1,"n/m")</f>
        <v>0.2680604816128429</v>
      </c>
      <c r="E18" s="55">
        <f>IF(Inputs!E168*E17&gt;0,E17/Inputs!E168-1,"n/m")</f>
        <v>-0.1752717391304348</v>
      </c>
      <c r="F18" s="55">
        <f>IF(Inputs!F168*F17&gt;0,F17/Inputs!F168-1,"n/m")</f>
        <v>0.07125630344222755</v>
      </c>
      <c r="G18" s="55">
        <f>IF(Inputs!G168*G17&gt;0,G17/Inputs!G168-1,"n/m")</f>
        <v>0.6673091178650852</v>
      </c>
      <c r="H18" s="56">
        <f>IF(C17*H17&gt;0,H17/C17-1,"n/m")</f>
        <v>0.8380750633202856</v>
      </c>
      <c r="I18" s="1"/>
    </row>
    <row r="19">
      <c r="A19" s="1"/>
      <c r="B19" s="66" t="s">
        <v>118</v>
      </c>
      <c r="C19" s="15">
        <f>C17-Inputs!G168</f>
        <v>-2402</v>
      </c>
      <c r="D19" s="4">
        <f>D17-C17</f>
        <v>2450</v>
      </c>
      <c r="E19" s="4"/>
      <c r="F19" s="4">
        <f>F17-D17</f>
        <v>7865</v>
      </c>
      <c r="G19" s="4">
        <f>G17-F17</f>
        <v>-3412</v>
      </c>
      <c r="H19" s="33">
        <f>H17-G17</f>
        <v>-3263.24</v>
      </c>
      <c r="I19" s="1"/>
    </row>
    <row r="20">
      <c r="A20" s="1"/>
      <c r="B20" s="43" t="s">
        <v>152</v>
      </c>
      <c r="C20" s="26">
        <v>-4561</v>
      </c>
      <c r="D20" s="26">
        <v>-5274</v>
      </c>
      <c r="E20" s="15">
        <f>Inputs!F169+Inputs!G169+C20+D20</f>
        <v>-15939</v>
      </c>
      <c r="F20" s="26">
        <v>-4829</v>
      </c>
      <c r="G20" s="26">
        <v>-4559</v>
      </c>
      <c r="H20" s="60">
        <v>-4500</v>
      </c>
      <c r="I20" s="8" t="s">
        <v>254</v>
      </c>
    </row>
    <row r="21">
      <c r="A21" s="1"/>
      <c r="B21" s="65" t="s">
        <v>82</v>
      </c>
      <c r="C21" s="55">
        <f>IF(Inputs!C169*C20&gt;0,C20/Inputs!C169-1,"n/m")</f>
        <v>2.0775978407557356</v>
      </c>
      <c r="D21" s="55">
        <f>IF(Inputs!D169*D20&gt;0,D20/Inputs!D169-1,"n/m")</f>
        <v>0.3911896597203903</v>
      </c>
      <c r="E21" s="55">
        <f>IF(Inputs!E169*E20&gt;0,E20/Inputs!E169-1,"n/m")</f>
        <v>0.6940163673078967</v>
      </c>
      <c r="F21" s="55">
        <f>IF(Inputs!F169*F20&gt;0,F20/Inputs!F169-1,"n/m")</f>
        <v>0.7154529307282416</v>
      </c>
      <c r="G21" s="55">
        <f>IF(Inputs!G169*G20&gt;0,G20/Inputs!G169-1,"n/m")</f>
        <v>0.3861356035269079</v>
      </c>
      <c r="H21" s="56">
        <f>IF(C20*H20&gt;0,H20/C20-1,"n/m")</f>
        <v>-0.013374260030694973</v>
      </c>
      <c r="I21" s="1"/>
    </row>
    <row r="22">
      <c r="A22" s="1"/>
      <c r="B22" s="66" t="s">
        <v>118</v>
      </c>
      <c r="C22" s="15">
        <f>C20-Inputs!G169</f>
        <v>-1272</v>
      </c>
      <c r="D22" s="4">
        <f>D20-C20</f>
        <v>-713</v>
      </c>
      <c r="E22" s="4"/>
      <c r="F22" s="4">
        <f>F20-D20</f>
        <v>445</v>
      </c>
      <c r="G22" s="4">
        <f>G20-F20</f>
        <v>270</v>
      </c>
      <c r="H22" s="33">
        <f>H20-G20</f>
        <v>59</v>
      </c>
      <c r="I22" s="1"/>
    </row>
    <row r="23">
      <c r="A23" s="1"/>
      <c r="B23" s="43" t="s">
        <v>154</v>
      </c>
      <c r="C23" s="26">
        <v>3061</v>
      </c>
      <c r="D23" s="26">
        <v>4436</v>
      </c>
      <c r="E23" s="15">
        <f>Inputs!F170+Inputs!G170+C23+D23</f>
        <v>13150</v>
      </c>
      <c r="F23" s="26">
        <v>5053</v>
      </c>
      <c r="G23" s="26">
        <v>5289</v>
      </c>
      <c r="H23" s="60">
        <v>3000</v>
      </c>
      <c r="I23" s="8" t="s">
        <v>155</v>
      </c>
    </row>
    <row r="24">
      <c r="A24" s="1"/>
      <c r="B24" s="65" t="s">
        <v>82</v>
      </c>
      <c r="C24" s="55">
        <f>IF(Inputs!C170*C23&gt;0,C23/Inputs!C170-1,"n/m")</f>
        <v>0.7206295671725689</v>
      </c>
      <c r="D24" s="55">
        <f>IF(Inputs!D170*D23&gt;0,D23/Inputs!D170-1,"n/m")</f>
        <v>1.2925064599483203</v>
      </c>
      <c r="E24" s="55">
        <f>IF(Inputs!E170*E23&gt;0,E23/Inputs!E170-1,"n/m")</f>
        <v>1.080037962670041</v>
      </c>
      <c r="F24" s="55">
        <f>IF(Inputs!F170*F23&gt;0,F23/Inputs!F170-1,"n/m")</f>
        <v>0.594509308930262</v>
      </c>
      <c r="G24" s="55">
        <f>IF(Inputs!G170*G23&gt;0,G23/Inputs!G170-1,"n/m")</f>
        <v>1.1292270531400965</v>
      </c>
      <c r="H24" s="56">
        <f>IF(C23*H23&gt;0,H23/C23-1,"n/m")</f>
        <v>-0.019928128062724593</v>
      </c>
      <c r="I24" s="1"/>
    </row>
    <row r="25">
      <c r="A25" s="1"/>
      <c r="B25" s="66" t="s">
        <v>118</v>
      </c>
      <c r="C25" s="15">
        <f>C23-Inputs!G170</f>
        <v>577</v>
      </c>
      <c r="D25" s="4">
        <f>D23-C23</f>
        <v>1375</v>
      </c>
      <c r="E25" s="4"/>
      <c r="F25" s="4">
        <f>F23-D23</f>
        <v>617</v>
      </c>
      <c r="G25" s="4">
        <f>G23-F23</f>
        <v>236</v>
      </c>
      <c r="H25" s="33">
        <f>H23-G23</f>
        <v>-2289</v>
      </c>
      <c r="I25" s="1"/>
    </row>
    <row r="26">
      <c r="A26" s="1"/>
      <c r="B26" s="54" t="s">
        <v>156</v>
      </c>
      <c r="C26" s="32">
        <f>C10+C17+C20+C23</f>
        <v>235003</v>
      </c>
      <c r="D26" s="32">
        <f>D10+D17+D20+D23</f>
        <v>240958</v>
      </c>
      <c r="E26" s="32">
        <f>E10+E17+E20+E23</f>
        <v>240958</v>
      </c>
      <c r="F26" s="32">
        <f>F10+F17+F20+F23</f>
        <v>255840</v>
      </c>
      <c r="G26" s="32">
        <f>G10+G17+G20+G23</f>
        <v>267816</v>
      </c>
      <c r="H26" s="44">
        <f>H10+H17+H20+H23</f>
        <v>274298.76</v>
      </c>
      <c r="I26" s="112" t="str">
        <f>"FY25 (E26) = derived annual rollforward (4Q24 closing + sum of four rounded quarterly flows), not reset to the 4Q25 quarterly-rollforward closing (D26); rounding residual E26-D26 = "&amp;TEXT(E26-D26,"+#,##0;-#,##0;0")&amp;"m; reported 12/31/25 stock in E29"</f>
        <v>FY25 (E26) = derived annual rollforward (4Q24 closing + sum of four rounded quarterly flows), not reset to the 4Q25 quarterly-rollforward closing (D26); rounding residual E26-D26 = 0m; reported 12/31/25 stock in E29</v>
      </c>
    </row>
    <row r="27">
      <c r="A27" s="1"/>
      <c r="B27" s="61" t="s">
        <v>82</v>
      </c>
      <c r="C27" s="55">
        <f>IF(Inputs!C164*C26&gt;0,C26/Inputs!C164-1,"n/m")</f>
        <v>0.12612970931848455</v>
      </c>
      <c r="D27" s="55">
        <f>IF(Inputs!D164*D26&gt;0,D26/Inputs!D164-1,"n/m")</f>
        <v>0.13561406898761907</v>
      </c>
      <c r="E27" s="55">
        <f>IF(Inputs!E164*E26&gt;0,E26/Inputs!E164-1,"n/m")</f>
        <v>0.13561406898761907</v>
      </c>
      <c r="F27" s="55">
        <f>IF(Inputs!F164*F26&gt;0,F26/Inputs!F164-1,"n/m")</f>
        <v>0.13093948784142806</v>
      </c>
      <c r="G27" s="55">
        <f>IF(Inputs!G164*G26&gt;0,G26/Inputs!G164-1,"n/m")</f>
        <v>0.15358373535492764</v>
      </c>
      <c r="H27" s="56">
        <f>IF(C26*H26&gt;0,H26/C26-1,"n/m")</f>
        <v>0.16721386535491045</v>
      </c>
      <c r="I27" s="1"/>
    </row>
    <row r="28">
      <c r="A28" s="1"/>
      <c r="B28" s="43" t="s">
        <v>118</v>
      </c>
      <c r="C28" s="15">
        <f>C26-Inputs!G164</f>
        <v>2843</v>
      </c>
      <c r="D28" s="4">
        <f>D26-C26</f>
        <v>5955</v>
      </c>
      <c r="E28" s="4"/>
      <c r="F28" s="4">
        <f>F26-D26</f>
        <v>14882</v>
      </c>
      <c r="G28" s="4">
        <f>G26-F26</f>
        <v>11976</v>
      </c>
      <c r="H28" s="33">
        <f>H26-G26</f>
        <v>6482.760000000009</v>
      </c>
      <c r="I28" s="1"/>
    </row>
    <row r="29">
      <c r="A29" s="1"/>
      <c r="B29" s="43" t="s">
        <v>157</v>
      </c>
      <c r="C29" s="26">
        <v>235003.905</v>
      </c>
      <c r="D29" s="26">
        <v>240959.058</v>
      </c>
      <c r="E29" s="4">
        <f>D29</f>
        <v>240959.058</v>
      </c>
      <c r="F29" s="26">
        <v>255840.774</v>
      </c>
      <c r="G29" s="26">
        <v>267817.86</v>
      </c>
      <c r="H29" s="33"/>
      <c r="I29" s="8" t="s">
        <v>158</v>
      </c>
    </row>
    <row r="30">
      <c r="A30" s="1"/>
      <c r="B30" s="43" t="s">
        <v>159</v>
      </c>
      <c r="C30" s="4">
        <f>IF(ABS(C26-C29)&lt;=5,0,C26-C29)</f>
        <v>0</v>
      </c>
      <c r="D30" s="4">
        <f>IF(ABS(D26-D29)&lt;=5,0,D26-D29)</f>
        <v>0</v>
      </c>
      <c r="E30" s="4">
        <f>IF(ABS(E26-E29)&lt;=5,0,E26-E29)</f>
        <v>0</v>
      </c>
      <c r="F30" s="4">
        <f>IF(ABS(F26-F29)&lt;=5,0,F26-F29)</f>
        <v>0</v>
      </c>
      <c r="G30" s="4">
        <f>IF(ABS(G26-G29)&lt;=5,0,G26-G29)</f>
        <v>0</v>
      </c>
      <c r="H30" s="33"/>
      <c r="I30" s="8" t="s">
        <v>160</v>
      </c>
    </row>
    <row r="31">
      <c r="A31" s="1"/>
      <c r="B31" s="31" t="s">
        <v>161</v>
      </c>
      <c r="C31" s="26">
        <v>233582.057</v>
      </c>
      <c r="D31" s="26">
        <v>237981.482</v>
      </c>
      <c r="E31" s="26">
        <v>229305.092</v>
      </c>
      <c r="F31" s="26">
        <v>248399.916</v>
      </c>
      <c r="G31" s="26">
        <v>261829.317</v>
      </c>
      <c r="H31" s="33">
        <f>AVERAGE(H10,H26)</f>
        <v>271057.38</v>
      </c>
      <c r="I31" s="8" t="s">
        <v>162</v>
      </c>
    </row>
    <row r="32">
      <c r="A32" s="1"/>
      <c r="B32" s="61" t="s">
        <v>82</v>
      </c>
      <c r="C32" s="55">
        <f>IF(Inputs!C171*C31&gt;0,C31/Inputs!C171-1,"n/m")</f>
        <v>0.141740463259044</v>
      </c>
      <c r="D32" s="55">
        <f>IF(Inputs!D171*D31&gt;0,D31/Inputs!D171-1,"n/m")</f>
        <v>0.13091720777662452</v>
      </c>
      <c r="E32" s="55">
        <f>IF(Inputs!E171*E31&gt;0,E31/Inputs!E171-1,"n/m")</f>
        <v>0.17267363108531342</v>
      </c>
      <c r="F32" s="55">
        <f>IF(Inputs!F171*F31&gt;0,F31/Inputs!F171-1,"n/m")</f>
        <v>0.13320538144636695</v>
      </c>
      <c r="G32" s="55">
        <f>IF(Inputs!G171*G31&gt;0,G31/Inputs!G171-1,"n/m")</f>
        <v>0.14241260238277365</v>
      </c>
      <c r="H32" s="56">
        <f>IF(C31*H31&gt;0,H31/C31-1,"n/m")</f>
        <v>0.1604375074066584</v>
      </c>
      <c r="I32" s="1"/>
    </row>
    <row r="33">
      <c r="A33" s="1"/>
      <c r="B33" s="43" t="s">
        <v>118</v>
      </c>
      <c r="C33" s="15">
        <f>C31-Inputs!G171</f>
        <v>4392.255999999994</v>
      </c>
      <c r="D33" s="4">
        <f>D31-C31</f>
        <v>4399.424999999988</v>
      </c>
      <c r="E33" s="4"/>
      <c r="F33" s="4">
        <f>F31-D31</f>
        <v>10418.434000000008</v>
      </c>
      <c r="G33" s="4">
        <f>G31-F31</f>
        <v>13429.401000000013</v>
      </c>
      <c r="H33" s="33">
        <f>H31-G31</f>
        <v>9228.062999999995</v>
      </c>
      <c r="I33" s="1"/>
    </row>
    <row r="34">
      <c r="A34" s="1"/>
      <c r="B34" s="40" t="s">
        <v>163</v>
      </c>
      <c r="C34" s="58">
        <f>-C14/C10</f>
        <v>0.015377325982081323</v>
      </c>
      <c r="D34" s="58">
        <f>-D14/D10</f>
        <v>0.010884967425947753</v>
      </c>
      <c r="E34" s="58">
        <f>-E14/E10</f>
        <v>0.04054047685252824</v>
      </c>
      <c r="F34" s="58">
        <f>-F14/F10</f>
        <v>0.019463972974543282</v>
      </c>
      <c r="G34" s="58">
        <f>-G14/G10</f>
        <v>0.01609208880550344</v>
      </c>
      <c r="H34" s="71">
        <v>0.015</v>
      </c>
      <c r="I34" s="8" t="s">
        <v>164</v>
      </c>
    </row>
    <row r="35">
      <c r="A35" s="1"/>
      <c r="B35" s="43" t="s">
        <v>121</v>
      </c>
      <c r="C35" s="57">
        <f>IFERROR((C34-(-Inputs!G167/Inputs!G165))*10000,"n/m")</f>
        <v>118.18827359065573</v>
      </c>
      <c r="D35" s="62">
        <f>IFERROR((D34-C34)*10000,"n/m")</f>
        <v>-44.9235855613357</v>
      </c>
      <c r="E35" s="62"/>
      <c r="F35" s="62">
        <f>IFERROR((F34-D34)*10000,"n/m")</f>
        <v>85.79005548595529</v>
      </c>
      <c r="G35" s="62">
        <f>IFERROR((G34-F34)*10000,"n/m")</f>
        <v>-33.718841690398435</v>
      </c>
      <c r="H35" s="59">
        <f>IFERROR((H34-G34)*10000,"n/m")</f>
        <v>-10.920888055034398</v>
      </c>
      <c r="I35" s="1"/>
    </row>
    <row r="36">
      <c r="A36" s="1"/>
      <c r="B36" s="43" t="s">
        <v>122</v>
      </c>
      <c r="C36" s="57">
        <f>IFERROR((C34-(-Inputs!C167/Inputs!C165))*10000,"n/m")</f>
        <v>57.00888108303971</v>
      </c>
      <c r="D36" s="57">
        <f>IFERROR((D34-(-Inputs!D167/Inputs!D165))*10000,"n/m")</f>
        <v>25.99633760370463</v>
      </c>
      <c r="E36" s="57">
        <f>IFERROR((E34-(-Inputs!E167/Inputs!E165))*10000,"n/m")</f>
        <v>-46.4672971029486</v>
      </c>
      <c r="F36" s="57">
        <f>IFERROR((F34-(-Inputs!F167/Inputs!F165))*10000,"n/m")</f>
        <v>115.98121327615866</v>
      </c>
      <c r="G36" s="57">
        <f>IFERROR((G34-(-Inputs!G167/Inputs!G165))*10000,"n/m")</f>
        <v>125.33590182487688</v>
      </c>
      <c r="H36" s="59">
        <f>IFERROR((H34-C34)*10000,"n/m")</f>
        <v>-3.7732598208132377</v>
      </c>
      <c r="I36" s="1"/>
    </row>
    <row r="37">
      <c r="A37" s="1"/>
      <c r="B37" s="40" t="s">
        <v>165</v>
      </c>
      <c r="C37" s="58">
        <f>C17/C10</f>
        <v>0.018706926257753272</v>
      </c>
      <c r="D37" s="58">
        <f>D17/D10</f>
        <v>0.02890601396577916</v>
      </c>
      <c r="E37" s="58">
        <f>E17/E10</f>
        <v>0.14875838309383882</v>
      </c>
      <c r="F37" s="58">
        <f>F17/F10</f>
        <v>0.060832178221930794</v>
      </c>
      <c r="G37" s="58">
        <f>G17/G10</f>
        <v>0.04395716072545341</v>
      </c>
      <c r="H37" s="56">
        <f>H17/H10</f>
        <v>0.029806882337126982</v>
      </c>
      <c r="I37" s="111" t="s">
        <v>166</v>
      </c>
    </row>
    <row r="38">
      <c r="A38" s="1"/>
      <c r="B38" s="43" t="s">
        <v>121</v>
      </c>
      <c r="C38" s="57">
        <f>IFERROR((C37-(Inputs!G168/Inputs!G165))*10000,"n/m")</f>
        <v>-111.0931375745323</v>
      </c>
      <c r="D38" s="62">
        <f>IFERROR((D37-C37)*10000,"n/m")</f>
        <v>101.99087708025887</v>
      </c>
      <c r="E38" s="62"/>
      <c r="F38" s="62">
        <f>IFERROR((F37-D37)*10000,"n/m")</f>
        <v>319.26164256151634</v>
      </c>
      <c r="G38" s="62">
        <f>IFERROR((G37-F37)*10000,"n/m")</f>
        <v>-168.75017496477386</v>
      </c>
      <c r="H38" s="59">
        <f>IFERROR((H37-G37)*10000,"n/m")</f>
        <v>-141.50278388326424</v>
      </c>
      <c r="I38" s="1"/>
    </row>
    <row r="39">
      <c r="A39" s="1"/>
      <c r="B39" s="43" t="s">
        <v>122</v>
      </c>
      <c r="C39" s="57">
        <f>IFERROR((C37-(Inputs!C168/Inputs!C165))*10000,"n/m")</f>
        <v>-206.82161314009485</v>
      </c>
      <c r="D39" s="57">
        <f>IFERROR((D37-(Inputs!D168/Inputs!D165))*10000,"n/m")</f>
        <v>32.3537634490146</v>
      </c>
      <c r="E39" s="57">
        <f>IFERROR((E37-(Inputs!E168/Inputs!E165))*10000,"n/m")</f>
        <v>-674.7127051610938</v>
      </c>
      <c r="F39" s="57">
        <f>IFERROR((F37-(Inputs!F168/Inputs!F165))*10000,"n/m")</f>
        <v>-36.54609126725786</v>
      </c>
      <c r="G39" s="57">
        <f>IFERROR((G37-(Inputs!G168/Inputs!G165))*10000,"n/m")</f>
        <v>141.40920710246905</v>
      </c>
      <c r="H39" s="59">
        <f>IFERROR((H37-C37)*10000,"n/m")</f>
        <v>110.9995607937371</v>
      </c>
      <c r="I39" s="1"/>
    </row>
    <row r="40">
      <c r="A40" s="1"/>
      <c r="B40" s="1"/>
      <c r="C40" s="3"/>
      <c r="D40" s="3"/>
      <c r="E40" s="3"/>
      <c r="F40" s="3"/>
      <c r="G40" s="3"/>
      <c r="H40" s="37"/>
      <c r="I40" s="1"/>
    </row>
    <row r="41">
      <c r="A41" s="1"/>
      <c r="B41" s="2" t="s">
        <v>167</v>
      </c>
      <c r="C41" s="4"/>
      <c r="D41" s="4"/>
      <c r="E41" s="4"/>
      <c r="F41" s="4"/>
      <c r="G41" s="4"/>
      <c r="H41" s="33"/>
      <c r="I41" s="1"/>
    </row>
    <row r="42">
      <c r="A42" s="1"/>
      <c r="B42" s="31" t="s">
        <v>168</v>
      </c>
      <c r="C42" s="15">
        <f>Inputs!G172</f>
        <v>388907</v>
      </c>
      <c r="D42" s="4">
        <f>C58</f>
        <v>395607</v>
      </c>
      <c r="E42" s="15">
        <f>Inputs!D172</f>
        <v>352169</v>
      </c>
      <c r="F42" s="4">
        <f>D58</f>
        <v>416423</v>
      </c>
      <c r="G42" s="4">
        <f>F58</f>
        <v>429910</v>
      </c>
      <c r="H42" s="33">
        <f>G58</f>
        <v>454153</v>
      </c>
      <c r="I42" s="1"/>
    </row>
    <row r="43">
      <c r="A43" s="1"/>
      <c r="B43" s="43" t="s">
        <v>169</v>
      </c>
      <c r="C43" s="26">
        <v>10812</v>
      </c>
      <c r="D43" s="26">
        <v>20321</v>
      </c>
      <c r="E43" s="15">
        <f>Inputs!F174+Inputs!G174+C43+D43</f>
        <v>68141</v>
      </c>
      <c r="F43" s="26">
        <v>20353</v>
      </c>
      <c r="G43" s="26">
        <v>24520</v>
      </c>
      <c r="H43" s="60">
        <v>18000</v>
      </c>
      <c r="I43" s="1"/>
    </row>
    <row r="44">
      <c r="A44" s="1"/>
      <c r="B44" s="65" t="s">
        <v>82</v>
      </c>
      <c r="C44" s="55">
        <f>IF(Inputs!C174*C43&gt;0,C43/Inputs!C174-1,"n/m")</f>
        <v>0.059896088618762944</v>
      </c>
      <c r="D44" s="55">
        <f>IF(Inputs!D174*D43&gt;0,D43/Inputs!D174-1,"n/m")</f>
        <v>0.7492467934922957</v>
      </c>
      <c r="E44" s="55">
        <f>IF(Inputs!E174*E43&gt;0,E43/Inputs!E174-1,"n/m")</f>
        <v>0.6505026038512778</v>
      </c>
      <c r="F44" s="55">
        <f>IF(Inputs!F174*F43&gt;0,F43/Inputs!F174-1,"n/m")</f>
        <v>-0.06142494812082089</v>
      </c>
      <c r="G44" s="55">
        <f>IF(Inputs!G174*G43&gt;0,G43/Inputs!G174-1,"n/m")</f>
        <v>0.6002088363897409</v>
      </c>
      <c r="H44" s="56">
        <f>IF(C43*H43&gt;0,H43/C43-1,"n/m")</f>
        <v>0.664816870144284</v>
      </c>
      <c r="I44" s="1"/>
    </row>
    <row r="45">
      <c r="A45" s="1"/>
      <c r="B45" s="66" t="s">
        <v>118</v>
      </c>
      <c r="C45" s="15">
        <f>C43-Inputs!G174</f>
        <v>-4511</v>
      </c>
      <c r="D45" s="4">
        <f>D43-C43</f>
        <v>9509</v>
      </c>
      <c r="E45" s="4"/>
      <c r="F45" s="4">
        <f>F43-D43</f>
        <v>32</v>
      </c>
      <c r="G45" s="4">
        <f>G43-F43</f>
        <v>4167</v>
      </c>
      <c r="H45" s="33">
        <f>H43-G43</f>
        <v>-6520</v>
      </c>
      <c r="I45" s="1"/>
    </row>
    <row r="46">
      <c r="A46" s="1"/>
      <c r="B46" s="43" t="s">
        <v>170</v>
      </c>
      <c r="C46" s="26">
        <v>-4417</v>
      </c>
      <c r="D46" s="26">
        <v>-1221</v>
      </c>
      <c r="E46" s="15">
        <f>Inputs!F175+Inputs!G175+C46+D46</f>
        <v>-10881</v>
      </c>
      <c r="F46" s="26">
        <v>-2149</v>
      </c>
      <c r="G46" s="26">
        <v>-1458</v>
      </c>
      <c r="H46" s="60">
        <v>-1800</v>
      </c>
      <c r="I46" s="1"/>
    </row>
    <row r="47">
      <c r="A47" s="1"/>
      <c r="B47" s="65" t="s">
        <v>82</v>
      </c>
      <c r="C47" s="55">
        <f>IF(Inputs!C175*C46&gt;0,C46/Inputs!C175-1,"n/m")</f>
        <v>1.4593541202672604</v>
      </c>
      <c r="D47" s="55">
        <f>IF(Inputs!D175*D46&gt;0,D46/Inputs!D175-1,"n/m")</f>
        <v>-0.5535648994515538</v>
      </c>
      <c r="E47" s="55">
        <f>IF(Inputs!E175*E46&gt;0,E46/Inputs!E175-1,"n/m")</f>
        <v>0.505812344312206</v>
      </c>
      <c r="F47" s="55">
        <f>IF(Inputs!F175*F46&gt;0,F46/Inputs!F175-1,"n/m")</f>
        <v>-0.37492728330424663</v>
      </c>
      <c r="G47" s="55">
        <f>IF(Inputs!G175*G46&gt;0,G46/Inputs!G175-1,"n/m")</f>
        <v>-0.1922437673130194</v>
      </c>
      <c r="H47" s="56">
        <f>IF(C46*H46&gt;0,H46/C46-1,"n/m")</f>
        <v>-0.592483586144442</v>
      </c>
      <c r="I47" s="1"/>
    </row>
    <row r="48">
      <c r="A48" s="1"/>
      <c r="B48" s="66" t="s">
        <v>118</v>
      </c>
      <c r="C48" s="15">
        <f>C46-Inputs!G175</f>
        <v>-2612</v>
      </c>
      <c r="D48" s="4">
        <f>D46-C46</f>
        <v>3196</v>
      </c>
      <c r="E48" s="4"/>
      <c r="F48" s="4">
        <f>F46-D46</f>
        <v>-928</v>
      </c>
      <c r="G48" s="4">
        <f>G46-F46</f>
        <v>691</v>
      </c>
      <c r="H48" s="33">
        <f>H46-G46</f>
        <v>-342</v>
      </c>
      <c r="I48" s="1"/>
    </row>
    <row r="49">
      <c r="A49" s="1"/>
      <c r="B49" s="73" t="s">
        <v>151</v>
      </c>
      <c r="C49" s="32">
        <f>C43+C46</f>
        <v>6395</v>
      </c>
      <c r="D49" s="32">
        <f>D43+D46</f>
        <v>19100</v>
      </c>
      <c r="E49" s="32">
        <f>E43+E46</f>
        <v>57260</v>
      </c>
      <c r="F49" s="32">
        <f>F43+F46</f>
        <v>18204</v>
      </c>
      <c r="G49" s="32">
        <f>G43+G46</f>
        <v>23062</v>
      </c>
      <c r="H49" s="44">
        <f>H43+H46</f>
        <v>16200</v>
      </c>
      <c r="I49" s="1"/>
    </row>
    <row r="50">
      <c r="A50" s="1"/>
      <c r="B50" s="65" t="s">
        <v>82</v>
      </c>
      <c r="C50" s="55">
        <f>IF(Inputs!C176*C49&gt;0,C49/Inputs!C176-1,"n/m")</f>
        <v>-0.23914336704342654</v>
      </c>
      <c r="D50" s="55">
        <f>IF(Inputs!D176*D49&gt;0,D49/Inputs!D176-1,"n/m")</f>
        <v>1.150416572843954</v>
      </c>
      <c r="E50" s="55">
        <f>IF(Inputs!E176*E49&gt;0,E49/Inputs!E176-1,"n/m")</f>
        <v>0.6812002701194986</v>
      </c>
      <c r="F50" s="55">
        <f>IF(Inputs!F176*F49&gt;0,F49/Inputs!F176-1,"n/m")</f>
        <v>-0.002356551761933501</v>
      </c>
      <c r="G50" s="55">
        <f>IF(Inputs!G176*G49&gt;0,G49/Inputs!G176-1,"n/m")</f>
        <v>0.7060216008285249</v>
      </c>
      <c r="H50" s="56">
        <f>IF(C49*H49&gt;0,H49/C49-1,"n/m")</f>
        <v>1.5332290852228305</v>
      </c>
      <c r="I50" s="1"/>
    </row>
    <row r="51">
      <c r="A51" s="1"/>
      <c r="B51" s="66" t="s">
        <v>118</v>
      </c>
      <c r="C51" s="15">
        <f>C49-Inputs!G176</f>
        <v>-7123</v>
      </c>
      <c r="D51" s="4">
        <f>D49-C49</f>
        <v>12705</v>
      </c>
      <c r="E51" s="4"/>
      <c r="F51" s="4">
        <f>F49-D49</f>
        <v>-896</v>
      </c>
      <c r="G51" s="4">
        <f>G49-F49</f>
        <v>4858</v>
      </c>
      <c r="H51" s="33">
        <f>H49-G49</f>
        <v>-6862</v>
      </c>
      <c r="I51" s="1"/>
    </row>
    <row r="52">
      <c r="A52" s="1"/>
      <c r="B52" s="43" t="s">
        <v>152</v>
      </c>
      <c r="C52" s="26">
        <v>-9292</v>
      </c>
      <c r="D52" s="26">
        <v>-10803</v>
      </c>
      <c r="E52" s="15">
        <f>Inputs!F177+Inputs!G177+C52+D52</f>
        <v>-33878</v>
      </c>
      <c r="F52" s="26">
        <v>-14564</v>
      </c>
      <c r="G52" s="26">
        <v>-11023</v>
      </c>
      <c r="H52" s="60">
        <v>-9500</v>
      </c>
      <c r="I52" s="1"/>
    </row>
    <row r="53">
      <c r="A53" s="1"/>
      <c r="B53" s="65" t="s">
        <v>82</v>
      </c>
      <c r="C53" s="55">
        <f>IF(Inputs!C177*C52&gt;0,C52/Inputs!C177-1,"n/m")</f>
        <v>0.7678843226788432</v>
      </c>
      <c r="D53" s="55">
        <f>IF(Inputs!D177*D52&gt;0,D52/Inputs!D177-1,"n/m")</f>
        <v>0.022430437251561575</v>
      </c>
      <c r="E53" s="55">
        <f>IF(Inputs!E177*E52&gt;0,E52/Inputs!E177-1,"n/m")</f>
        <v>0.1709930524351042</v>
      </c>
      <c r="F53" s="55">
        <f>IF(Inputs!F177*F52&gt;0,F52/Inputs!F177-1,"n/m")</f>
        <v>1.2520488634606464</v>
      </c>
      <c r="G53" s="55">
        <f>IF(Inputs!G177*G52&gt;0,G52/Inputs!G177-1,"n/m")</f>
        <v>0.5066976489885182</v>
      </c>
      <c r="H53" s="56">
        <f>IF(C52*H52&gt;0,H52/C52-1,"n/m")</f>
        <v>0.02238484718037026</v>
      </c>
      <c r="I53" s="1"/>
    </row>
    <row r="54">
      <c r="A54" s="1"/>
      <c r="B54" s="66" t="s">
        <v>118</v>
      </c>
      <c r="C54" s="15">
        <f>C52-Inputs!G177</f>
        <v>-1976</v>
      </c>
      <c r="D54" s="4">
        <f>D52-C52</f>
        <v>-1511</v>
      </c>
      <c r="E54" s="4"/>
      <c r="F54" s="4">
        <f>F52-D52</f>
        <v>-3761</v>
      </c>
      <c r="G54" s="4">
        <f>G52-F52</f>
        <v>3541</v>
      </c>
      <c r="H54" s="33">
        <f>H52-G52</f>
        <v>1523</v>
      </c>
      <c r="I54" s="1"/>
    </row>
    <row r="55">
      <c r="A55" s="1"/>
      <c r="B55" s="43" t="s">
        <v>154</v>
      </c>
      <c r="C55" s="26">
        <v>9597</v>
      </c>
      <c r="D55" s="26">
        <v>12519</v>
      </c>
      <c r="E55" s="15">
        <f>Inputs!F178+Inputs!G178+C55+D55</f>
        <v>40873</v>
      </c>
      <c r="F55" s="26">
        <v>9847</v>
      </c>
      <c r="G55" s="26">
        <v>12204</v>
      </c>
      <c r="H55" s="60">
        <v>8000</v>
      </c>
      <c r="I55" s="1"/>
    </row>
    <row r="56">
      <c r="A56" s="1"/>
      <c r="B56" s="65" t="s">
        <v>82</v>
      </c>
      <c r="C56" s="55">
        <f>IF(Inputs!C178*C55&gt;0,C55/Inputs!C178-1,"n/m")</f>
        <v>-0.12523926715887335</v>
      </c>
      <c r="D56" s="55">
        <f>IF(Inputs!D178*D55&gt;0,D55/Inputs!D178-1,"n/m")</f>
        <v>0.36939400568803316</v>
      </c>
      <c r="E56" s="55">
        <f>IF(Inputs!E178*E55&gt;0,E55/Inputs!E178-1,"n/m")</f>
        <v>0.2519296740994854</v>
      </c>
      <c r="F56" s="55">
        <f>IF(Inputs!F178*F55&gt;0,F55/Inputs!F178-1,"n/m")</f>
        <v>0.3983243396762284</v>
      </c>
      <c r="G56" s="55">
        <f>IF(Inputs!G178*G55&gt;0,G55/Inputs!G178-1,"n/m")</f>
        <v>0.041741357234315046</v>
      </c>
      <c r="H56" s="56">
        <f>IF(C55*H55&gt;0,H55/C55-1,"n/m")</f>
        <v>-0.16640616859435242</v>
      </c>
      <c r="I56" s="1"/>
    </row>
    <row r="57">
      <c r="A57" s="1"/>
      <c r="B57" s="66" t="s">
        <v>118</v>
      </c>
      <c r="C57" s="15">
        <f>C55-Inputs!G178</f>
        <v>-2118</v>
      </c>
      <c r="D57" s="4">
        <f>D55-C55</f>
        <v>2922</v>
      </c>
      <c r="E57" s="4"/>
      <c r="F57" s="4">
        <f>F55-D55</f>
        <v>-2672</v>
      </c>
      <c r="G57" s="4">
        <f>G55-F55</f>
        <v>2357</v>
      </c>
      <c r="H57" s="33">
        <f>H55-G55</f>
        <v>-4204</v>
      </c>
      <c r="I57" s="1"/>
    </row>
    <row r="58">
      <c r="A58" s="1"/>
      <c r="B58" s="54" t="s">
        <v>128</v>
      </c>
      <c r="C58" s="32">
        <f>C42+C49+C52+C55</f>
        <v>395607</v>
      </c>
      <c r="D58" s="32">
        <f>D42+D49+D52+D55</f>
        <v>416423</v>
      </c>
      <c r="E58" s="32">
        <f>E42+E49+E52+E55</f>
        <v>416424</v>
      </c>
      <c r="F58" s="32">
        <f>F42+F49+F52+F55</f>
        <v>429910</v>
      </c>
      <c r="G58" s="32">
        <f>G42+G49+G52+G55</f>
        <v>454153</v>
      </c>
      <c r="H58" s="44">
        <f>H42+H49+H52+H55</f>
        <v>468853</v>
      </c>
      <c r="I58" s="112" t="str">
        <f>"FY25 (E58) = derived annual rollforward (4Q24 closing + sum of four rounded quarterly flows), not reset to the 4Q25 quarterly-rollforward closing (D58); rounding residual E58-D58 = "&amp;TEXT(E58-D58,"+#,##0;-#,##0;0")&amp;"m; reported 12/31/25 stock in E61"</f>
        <v>FY25 (E58) = derived annual rollforward (4Q24 closing + sum of four rounded quarterly flows), not reset to the 4Q25 quarterly-rollforward closing (D58); rounding residual E58-D58 = +1m; reported 12/31/25 stock in E61</v>
      </c>
    </row>
    <row r="59">
      <c r="A59" s="1"/>
      <c r="B59" s="61" t="s">
        <v>82</v>
      </c>
      <c r="C59" s="55">
        <f>IF(Inputs!C172*C58&gt;0,C58/Inputs!C172-1,"n/m")</f>
        <v>0.1476516492123814</v>
      </c>
      <c r="D59" s="55">
        <f>IF(Inputs!D172*D58&gt;0,D58/Inputs!D172-1,"n/m")</f>
        <v>0.18245217495009491</v>
      </c>
      <c r="E59" s="55">
        <f>IF(Inputs!E172*E58&gt;0,E58/Inputs!E172-1,"n/m")</f>
        <v>0.1824550144958812</v>
      </c>
      <c r="F59" s="55">
        <f>IF(Inputs!F172*F58&gt;0,F58/Inputs!F172-1,"n/m")</f>
        <v>0.1588182969891372</v>
      </c>
      <c r="G59" s="55">
        <f>IF(Inputs!G172*G58&gt;0,G58/Inputs!G172-1,"n/m")</f>
        <v>0.1677676153939116</v>
      </c>
      <c r="H59" s="56">
        <f>IF(C58*H58&gt;0,H58/C58-1,"n/m")</f>
        <v>0.185148392217529</v>
      </c>
      <c r="I59" s="1"/>
    </row>
    <row r="60">
      <c r="A60" s="1"/>
      <c r="B60" s="43" t="s">
        <v>118</v>
      </c>
      <c r="C60" s="15">
        <f>C58-Inputs!G172</f>
        <v>6700</v>
      </c>
      <c r="D60" s="4">
        <f>D58-C58</f>
        <v>20816</v>
      </c>
      <c r="E60" s="4"/>
      <c r="F60" s="4">
        <f>F58-D58</f>
        <v>13487</v>
      </c>
      <c r="G60" s="4">
        <f>G58-F58</f>
        <v>24243</v>
      </c>
      <c r="H60" s="33">
        <f>H58-G58</f>
        <v>14700</v>
      </c>
      <c r="I60" s="1"/>
    </row>
    <row r="61">
      <c r="A61" s="1"/>
      <c r="B61" s="43" t="s">
        <v>171</v>
      </c>
      <c r="C61" s="26">
        <v>395607.045</v>
      </c>
      <c r="D61" s="26">
        <v>416423.156</v>
      </c>
      <c r="E61" s="4">
        <f>D61</f>
        <v>416423.156</v>
      </c>
      <c r="F61" s="26">
        <v>429909.808</v>
      </c>
      <c r="G61" s="26">
        <v>454152.32</v>
      </c>
      <c r="H61" s="33"/>
      <c r="I61" s="1"/>
    </row>
    <row r="62">
      <c r="A62" s="1"/>
      <c r="B62" s="43" t="s">
        <v>159</v>
      </c>
      <c r="C62" s="4">
        <f>IF(ABS(C58-C61)&lt;=5,0,C58-C61)</f>
        <v>0</v>
      </c>
      <c r="D62" s="4">
        <f>IF(ABS(D58-D61)&lt;=5,0,D58-D61)</f>
        <v>0</v>
      </c>
      <c r="E62" s="4">
        <f>IF(ABS(E58-E61)&lt;=5,0,E58-E61)</f>
        <v>0</v>
      </c>
      <c r="F62" s="4">
        <f>IF(ABS(F58-F61)&lt;=5,0,F58-F61)</f>
        <v>0</v>
      </c>
      <c r="G62" s="4">
        <f>IF(ABS(G58-G61)&lt;=5,0,G58-G61)</f>
        <v>0</v>
      </c>
      <c r="H62" s="33"/>
      <c r="I62" s="8" t="s">
        <v>172</v>
      </c>
    </row>
    <row r="63">
      <c r="A63" s="1"/>
      <c r="B63" s="40" t="s">
        <v>173</v>
      </c>
      <c r="C63" s="58">
        <f>C26/C58</f>
        <v>0.5940314504040626</v>
      </c>
      <c r="D63" s="58">
        <f>D26/D58</f>
        <v>0.5786375872610302</v>
      </c>
      <c r="E63" s="58">
        <f>E26/E58</f>
        <v>0.5786361977215531</v>
      </c>
      <c r="F63" s="58">
        <f>F26/F58</f>
        <v>0.59510130027215</v>
      </c>
      <c r="G63" s="58">
        <f>G26/G58</f>
        <v>0.5897043507364258</v>
      </c>
      <c r="H63" s="56">
        <f>H26/H58</f>
        <v>0.5850421347415928</v>
      </c>
      <c r="I63" s="1"/>
    </row>
    <row r="64">
      <c r="A64" s="1"/>
      <c r="B64" s="43" t="s">
        <v>121</v>
      </c>
      <c r="C64" s="57">
        <f>IFERROR((C63-(Inputs!G164/Inputs!G172))*10000,"n/m")</f>
        <v>-29.23605689039377</v>
      </c>
      <c r="D64" s="62">
        <f>IFERROR((D63-C63)*10000,"n/m")</f>
        <v>-153.9386314303237</v>
      </c>
      <c r="E64" s="62"/>
      <c r="F64" s="62">
        <f>IFERROR((F63-D63)*10000,"n/m")</f>
        <v>164.6371301111982</v>
      </c>
      <c r="G64" s="62">
        <f>IFERROR((G63-F63)*10000,"n/m")</f>
        <v>-53.969495357242266</v>
      </c>
      <c r="H64" s="59">
        <f>IFERROR((H63-G63)*10000,"n/m")</f>
        <v>-46.62215994832963</v>
      </c>
      <c r="I64" s="1"/>
    </row>
    <row r="65">
      <c r="A65" s="1"/>
      <c r="B65" s="43" t="s">
        <v>122</v>
      </c>
      <c r="C65" s="57">
        <f>IFERROR((C63-(Inputs!C164/Inputs!C172))*10000,"n/m")</f>
        <v>-113.52785620421746</v>
      </c>
      <c r="D65" s="57">
        <f>IFERROR((D63-(Inputs!D164/Inputs!D172))*10000,"n/m")</f>
        <v>-238.65756304133123</v>
      </c>
      <c r="E65" s="57">
        <f>IFERROR((E63-(Inputs!E164/Inputs!E172))*10000,"n/m")</f>
        <v>-238.6714584361027</v>
      </c>
      <c r="F65" s="57">
        <f>IFERROR((F63-(Inputs!F164/Inputs!F172))*10000,"n/m")</f>
        <v>-146.6985258911313</v>
      </c>
      <c r="G65" s="57">
        <f>IFERROR((G63-(Inputs!G164/Inputs!G172))*10000,"n/m")</f>
        <v>-72.50705356676157</v>
      </c>
      <c r="H65" s="59">
        <f>IFERROR((H63-C63)*10000,"n/m")</f>
        <v>-89.89315662469744</v>
      </c>
      <c r="I65" s="1"/>
    </row>
    <row r="66">
      <c r="A66" s="1"/>
      <c r="B66" s="1"/>
      <c r="C66" s="3"/>
      <c r="D66" s="3"/>
      <c r="E66" s="3"/>
      <c r="F66" s="3"/>
      <c r="G66" s="3"/>
      <c r="H66" s="37"/>
      <c r="I66" s="1"/>
    </row>
    <row r="67">
      <c r="A67" s="1"/>
      <c r="B67" s="2" t="s">
        <v>174</v>
      </c>
      <c r="C67" s="4"/>
      <c r="D67" s="4"/>
      <c r="E67" s="4"/>
      <c r="F67" s="4"/>
      <c r="G67" s="4"/>
      <c r="H67" s="33"/>
      <c r="I67" s="1"/>
    </row>
    <row r="68">
      <c r="A68" s="1"/>
      <c r="B68" s="31" t="s">
        <v>175</v>
      </c>
      <c r="C68" s="4">
        <f>C43</f>
        <v>10812</v>
      </c>
      <c r="D68" s="4">
        <f>D43</f>
        <v>20321</v>
      </c>
      <c r="E68" s="4">
        <f>E43</f>
        <v>68141</v>
      </c>
      <c r="F68" s="4">
        <f>F43</f>
        <v>20353</v>
      </c>
      <c r="G68" s="4">
        <f>G43</f>
        <v>24520</v>
      </c>
      <c r="H68" s="33">
        <f>H43</f>
        <v>18000</v>
      </c>
      <c r="I68" s="8" t="s">
        <v>176</v>
      </c>
    </row>
    <row r="69">
      <c r="A69" s="1"/>
      <c r="B69" s="43" t="s">
        <v>255</v>
      </c>
      <c r="C69" s="26">
        <v>4475</v>
      </c>
      <c r="D69" s="26">
        <v>6640</v>
      </c>
      <c r="E69" s="15">
        <f>Inputs!F179+Inputs!G179+C69+D69</f>
        <v>31733</v>
      </c>
      <c r="F69" s="26">
        <v>8555</v>
      </c>
      <c r="G69" s="26">
        <v>15182</v>
      </c>
      <c r="H69" s="33">
        <f>H68*(C69+D69+F69+G69)/(C68+D68+F68+G68)</f>
        <v>8253.769439254796</v>
      </c>
      <c r="I69" s="8" t="s">
        <v>178</v>
      </c>
    </row>
    <row r="70">
      <c r="A70" s="1"/>
      <c r="B70" s="65" t="s">
        <v>82</v>
      </c>
      <c r="C70" s="55">
        <f>IF(Inputs!C179*C69&gt;0,C69/Inputs!C179-1,"n/m")</f>
        <v>-0.037634408602150504</v>
      </c>
      <c r="D70" s="55">
        <f>IF(Inputs!D179*D69&gt;0,D69/Inputs!D179-1,"n/m")</f>
        <v>0.12370959553223893</v>
      </c>
      <c r="E70" s="55">
        <f>IF(Inputs!E179*E69&gt;0,E69/Inputs!E179-1,"n/m")</f>
        <v>0.6249167904142556</v>
      </c>
      <c r="F70" s="55">
        <f>IF(Inputs!F179*F69&gt;0,F69/Inputs!F179-1,"n/m")</f>
        <v>-0.33702727836329816</v>
      </c>
      <c r="G70" s="55">
        <f>IF(Inputs!G179*G69&gt;0,G69/Inputs!G179-1,"n/m")</f>
        <v>0.9681099299974074</v>
      </c>
      <c r="H70" s="56">
        <f>IF(C69*H69&gt;0,H69/C69-1,"n/m")</f>
        <v>0.8444177517887814</v>
      </c>
      <c r="I70" s="1"/>
    </row>
    <row r="71">
      <c r="A71" s="1"/>
      <c r="B71" s="66" t="s">
        <v>118</v>
      </c>
      <c r="C71" s="15">
        <f>C69-Inputs!G179</f>
        <v>-3239</v>
      </c>
      <c r="D71" s="4">
        <f>D69-C69</f>
        <v>2165</v>
      </c>
      <c r="E71" s="4"/>
      <c r="F71" s="4">
        <f>F69-D69</f>
        <v>1915</v>
      </c>
      <c r="G71" s="4">
        <f>G69-F69</f>
        <v>6627</v>
      </c>
      <c r="H71" s="33">
        <f>H69-G69</f>
        <v>-6928.230560745204</v>
      </c>
      <c r="I71" s="1"/>
    </row>
    <row r="72">
      <c r="A72" s="1"/>
      <c r="B72" s="43" t="s">
        <v>256</v>
      </c>
      <c r="C72" s="26">
        <v>785</v>
      </c>
      <c r="D72" s="26">
        <v>1555</v>
      </c>
      <c r="E72" s="15">
        <f>Inputs!F180+Inputs!G180+C72+D72</f>
        <v>3524</v>
      </c>
      <c r="F72" s="26">
        <v>633</v>
      </c>
      <c r="G72" s="26">
        <v>891</v>
      </c>
      <c r="H72" s="33">
        <f>H68*(C72+D72+F72+G72)/(C68+D68+F68+G68)</f>
        <v>915.0856511328053</v>
      </c>
      <c r="I72" s="8" t="s">
        <v>178</v>
      </c>
    </row>
    <row r="73">
      <c r="A73" s="1"/>
      <c r="B73" s="65" t="s">
        <v>82</v>
      </c>
      <c r="C73" s="55">
        <f>IF(Inputs!C180*C72&gt;0,C72/Inputs!C180-1,"n/m")</f>
        <v>-0.3403361344537815</v>
      </c>
      <c r="D73" s="55">
        <f>IF(Inputs!D180*D72&gt;0,D72/Inputs!D180-1,"n/m")</f>
        <v>0.3921217547000895</v>
      </c>
      <c r="E73" s="55">
        <f>IF(Inputs!E180*E72&gt;0,E72/Inputs!E180-1,"n/m")</f>
        <v>-0.2688796680497926</v>
      </c>
      <c r="F73" s="55">
        <f>IF(Inputs!F180*F72&gt;0,F72/Inputs!F180-1,"n/m")</f>
        <v>-0.001577287066246047</v>
      </c>
      <c r="G73" s="55">
        <f>IF(Inputs!G180*G72&gt;0,G72/Inputs!G180-1,"n/m")</f>
        <v>0.6200000000000001</v>
      </c>
      <c r="H73" s="56">
        <f>IF(C72*H72&gt;0,H72/C72-1,"n/m")</f>
        <v>0.16571420526472025</v>
      </c>
      <c r="I73" s="1"/>
    </row>
    <row r="74">
      <c r="A74" s="1"/>
      <c r="B74" s="66" t="s">
        <v>118</v>
      </c>
      <c r="C74" s="15">
        <f>C72-Inputs!G180</f>
        <v>235</v>
      </c>
      <c r="D74" s="4">
        <f>D72-C72</f>
        <v>770</v>
      </c>
      <c r="E74" s="4"/>
      <c r="F74" s="4">
        <f>F72-D72</f>
        <v>-922</v>
      </c>
      <c r="G74" s="4">
        <f>G72-F72</f>
        <v>258</v>
      </c>
      <c r="H74" s="33">
        <f>H72-G72</f>
        <v>24.08565113280531</v>
      </c>
      <c r="I74" s="1"/>
    </row>
    <row r="75">
      <c r="A75" s="1"/>
      <c r="B75" s="43" t="s">
        <v>257</v>
      </c>
      <c r="C75" s="26">
        <v>1918</v>
      </c>
      <c r="D75" s="26">
        <v>7963</v>
      </c>
      <c r="E75" s="15">
        <f>Inputs!F181+Inputs!G181+C75+D75</f>
        <v>19567</v>
      </c>
      <c r="F75" s="26">
        <v>8440</v>
      </c>
      <c r="G75" s="26">
        <v>5662</v>
      </c>
      <c r="H75" s="33">
        <f>H68*(C75+D75+F75+G75)/(C68+D68+F68+G68)</f>
        <v>5679.735810330763</v>
      </c>
      <c r="I75" s="8" t="s">
        <v>178</v>
      </c>
    </row>
    <row r="76">
      <c r="A76" s="1"/>
      <c r="B76" s="65" t="s">
        <v>82</v>
      </c>
      <c r="C76" s="55">
        <f>IF(Inputs!C181*C75&gt;0,C75/Inputs!C181-1,"n/m")</f>
        <v>0.2585301837270342</v>
      </c>
      <c r="D76" s="55">
        <f>IF(Inputs!D181*D75&gt;0,D75/Inputs!D181-1,"n/m")</f>
        <v>3.488726042841037</v>
      </c>
      <c r="E76" s="55">
        <f>IF(Inputs!E181*E75&gt;0,E75/Inputs!E181-1,"n/m")</f>
        <v>1.9235021664425518</v>
      </c>
      <c r="F76" s="55">
        <f>IF(Inputs!F181*F75&gt;0,F75/Inputs!F181-1,"n/m")</f>
        <v>0.319368453962795</v>
      </c>
      <c r="G76" s="55">
        <f>IF(Inputs!G181*G75&gt;0,G75/Inputs!G181-1,"n/m")</f>
        <v>0.721495895408939</v>
      </c>
      <c r="H76" s="56">
        <f>IF(C75*H75&gt;0,H75/C75-1,"n/m")</f>
        <v>1.9612804016323064</v>
      </c>
      <c r="I76" s="1"/>
    </row>
    <row r="77">
      <c r="A77" s="1"/>
      <c r="B77" s="66" t="s">
        <v>118</v>
      </c>
      <c r="C77" s="15">
        <f>C75-Inputs!G181</f>
        <v>-1371</v>
      </c>
      <c r="D77" s="4">
        <f>D75-C75</f>
        <v>6045</v>
      </c>
      <c r="E77" s="4"/>
      <c r="F77" s="4">
        <f>F75-D75</f>
        <v>477</v>
      </c>
      <c r="G77" s="4">
        <f>G75-F75</f>
        <v>-2778</v>
      </c>
      <c r="H77" s="33">
        <f>H75-G75</f>
        <v>17.735810330763343</v>
      </c>
      <c r="I77" s="1"/>
    </row>
    <row r="78">
      <c r="A78" s="1"/>
      <c r="B78" s="43" t="s">
        <v>258</v>
      </c>
      <c r="C78" s="26">
        <v>3634</v>
      </c>
      <c r="D78" s="26">
        <v>4163</v>
      </c>
      <c r="E78" s="15">
        <f>Inputs!F182+Inputs!G182+C78+D78</f>
        <v>13317</v>
      </c>
      <c r="F78" s="26">
        <v>2725</v>
      </c>
      <c r="G78" s="26">
        <v>2785</v>
      </c>
      <c r="H78" s="33">
        <f>H68*(C78+D78+F78+G78)/(C68+D68+F68+G68)</f>
        <v>3151.4090992816355</v>
      </c>
      <c r="I78" s="8" t="s">
        <v>178</v>
      </c>
    </row>
    <row r="79">
      <c r="A79" s="1"/>
      <c r="B79" s="65" t="s">
        <v>82</v>
      </c>
      <c r="C79" s="55">
        <f>IF(Inputs!C182*C78&gt;0,C78/Inputs!C182-1,"n/m")</f>
        <v>0.28047921071176884</v>
      </c>
      <c r="D79" s="55">
        <f>IF(Inputs!D182*D78&gt;0,D78/Inputs!D182-1,"n/m")</f>
        <v>0.4772888573456353</v>
      </c>
      <c r="E79" s="55">
        <f>IF(Inputs!E182*E78&gt;0,E78/Inputs!E182-1,"n/m")</f>
        <v>0.30010739041296497</v>
      </c>
      <c r="F79" s="55">
        <f>IF(Inputs!F182*F78&gt;0,F78/Inputs!F182-1,"n/m")</f>
        <v>0.5571428571428572</v>
      </c>
      <c r="G79" s="55">
        <f>IF(Inputs!G182*G78&gt;0,G78/Inputs!G182-1,"n/m")</f>
        <v>-0.2612732095490716</v>
      </c>
      <c r="H79" s="56">
        <f>IF(C78*H78&gt;0,H78/C78-1,"n/m")</f>
        <v>-0.13279881692855378</v>
      </c>
      <c r="I79" s="1"/>
    </row>
    <row r="80">
      <c r="A80" s="1"/>
      <c r="B80" s="66" t="s">
        <v>118</v>
      </c>
      <c r="C80" s="15">
        <f>C78-Inputs!G182</f>
        <v>-136</v>
      </c>
      <c r="D80" s="4">
        <f>D78-C78</f>
        <v>529</v>
      </c>
      <c r="E80" s="4"/>
      <c r="F80" s="4">
        <f>F78-D78</f>
        <v>-1438</v>
      </c>
      <c r="G80" s="4">
        <f>G78-F78</f>
        <v>60</v>
      </c>
      <c r="H80" s="33">
        <f>H78-G78</f>
        <v>366.40909928163546</v>
      </c>
      <c r="I80" s="1"/>
    </row>
    <row r="81">
      <c r="A81" s="1"/>
      <c r="B81" s="31" t="s">
        <v>181</v>
      </c>
      <c r="C81" s="26">
        <v>5564.248</v>
      </c>
      <c r="D81" s="26">
        <v>12811.67</v>
      </c>
      <c r="E81" s="15">
        <f>Inputs!F183+Inputs!G183+C81+D81</f>
        <v>46502.746</v>
      </c>
      <c r="F81" s="26">
        <v>14513.047</v>
      </c>
      <c r="G81" s="26">
        <v>14515.209</v>
      </c>
      <c r="H81" s="60">
        <v>13000</v>
      </c>
      <c r="I81" s="8" t="s">
        <v>182</v>
      </c>
    </row>
    <row r="82">
      <c r="A82" s="1"/>
      <c r="B82" s="61" t="s">
        <v>82</v>
      </c>
      <c r="C82" s="55">
        <f>IF(Inputs!C183*C81&gt;0,C81/Inputs!C183-1,"n/m")</f>
        <v>-0.5117126267294532</v>
      </c>
      <c r="D82" s="55">
        <f>IF(Inputs!D183*D81&gt;0,D81/Inputs!D183-1,"n/m")</f>
        <v>0.055950324549070674</v>
      </c>
      <c r="E82" s="55">
        <f>IF(Inputs!E183*E81&gt;0,E81/Inputs!E183-1,"n/m")</f>
        <v>0.10220767931243735</v>
      </c>
      <c r="F82" s="55">
        <f>IF(Inputs!F183*F81&gt;0,F81/Inputs!F183-1,"n/m")</f>
        <v>-0.11332574289352404</v>
      </c>
      <c r="G82" s="55">
        <f>IF(Inputs!G183*G81&gt;0,G81/Inputs!G183-1,"n/m")</f>
        <v>0.23440509164571077</v>
      </c>
      <c r="H82" s="56">
        <f>IF(C81*H81&gt;0,H81/C81-1,"n/m")</f>
        <v>1.3363444620009748</v>
      </c>
      <c r="I82" s="1"/>
    </row>
    <row r="83">
      <c r="A83" s="1"/>
      <c r="B83" s="43" t="s">
        <v>118</v>
      </c>
      <c r="C83" s="15">
        <f>C81-Inputs!G183</f>
        <v>-6194.622000000001</v>
      </c>
      <c r="D83" s="4">
        <f>D81-C81</f>
        <v>7247.4220000000005</v>
      </c>
      <c r="E83" s="4"/>
      <c r="F83" s="4">
        <f>F81-D81</f>
        <v>1701.3770000000004</v>
      </c>
      <c r="G83" s="4">
        <f>G81-F81</f>
        <v>2.162000000000262</v>
      </c>
      <c r="H83" s="33">
        <f>H81-G81</f>
        <v>-1515.2090000000007</v>
      </c>
      <c r="I83" s="1"/>
    </row>
    <row r="84">
      <c r="A84" s="1"/>
      <c r="B84" s="43" t="s">
        <v>259</v>
      </c>
      <c r="C84" s="26">
        <v>2983</v>
      </c>
      <c r="D84" s="26">
        <v>6519</v>
      </c>
      <c r="E84" s="15">
        <f>Inputs!F184+Inputs!G184+C84+D84</f>
        <v>23250</v>
      </c>
      <c r="F84" s="26">
        <v>8905</v>
      </c>
      <c r="G84" s="26">
        <v>8579</v>
      </c>
      <c r="H84" s="33">
        <f>H81*(C84+D84+F84+G84)/(C81+D81+F81+G81)</f>
        <v>7400.571941196571</v>
      </c>
      <c r="I84" s="8" t="s">
        <v>178</v>
      </c>
    </row>
    <row r="85">
      <c r="A85" s="1"/>
      <c r="B85" s="65" t="s">
        <v>82</v>
      </c>
      <c r="C85" s="55">
        <f>IF(Inputs!C184*C84&gt;0,C84/Inputs!C184-1,"n/m")</f>
        <v>-0.490694894997439</v>
      </c>
      <c r="D85" s="55">
        <f>IF(Inputs!D184*D84&gt;0,D84/Inputs!D184-1,"n/m")</f>
        <v>0.6954486345903772</v>
      </c>
      <c r="E85" s="55">
        <f>IF(Inputs!E184*E84&gt;0,E84/Inputs!E184-1,"n/m")</f>
        <v>0.19145229066311376</v>
      </c>
      <c r="F85" s="55">
        <f>IF(Inputs!F184*F84&gt;0,F84/Inputs!F184-1,"n/m")</f>
        <v>0.02829099307159355</v>
      </c>
      <c r="G85" s="55">
        <f>IF(Inputs!G184*G84&gt;0,G84/Inputs!G184-1,"n/m")</f>
        <v>0.686124213836478</v>
      </c>
      <c r="H85" s="56">
        <f>IF(C84*H84&gt;0,H84/C84-1,"n/m")</f>
        <v>1.4809158368074327</v>
      </c>
      <c r="I85" s="1"/>
    </row>
    <row r="86">
      <c r="A86" s="1"/>
      <c r="B86" s="66" t="s">
        <v>118</v>
      </c>
      <c r="C86" s="15">
        <f>C84-Inputs!G184</f>
        <v>-2105</v>
      </c>
      <c r="D86" s="4">
        <f>D84-C84</f>
        <v>3536</v>
      </c>
      <c r="E86" s="4"/>
      <c r="F86" s="4">
        <f>F84-D84</f>
        <v>2386</v>
      </c>
      <c r="G86" s="4">
        <f>G84-F84</f>
        <v>-326</v>
      </c>
      <c r="H86" s="33">
        <f>H84-G84</f>
        <v>-1178.428058803429</v>
      </c>
      <c r="I86" s="1"/>
    </row>
    <row r="87">
      <c r="A87" s="1"/>
      <c r="B87" s="43" t="s">
        <v>260</v>
      </c>
      <c r="C87" s="26">
        <v>741</v>
      </c>
      <c r="D87" s="26">
        <v>462</v>
      </c>
      <c r="E87" s="15">
        <f>Inputs!F185+Inputs!G185+C87+D87</f>
        <v>2434</v>
      </c>
      <c r="F87" s="26">
        <v>432</v>
      </c>
      <c r="G87" s="26">
        <v>1264</v>
      </c>
      <c r="H87" s="33">
        <f>H81*(C87+D87+F87+G87)/(C81+D81+F81+G81)</f>
        <v>795.0143799573431</v>
      </c>
      <c r="I87" s="8" t="s">
        <v>178</v>
      </c>
    </row>
    <row r="88">
      <c r="A88" s="1"/>
      <c r="B88" s="65" t="s">
        <v>82</v>
      </c>
      <c r="C88" s="55">
        <f>IF(Inputs!C185*C87&gt;0,C87/Inputs!C185-1,"n/m")</f>
        <v>-0.7016908212560387</v>
      </c>
      <c r="D88" s="55">
        <f>IF(Inputs!D185*D87&gt;0,D87/Inputs!D185-1,"n/m")</f>
        <v>-0.571825764596849</v>
      </c>
      <c r="E88" s="55">
        <f>IF(Inputs!E185*E87&gt;0,E87/Inputs!E185-1,"n/m")</f>
        <v>-0.5941980660220073</v>
      </c>
      <c r="F88" s="55">
        <f>IF(Inputs!F185*F87&gt;0,F87/Inputs!F185-1,"n/m")</f>
        <v>-0.5680000000000001</v>
      </c>
      <c r="G88" s="55">
        <f>IF(Inputs!G185*G87&gt;0,G87/Inputs!G185-1,"n/m")</f>
        <v>4.471861471861472</v>
      </c>
      <c r="H88" s="56">
        <f>IF(C87*H87&gt;0,H87/C87-1,"n/m")</f>
        <v>0.07289390007738605</v>
      </c>
      <c r="I88" s="1"/>
    </row>
    <row r="89">
      <c r="A89" s="1"/>
      <c r="B89" s="66" t="s">
        <v>118</v>
      </c>
      <c r="C89" s="15">
        <f>C87-Inputs!G185</f>
        <v>510</v>
      </c>
      <c r="D89" s="4">
        <f>D87-C87</f>
        <v>-279</v>
      </c>
      <c r="E89" s="4"/>
      <c r="F89" s="4">
        <f>F87-D87</f>
        <v>-30</v>
      </c>
      <c r="G89" s="4">
        <f>G87-F87</f>
        <v>832</v>
      </c>
      <c r="H89" s="33">
        <f>H87-G87</f>
        <v>-468.98562004265693</v>
      </c>
      <c r="I89" s="1"/>
    </row>
    <row r="90">
      <c r="A90" s="1"/>
      <c r="B90" s="43" t="s">
        <v>261</v>
      </c>
      <c r="C90" s="26">
        <v>1627</v>
      </c>
      <c r="D90" s="26">
        <v>4056</v>
      </c>
      <c r="E90" s="15">
        <f>Inputs!F186+Inputs!G186+C90+D90</f>
        <v>14034</v>
      </c>
      <c r="F90" s="26">
        <v>3972</v>
      </c>
      <c r="G90" s="26">
        <v>3263</v>
      </c>
      <c r="H90" s="33">
        <f>H81*(C90+D90+F90+G90)/(C81+D81+F81+G81)</f>
        <v>3542.5994343873604</v>
      </c>
      <c r="I90" s="8" t="s">
        <v>178</v>
      </c>
    </row>
    <row r="91">
      <c r="A91" s="1"/>
      <c r="B91" s="65" t="s">
        <v>82</v>
      </c>
      <c r="C91" s="55">
        <f>IF(Inputs!C186*C90&gt;0,C90/Inputs!C186-1,"n/m")</f>
        <v>-0.2522977941176471</v>
      </c>
      <c r="D91" s="55">
        <f>IF(Inputs!D186*D90&gt;0,D90/Inputs!D186-1,"n/m")</f>
        <v>-0.06284658040665436</v>
      </c>
      <c r="E91" s="55">
        <f>IF(Inputs!E186*E90&gt;0,E90/Inputs!E186-1,"n/m")</f>
        <v>0.23321616871704753</v>
      </c>
      <c r="F91" s="55">
        <f>IF(Inputs!F186*F90&gt;0,F90/Inputs!F186-1,"n/m")</f>
        <v>-0.3265513733468972</v>
      </c>
      <c r="G91" s="55">
        <f>IF(Inputs!G186*G90&gt;0,G90/Inputs!G186-1,"n/m")</f>
        <v>0.330207908683245</v>
      </c>
      <c r="H91" s="56">
        <f>IF(C90*H90&gt;0,H90/C90-1,"n/m")</f>
        <v>1.1773813364396806</v>
      </c>
      <c r="I91" s="1"/>
    </row>
    <row r="92">
      <c r="A92" s="1"/>
      <c r="B92" s="66" t="s">
        <v>118</v>
      </c>
      <c r="C92" s="15">
        <f>C90-Inputs!G186</f>
        <v>-826</v>
      </c>
      <c r="D92" s="4">
        <f>D90-C90</f>
        <v>2429</v>
      </c>
      <c r="E92" s="4"/>
      <c r="F92" s="4">
        <f>F90-D90</f>
        <v>-84</v>
      </c>
      <c r="G92" s="4">
        <f>G90-F90</f>
        <v>-709</v>
      </c>
      <c r="H92" s="33">
        <f>H90-G90</f>
        <v>279.59943438736036</v>
      </c>
      <c r="I92" s="1"/>
    </row>
    <row r="93">
      <c r="A93" s="1"/>
      <c r="B93" s="43" t="s">
        <v>262</v>
      </c>
      <c r="C93" s="26">
        <v>214</v>
      </c>
      <c r="D93" s="26">
        <v>1774</v>
      </c>
      <c r="E93" s="15">
        <f>Inputs!F187+Inputs!G187+C93+D93</f>
        <v>6783</v>
      </c>
      <c r="F93" s="26">
        <v>1204</v>
      </c>
      <c r="G93" s="26">
        <v>1410</v>
      </c>
      <c r="H93" s="33">
        <f>H81*(C93+D93+F93+G93)/(C81+D81+F81+G81)</f>
        <v>1262.0407645959615</v>
      </c>
      <c r="I93" s="8" t="s">
        <v>178</v>
      </c>
    </row>
    <row r="94">
      <c r="A94" s="1"/>
      <c r="B94" s="65" t="s">
        <v>82</v>
      </c>
      <c r="C94" s="55">
        <f>IF(Inputs!C187*C93&gt;0,C93/Inputs!C187-1,"n/m")</f>
        <v>-0.7565415244596132</v>
      </c>
      <c r="D94" s="55">
        <f>IF(Inputs!D187*D93&gt;0,D93/Inputs!D187-1,"n/m")</f>
        <v>-0.38402777777777775</v>
      </c>
      <c r="E94" s="55">
        <f>IF(Inputs!E187*E93&gt;0,E93/Inputs!E187-1,"n/m")</f>
        <v>0.2800528401585205</v>
      </c>
      <c r="F94" s="55">
        <f>IF(Inputs!F187*F93&gt;0,F93/Inputs!F187-1,"n/m")</f>
        <v>0.48825710754017315</v>
      </c>
      <c r="G94" s="55">
        <f>IF(Inputs!G187*G93&gt;0,G93/Inputs!G187-1,"n/m")</f>
        <v>-0.6462619167084797</v>
      </c>
      <c r="H94" s="56">
        <f>IF(C93*H93&gt;0,H93/C93-1,"n/m")</f>
        <v>4.897386750448418</v>
      </c>
      <c r="I94" s="1"/>
    </row>
    <row r="95">
      <c r="A95" s="1"/>
      <c r="B95" s="66" t="s">
        <v>118</v>
      </c>
      <c r="C95" s="15">
        <f>C93-Inputs!G187</f>
        <v>-3772</v>
      </c>
      <c r="D95" s="4">
        <f>D93-C93</f>
        <v>1560</v>
      </c>
      <c r="E95" s="4"/>
      <c r="F95" s="4">
        <f>F93-D93</f>
        <v>-570</v>
      </c>
      <c r="G95" s="4">
        <f>G93-F93</f>
        <v>206</v>
      </c>
      <c r="H95" s="33">
        <f>H93-G93</f>
        <v>-147.9592354040385</v>
      </c>
      <c r="I95" s="1"/>
    </row>
    <row r="96">
      <c r="A96" s="1"/>
      <c r="B96" s="31" t="s">
        <v>186</v>
      </c>
      <c r="C96" s="4">
        <f>-C52</f>
        <v>9292</v>
      </c>
      <c r="D96" s="4">
        <f>-D52</f>
        <v>10803</v>
      </c>
      <c r="E96" s="4">
        <f>-E52</f>
        <v>33878</v>
      </c>
      <c r="F96" s="4">
        <f>-F52</f>
        <v>14564</v>
      </c>
      <c r="G96" s="4">
        <f>-G52</f>
        <v>11023</v>
      </c>
      <c r="H96" s="33">
        <f>-H52</f>
        <v>9500</v>
      </c>
      <c r="I96" s="8" t="s">
        <v>187</v>
      </c>
    </row>
    <row r="97">
      <c r="A97" s="1"/>
      <c r="B97" s="43" t="s">
        <v>263</v>
      </c>
      <c r="C97" s="26">
        <v>4083</v>
      </c>
      <c r="D97" s="26">
        <v>5276</v>
      </c>
      <c r="E97" s="15">
        <f>Inputs!F188+Inputs!G188+C97+D97</f>
        <v>16234</v>
      </c>
      <c r="F97" s="26">
        <v>9061</v>
      </c>
      <c r="G97" s="26">
        <v>5834</v>
      </c>
      <c r="H97" s="33">
        <f>H96*(C97+D97+F97+G97)/(C96+D96+F96+G96)</f>
        <v>5043.846591655357</v>
      </c>
      <c r="I97" s="8" t="s">
        <v>178</v>
      </c>
    </row>
    <row r="98">
      <c r="A98" s="1"/>
      <c r="B98" s="65" t="s">
        <v>82</v>
      </c>
      <c r="C98" s="55">
        <f>IF(Inputs!C188*C97&gt;0,C97/Inputs!C188-1,"n/m")</f>
        <v>0.8391891891891892</v>
      </c>
      <c r="D98" s="55">
        <f>IF(Inputs!D188*D97&gt;0,D97/Inputs!D188-1,"n/m")</f>
        <v>-0.17252195734002507</v>
      </c>
      <c r="E98" s="55">
        <f>IF(Inputs!E188*E97&gt;0,E97/Inputs!E188-1,"n/m")</f>
        <v>0.04298104722132989</v>
      </c>
      <c r="F98" s="55">
        <f>IF(Inputs!F188*F97&gt;0,F97/Inputs!F188-1,"n/m")</f>
        <v>2.0203333333333333</v>
      </c>
      <c r="G98" s="55">
        <f>IF(Inputs!G188*G97&gt;0,G97/Inputs!G188-1,"n/m")</f>
        <v>0.5055483870967743</v>
      </c>
      <c r="H98" s="56">
        <f>IF(C97*H97&gt;0,H97/C97-1,"n/m")</f>
        <v>0.2353285798813023</v>
      </c>
      <c r="I98" s="1"/>
    </row>
    <row r="99">
      <c r="A99" s="1"/>
      <c r="B99" s="66" t="s">
        <v>118</v>
      </c>
      <c r="C99" s="15">
        <f>C97-Inputs!G188</f>
        <v>208</v>
      </c>
      <c r="D99" s="4">
        <f>D97-C97</f>
        <v>1193</v>
      </c>
      <c r="E99" s="4"/>
      <c r="F99" s="4">
        <f>F97-D97</f>
        <v>3785</v>
      </c>
      <c r="G99" s="4">
        <f>G97-F97</f>
        <v>-3227</v>
      </c>
      <c r="H99" s="33">
        <f>H97-G97</f>
        <v>-790.1534083446431</v>
      </c>
      <c r="I99" s="1"/>
    </row>
    <row r="100">
      <c r="A100" s="1"/>
      <c r="B100" s="43" t="s">
        <v>264</v>
      </c>
      <c r="C100" s="26">
        <v>1352</v>
      </c>
      <c r="D100" s="26">
        <v>902</v>
      </c>
      <c r="E100" s="15">
        <f>Inputs!F189+Inputs!G189+C100+D100</f>
        <v>5321</v>
      </c>
      <c r="F100" s="26">
        <v>2983</v>
      </c>
      <c r="G100" s="26">
        <v>1150</v>
      </c>
      <c r="H100" s="33">
        <f>H96*(C100+D100+F100+G100)/(C96+D96+F96+G96)</f>
        <v>1328.2365045313252</v>
      </c>
      <c r="I100" s="8" t="s">
        <v>178</v>
      </c>
    </row>
    <row r="101">
      <c r="A101" s="1"/>
      <c r="B101" s="65" t="s">
        <v>82</v>
      </c>
      <c r="C101" s="55">
        <f>IF(Inputs!C189*C100&gt;0,C100/Inputs!C189-1,"n/m")</f>
        <v>2.2114014251781473</v>
      </c>
      <c r="D101" s="55">
        <f>IF(Inputs!D189*D100&gt;0,D100/Inputs!D189-1,"n/m")</f>
        <v>-0.063343717549325</v>
      </c>
      <c r="E101" s="55">
        <f>IF(Inputs!E189*E100&gt;0,E100/Inputs!E189-1,"n/m")</f>
        <v>0.4760055478502081</v>
      </c>
      <c r="F101" s="55">
        <f>IF(Inputs!F189*F100&gt;0,F100/Inputs!F189-1,"n/m")</f>
        <v>0.4730864197530864</v>
      </c>
      <c r="G101" s="55">
        <f>IF(Inputs!G189*G100&gt;0,G100/Inputs!G189-1,"n/m")</f>
        <v>0.10364683301343569</v>
      </c>
      <c r="H101" s="56">
        <f>IF(C100*H100&gt;0,H100/C100-1,"n/m")</f>
        <v>-0.017576549902865946</v>
      </c>
      <c r="I101" s="1"/>
    </row>
    <row r="102">
      <c r="A102" s="1"/>
      <c r="B102" s="66" t="s">
        <v>118</v>
      </c>
      <c r="C102" s="15">
        <f>C100-Inputs!G189</f>
        <v>310</v>
      </c>
      <c r="D102" s="4">
        <f>D100-C100</f>
        <v>-450</v>
      </c>
      <c r="E102" s="4"/>
      <c r="F102" s="4">
        <f>F100-D100</f>
        <v>2081</v>
      </c>
      <c r="G102" s="4">
        <f>G100-F100</f>
        <v>-1833</v>
      </c>
      <c r="H102" s="33">
        <f>H100-G100</f>
        <v>178.23650453132518</v>
      </c>
      <c r="I102" s="1"/>
    </row>
    <row r="103">
      <c r="A103" s="1"/>
      <c r="B103" s="43" t="s">
        <v>265</v>
      </c>
      <c r="C103" s="26">
        <v>2811</v>
      </c>
      <c r="D103" s="26">
        <v>4059</v>
      </c>
      <c r="E103" s="15">
        <f>Inputs!F190+Inputs!G190+C103+D103</f>
        <v>9905</v>
      </c>
      <c r="F103" s="26">
        <v>2039</v>
      </c>
      <c r="G103" s="26">
        <v>2614</v>
      </c>
      <c r="H103" s="33">
        <f>H96*(C103+D103+F103+G103)/(C96+D96+F96+G96)</f>
        <v>2396.3158355588635</v>
      </c>
      <c r="I103" s="8" t="s">
        <v>178</v>
      </c>
    </row>
    <row r="104">
      <c r="A104" s="1"/>
      <c r="B104" s="65" t="s">
        <v>82</v>
      </c>
      <c r="C104" s="55">
        <f>IF(Inputs!C190*C103&gt;0,C103/Inputs!C190-1,"n/m")</f>
        <v>0.7108947048082774</v>
      </c>
      <c r="D104" s="55">
        <f>IF(Inputs!D190*D103&gt;0,D103/Inputs!D190-1,"n/m")</f>
        <v>0.5689988403556243</v>
      </c>
      <c r="E104" s="55">
        <f>IF(Inputs!E190*E103&gt;0,E103/Inputs!E190-1,"n/m")</f>
        <v>0.2476382415921401</v>
      </c>
      <c r="F104" s="55">
        <f>IF(Inputs!F190*F103&gt;0,F103/Inputs!F190-1,"n/m")</f>
        <v>0.5126112759643917</v>
      </c>
      <c r="G104" s="55">
        <f>IF(Inputs!G190*G103&gt;0,G103/Inputs!G190-1,"n/m")</f>
        <v>0.5494961470065205</v>
      </c>
      <c r="H104" s="56">
        <f>IF(C103*H103&gt;0,H103/C103-1,"n/m")</f>
        <v>-0.14752193683427128</v>
      </c>
      <c r="I104" s="1"/>
    </row>
    <row r="105">
      <c r="A105" s="1"/>
      <c r="B105" s="66" t="s">
        <v>118</v>
      </c>
      <c r="C105" s="15">
        <f>C103-Inputs!G190</f>
        <v>1124</v>
      </c>
      <c r="D105" s="4">
        <f>D103-C103</f>
        <v>1248</v>
      </c>
      <c r="E105" s="4"/>
      <c r="F105" s="4">
        <f>F103-D103</f>
        <v>-2020</v>
      </c>
      <c r="G105" s="4">
        <f>G103-F103</f>
        <v>575</v>
      </c>
      <c r="H105" s="33">
        <f>H103-G103</f>
        <v>-217.68416444113655</v>
      </c>
      <c r="I105" s="1"/>
    </row>
    <row r="106">
      <c r="A106" s="1"/>
      <c r="B106" s="43" t="s">
        <v>266</v>
      </c>
      <c r="C106" s="26">
        <v>1046</v>
      </c>
      <c r="D106" s="26">
        <v>566</v>
      </c>
      <c r="E106" s="15">
        <f>Inputs!F191+Inputs!G191+C106+D106</f>
        <v>2418</v>
      </c>
      <c r="F106" s="26">
        <v>480</v>
      </c>
      <c r="G106" s="26">
        <v>1425</v>
      </c>
      <c r="H106" s="33">
        <f>H96*(C106+D106+F106+G106)/(C96+D96+F96+G96)</f>
        <v>731.3931088831487</v>
      </c>
      <c r="I106" s="8" t="s">
        <v>178</v>
      </c>
    </row>
    <row r="107">
      <c r="A107" s="1"/>
      <c r="B107" s="65" t="s">
        <v>82</v>
      </c>
      <c r="C107" s="55">
        <f>IF(Inputs!C191*C106&gt;0,C106/Inputs!C191-1,"n/m")</f>
        <v>0.07723995880535539</v>
      </c>
      <c r="D107" s="55">
        <f>IF(Inputs!D191*D106&gt;0,D106/Inputs!D191-1,"n/m")</f>
        <v>-0.11562499999999998</v>
      </c>
      <c r="E107" s="55">
        <f>IF(Inputs!E191*E106&gt;0,E106/Inputs!E191-1,"n/m")</f>
        <v>0.3278418451400329</v>
      </c>
      <c r="F107" s="55">
        <f>IF(Inputs!F191*F106&gt;0,F106/Inputs!F191-1,"n/m")</f>
        <v>4.1063829787234045</v>
      </c>
      <c r="G107" s="55">
        <f>IF(Inputs!G191*G106&gt;0,G106/Inputs!G191-1,"n/m")</f>
        <v>1.0014044943820224</v>
      </c>
      <c r="H107" s="56">
        <f>IF(C106*H106&gt;0,H106/C106-1,"n/m")</f>
        <v>-0.30077140642146394</v>
      </c>
      <c r="I107" s="1"/>
    </row>
    <row r="108">
      <c r="A108" s="1"/>
      <c r="B108" s="66" t="s">
        <v>118</v>
      </c>
      <c r="C108" s="15">
        <f>C106-Inputs!G191</f>
        <v>334</v>
      </c>
      <c r="D108" s="4">
        <f>D106-C106</f>
        <v>-480</v>
      </c>
      <c r="E108" s="4"/>
      <c r="F108" s="4">
        <f>F106-D106</f>
        <v>-86</v>
      </c>
      <c r="G108" s="4">
        <f>G106-F106</f>
        <v>945</v>
      </c>
      <c r="H108" s="33">
        <f>H106-G106</f>
        <v>-693.6068911168513</v>
      </c>
      <c r="I108" s="1"/>
    </row>
    <row r="109">
      <c r="A109" s="1"/>
      <c r="B109" s="1"/>
      <c r="C109" s="3"/>
      <c r="D109" s="3"/>
      <c r="E109" s="3"/>
      <c r="F109" s="3"/>
      <c r="G109" s="3"/>
      <c r="H109" s="37"/>
      <c r="I109" s="1"/>
    </row>
    <row r="110">
      <c r="A110" s="1"/>
      <c r="B110" s="2" t="s">
        <v>191</v>
      </c>
      <c r="C110" s="4"/>
      <c r="D110" s="4"/>
      <c r="E110" s="4"/>
      <c r="F110" s="4"/>
      <c r="G110" s="4"/>
      <c r="H110" s="33"/>
      <c r="I110" s="1"/>
    </row>
    <row r="111">
      <c r="A111" s="1"/>
      <c r="B111" s="31" t="s">
        <v>103</v>
      </c>
      <c r="C111" s="26">
        <v>628.402</v>
      </c>
      <c r="D111" s="26">
        <v>646.067</v>
      </c>
      <c r="E111" s="15">
        <f>Inputs!F192+Inputs!G192+C111+D111</f>
        <v>2457.9809999999998</v>
      </c>
      <c r="F111" s="26">
        <v>659.991</v>
      </c>
      <c r="G111" s="26">
        <v>681.444</v>
      </c>
      <c r="H111" s="33">
        <f>H117/10000*H31*H7/365</f>
        <v>710.5416470794521</v>
      </c>
      <c r="I111" s="8" t="s">
        <v>192</v>
      </c>
    </row>
    <row r="112">
      <c r="A112" s="1"/>
      <c r="B112" s="61" t="s">
        <v>82</v>
      </c>
      <c r="C112" s="55">
        <f>IF(Inputs!C192*C111&gt;0,C111/Inputs!C192-1,"n/m")</f>
        <v>0.22889577690645435</v>
      </c>
      <c r="D112" s="55">
        <f>IF(Inputs!D192*D111&gt;0,D111/Inputs!D192-1,"n/m")</f>
        <v>0.1261958052685157</v>
      </c>
      <c r="E112" s="55">
        <f>IF(Inputs!E192*E111&gt;0,E111/Inputs!E192-1,"n/m")</f>
        <v>0.21210885393679524</v>
      </c>
      <c r="F112" s="55">
        <f>IF(Inputs!F192*F111&gt;0,F111/Inputs!F192-1,"n/m")</f>
        <v>0.14097648173375465</v>
      </c>
      <c r="G112" s="55">
        <f>IF(Inputs!G192*G111&gt;0,G111/Inputs!G192-1,"n/m")</f>
        <v>0.1262271348013777</v>
      </c>
      <c r="H112" s="56">
        <f>IF(C111*H111&gt;0,H111/C111-1,"n/m")</f>
        <v>0.13071194407314435</v>
      </c>
      <c r="I112" s="1"/>
    </row>
    <row r="113">
      <c r="A113" s="1"/>
      <c r="B113" s="43" t="s">
        <v>118</v>
      </c>
      <c r="C113" s="15">
        <f>C111-Inputs!G192</f>
        <v>23.33400000000006</v>
      </c>
      <c r="D113" s="4">
        <f>D111-C111</f>
        <v>17.664999999999964</v>
      </c>
      <c r="E113" s="4"/>
      <c r="F113" s="4">
        <f>F111-D111</f>
        <v>13.923999999999978</v>
      </c>
      <c r="G113" s="4">
        <f>G111-F111</f>
        <v>21.452999999999975</v>
      </c>
      <c r="H113" s="33">
        <f>H111-G111</f>
        <v>29.097647079452145</v>
      </c>
      <c r="I113" s="1"/>
    </row>
    <row r="114">
      <c r="A114" s="1"/>
      <c r="B114" s="61" t="s">
        <v>85</v>
      </c>
      <c r="C114" s="58" t="s">
        <v>86</v>
      </c>
      <c r="D114" s="58" t="s">
        <v>86</v>
      </c>
      <c r="E114" s="58" t="s">
        <v>86</v>
      </c>
      <c r="F114" s="58" t="s">
        <v>86</v>
      </c>
      <c r="G114" s="58" t="s">
        <v>86</v>
      </c>
      <c r="H114" s="56" t="s">
        <v>86</v>
      </c>
      <c r="I114" s="8" t="s">
        <v>94</v>
      </c>
    </row>
    <row r="115">
      <c r="A115" s="1"/>
      <c r="B115" s="61" t="s">
        <v>88</v>
      </c>
      <c r="C115" s="58" t="s">
        <v>86</v>
      </c>
      <c r="D115" s="58" t="s">
        <v>86</v>
      </c>
      <c r="E115" s="58" t="s">
        <v>86</v>
      </c>
      <c r="F115" s="58" t="s">
        <v>86</v>
      </c>
      <c r="G115" s="58" t="s">
        <v>86</v>
      </c>
      <c r="H115" s="56" t="s">
        <v>86</v>
      </c>
      <c r="I115" s="8" t="s">
        <v>95</v>
      </c>
    </row>
    <row r="116">
      <c r="A116" s="1"/>
      <c r="B116" s="61" t="s">
        <v>89</v>
      </c>
      <c r="C116" s="58" t="s">
        <v>86</v>
      </c>
      <c r="D116" s="58" t="s">
        <v>86</v>
      </c>
      <c r="E116" s="58" t="s">
        <v>86</v>
      </c>
      <c r="F116" s="58" t="s">
        <v>86</v>
      </c>
      <c r="G116" s="58" t="s">
        <v>86</v>
      </c>
      <c r="H116" s="56" t="s">
        <v>86</v>
      </c>
      <c r="I116" s="8" t="s">
        <v>95</v>
      </c>
    </row>
    <row r="117">
      <c r="A117" s="1"/>
      <c r="B117" s="61" t="s">
        <v>193</v>
      </c>
      <c r="C117" s="72">
        <f>C111*365/C7/C31*10000</f>
        <v>106.73408148104383</v>
      </c>
      <c r="D117" s="72">
        <f>D111*365/D7/D31*10000</f>
        <v>107.70588435221558</v>
      </c>
      <c r="E117" s="72">
        <f>E111*365/E7/E31*10000</f>
        <v>107.1926043404217</v>
      </c>
      <c r="F117" s="72">
        <f>F111*365/F7/F31*10000</f>
        <v>107.75487406632885</v>
      </c>
      <c r="G117" s="72">
        <f>G111*365/G7/G31*10000</f>
        <v>104.39107533570795</v>
      </c>
      <c r="H117" s="70">
        <v>104</v>
      </c>
      <c r="I117" s="8" t="s">
        <v>194</v>
      </c>
    </row>
    <row r="118">
      <c r="A118" s="1"/>
      <c r="B118" s="66" t="s">
        <v>121</v>
      </c>
      <c r="C118" s="57">
        <f>IFERROR((C117-(Inputs!G192*365/Inputs!G114/Inputs!G171*10000))*1,"n/m")</f>
        <v>0.8427596023229285</v>
      </c>
      <c r="D118" s="62">
        <f>IFERROR((D117-C117)*1,"n/m")</f>
        <v>0.9718028711717466</v>
      </c>
      <c r="E118" s="62"/>
      <c r="F118" s="62">
        <f>IFERROR((F117-D117)*1,"n/m")</f>
        <v>0.048989714113275795</v>
      </c>
      <c r="G118" s="62">
        <f>IFERROR((G117-F117)*1,"n/m")</f>
        <v>-3.3637987306209</v>
      </c>
      <c r="H118" s="59">
        <f>IFERROR((H117-G117)*1,"n/m")</f>
        <v>-0.39107533570795283</v>
      </c>
      <c r="I118" s="1"/>
    </row>
    <row r="119">
      <c r="A119" s="1"/>
      <c r="B119" s="66" t="s">
        <v>122</v>
      </c>
      <c r="C119" s="57">
        <f>IFERROR((C117-(Inputs!C192*365/Inputs!C114/Inputs!C171*10000))*1,"n/m")</f>
        <v>7.56975695023219</v>
      </c>
      <c r="D119" s="57">
        <f>IFERROR((D117-(Inputs!D192*365/Inputs!D114/Inputs!D171*10000))*1,"n/m")</f>
        <v>-0.4515403361827879</v>
      </c>
      <c r="E119" s="57">
        <f>IFERROR((E117-(Inputs!E192*365/Inputs!E114/Inputs!E171*10000))*1,"n/m")</f>
        <v>3.7707934814357174</v>
      </c>
      <c r="F119" s="57">
        <f>IFERROR((F117-(Inputs!F192*365/Inputs!F114/Inputs!F171*10000))*1,"n/m")</f>
        <v>0.7339098975570835</v>
      </c>
      <c r="G119" s="57">
        <f>IFERROR((G117-(Inputs!G192*365/Inputs!G114/Inputs!G171*10000))*1,"n/m")</f>
        <v>-1.500246543012949</v>
      </c>
      <c r="H119" s="59">
        <f>IFERROR((H117-C117)*1,"n/m")</f>
        <v>-2.7340814810438303</v>
      </c>
      <c r="I119" s="1"/>
    </row>
    <row r="120">
      <c r="A120" s="1"/>
      <c r="B120" s="31" t="s">
        <v>104</v>
      </c>
      <c r="C120" s="26">
        <v>106.903</v>
      </c>
      <c r="D120" s="26">
        <v>92.42</v>
      </c>
      <c r="E120" s="15">
        <f>Inputs!F193+Inputs!G193+C120+D120</f>
        <v>362.531</v>
      </c>
      <c r="F120" s="26">
        <v>150.938</v>
      </c>
      <c r="G120" s="26">
        <v>124.921</v>
      </c>
      <c r="H120" s="60">
        <v>120</v>
      </c>
      <c r="I120" s="8" t="s">
        <v>155</v>
      </c>
    </row>
    <row r="121">
      <c r="A121" s="1"/>
      <c r="B121" s="61" t="s">
        <v>82</v>
      </c>
      <c r="C121" s="55">
        <f>IF(Inputs!C193*C120&gt;0,C120/Inputs!C193-1,"n/m")</f>
        <v>1.3447753991928408</v>
      </c>
      <c r="D121" s="55">
        <f>IF(Inputs!D193*D120&gt;0,D120/Inputs!D193-1,"n/m")</f>
        <v>0.6004017455149964</v>
      </c>
      <c r="E121" s="55">
        <f>IF(Inputs!E193*E120&gt;0,E120/Inputs!E193-1,"n/m")</f>
        <v>1.0543608225807368</v>
      </c>
      <c r="F121" s="55">
        <f>IF(Inputs!F193*F120&gt;0,F120/Inputs!F193-1,"n/m")</f>
        <v>1.7838067133898927</v>
      </c>
      <c r="G121" s="55">
        <f>IF(Inputs!G193*G120&gt;0,G120/Inputs!G193-1,"n/m")</f>
        <v>0.14619040628326063</v>
      </c>
      <c r="H121" s="56">
        <f>IF(C120*H120&gt;0,H120/C120-1,"n/m")</f>
        <v>0.1225129322844074</v>
      </c>
      <c r="I121" s="1"/>
    </row>
    <row r="122">
      <c r="A122" s="1"/>
      <c r="B122" s="43" t="s">
        <v>118</v>
      </c>
      <c r="C122" s="15">
        <f>C120-Inputs!G193</f>
        <v>-2.0849999999999937</v>
      </c>
      <c r="D122" s="4">
        <f>D120-C120</f>
        <v>-14.483000000000004</v>
      </c>
      <c r="E122" s="4"/>
      <c r="F122" s="4">
        <f>F120-D120</f>
        <v>58.51799999999999</v>
      </c>
      <c r="G122" s="4">
        <f>G120-F120</f>
        <v>-26.01699999999998</v>
      </c>
      <c r="H122" s="33">
        <f>H120-G120</f>
        <v>-4.9210000000000065</v>
      </c>
      <c r="I122" s="1"/>
    </row>
    <row r="123">
      <c r="A123" s="1"/>
      <c r="B123" s="61" t="s">
        <v>85</v>
      </c>
      <c r="C123" s="58" t="s">
        <v>86</v>
      </c>
      <c r="D123" s="58" t="s">
        <v>86</v>
      </c>
      <c r="E123" s="58" t="s">
        <v>86</v>
      </c>
      <c r="F123" s="58" t="s">
        <v>86</v>
      </c>
      <c r="G123" s="58" t="s">
        <v>86</v>
      </c>
      <c r="H123" s="56" t="s">
        <v>86</v>
      </c>
      <c r="I123" s="8" t="s">
        <v>94</v>
      </c>
    </row>
    <row r="124">
      <c r="A124" s="1"/>
      <c r="B124" s="61" t="s">
        <v>88</v>
      </c>
      <c r="C124" s="58" t="s">
        <v>86</v>
      </c>
      <c r="D124" s="58" t="s">
        <v>86</v>
      </c>
      <c r="E124" s="58" t="s">
        <v>86</v>
      </c>
      <c r="F124" s="58" t="s">
        <v>86</v>
      </c>
      <c r="G124" s="58" t="s">
        <v>86</v>
      </c>
      <c r="H124" s="56" t="s">
        <v>86</v>
      </c>
      <c r="I124" s="8" t="s">
        <v>95</v>
      </c>
    </row>
    <row r="125">
      <c r="A125" s="1"/>
      <c r="B125" s="61" t="s">
        <v>89</v>
      </c>
      <c r="C125" s="58" t="s">
        <v>86</v>
      </c>
      <c r="D125" s="58" t="s">
        <v>86</v>
      </c>
      <c r="E125" s="58" t="s">
        <v>86</v>
      </c>
      <c r="F125" s="58" t="s">
        <v>86</v>
      </c>
      <c r="G125" s="58" t="s">
        <v>86</v>
      </c>
      <c r="H125" s="56" t="s">
        <v>86</v>
      </c>
      <c r="I125" s="8" t="s">
        <v>95</v>
      </c>
    </row>
    <row r="126">
      <c r="A126" s="1"/>
      <c r="B126" s="31" t="s">
        <v>105</v>
      </c>
      <c r="C126" s="26">
        <v>-17.915</v>
      </c>
      <c r="D126" s="26">
        <v>-12.358</v>
      </c>
      <c r="E126" s="15">
        <f>Inputs!F194+Inputs!G194+C126+D126</f>
        <v>-48.903000000000006</v>
      </c>
      <c r="F126" s="26">
        <v>-9.007</v>
      </c>
      <c r="G126" s="26">
        <v>-11.785</v>
      </c>
      <c r="H126" s="60">
        <v>-12</v>
      </c>
      <c r="I126" s="8" t="s">
        <v>155</v>
      </c>
    </row>
    <row r="127">
      <c r="A127" s="1"/>
      <c r="B127" s="61" t="s">
        <v>82</v>
      </c>
      <c r="C127" s="55">
        <f>IF(Inputs!C194*C126&gt;0,C126/Inputs!C194-1,"n/m")</f>
        <v>3.34092561182457</v>
      </c>
      <c r="D127" s="55">
        <f>IF(Inputs!D194*D126&gt;0,D126/Inputs!D194-1,"n/m")</f>
        <v>5.12388503468781</v>
      </c>
      <c r="E127" s="55">
        <f>IF(Inputs!E194*E126&gt;0,E126/Inputs!E194-1,"n/m")</f>
        <v>7.09116479152879</v>
      </c>
      <c r="F127" s="55">
        <f>IF(Inputs!F194*F126&gt;0,F126/Inputs!F194-1,"n/m")</f>
        <v>-0.17154157468727005</v>
      </c>
      <c r="G127" s="55">
        <f>IF(Inputs!G194*G126&gt;0,G126/Inputs!G194-1,"n/m")</f>
        <v>0.5190770817220933</v>
      </c>
      <c r="H127" s="56">
        <f>IF(C126*H126&gt;0,H126/C126-1,"n/m")</f>
        <v>-0.3301702483951995</v>
      </c>
      <c r="I127" s="1"/>
    </row>
    <row r="128">
      <c r="A128" s="1"/>
      <c r="B128" s="43" t="s">
        <v>118</v>
      </c>
      <c r="C128" s="15">
        <f>C126-Inputs!G194</f>
        <v>-10.157</v>
      </c>
      <c r="D128" s="4">
        <f>D126-C126</f>
        <v>5.556999999999999</v>
      </c>
      <c r="E128" s="4"/>
      <c r="F128" s="4">
        <f>F126-D126</f>
        <v>3.351000000000001</v>
      </c>
      <c r="G128" s="4">
        <f>G126-F126</f>
        <v>-2.7780000000000005</v>
      </c>
      <c r="H128" s="33">
        <f>H126-G126</f>
        <v>-0.21499999999999986</v>
      </c>
      <c r="I128" s="1"/>
    </row>
    <row r="129">
      <c r="A129" s="1"/>
      <c r="B129" s="61" t="s">
        <v>85</v>
      </c>
      <c r="C129" s="58" t="s">
        <v>86</v>
      </c>
      <c r="D129" s="58" t="s">
        <v>86</v>
      </c>
      <c r="E129" s="58" t="s">
        <v>86</v>
      </c>
      <c r="F129" s="58" t="s">
        <v>86</v>
      </c>
      <c r="G129" s="58" t="s">
        <v>86</v>
      </c>
      <c r="H129" s="56" t="s">
        <v>86</v>
      </c>
      <c r="I129" s="8" t="s">
        <v>94</v>
      </c>
    </row>
    <row r="130">
      <c r="A130" s="1"/>
      <c r="B130" s="61" t="s">
        <v>88</v>
      </c>
      <c r="C130" s="58" t="s">
        <v>86</v>
      </c>
      <c r="D130" s="58" t="s">
        <v>86</v>
      </c>
      <c r="E130" s="58" t="s">
        <v>86</v>
      </c>
      <c r="F130" s="58" t="s">
        <v>86</v>
      </c>
      <c r="G130" s="58" t="s">
        <v>86</v>
      </c>
      <c r="H130" s="56" t="s">
        <v>86</v>
      </c>
      <c r="I130" s="8" t="s">
        <v>95</v>
      </c>
    </row>
    <row r="131">
      <c r="A131" s="1"/>
      <c r="B131" s="61" t="s">
        <v>89</v>
      </c>
      <c r="C131" s="58" t="s">
        <v>86</v>
      </c>
      <c r="D131" s="58" t="s">
        <v>86</v>
      </c>
      <c r="E131" s="58" t="s">
        <v>86</v>
      </c>
      <c r="F131" s="58" t="s">
        <v>86</v>
      </c>
      <c r="G131" s="58" t="s">
        <v>86</v>
      </c>
      <c r="H131" s="56" t="s">
        <v>86</v>
      </c>
      <c r="I131" s="8" t="s">
        <v>95</v>
      </c>
    </row>
    <row r="132">
      <c r="A132" s="1"/>
      <c r="B132" s="54" t="s">
        <v>106</v>
      </c>
      <c r="C132" s="32">
        <f>C111+C120+C126</f>
        <v>717.3900000000001</v>
      </c>
      <c r="D132" s="32">
        <f>D111+D120+D126</f>
        <v>726.129</v>
      </c>
      <c r="E132" s="64">
        <f>Inputs!F195+Inputs!G195+C132+D132</f>
        <v>2771.6090000000004</v>
      </c>
      <c r="F132" s="32">
        <f>F111+F120+F126</f>
        <v>801.922</v>
      </c>
      <c r="G132" s="32">
        <f>G111+G120+G126</f>
        <v>794.58</v>
      </c>
      <c r="H132" s="44">
        <f>H111+H120+H126</f>
        <v>818.5416470794521</v>
      </c>
      <c r="I132" s="1"/>
    </row>
    <row r="133">
      <c r="A133" s="1"/>
      <c r="B133" s="61" t="s">
        <v>82</v>
      </c>
      <c r="C133" s="55">
        <f>IF(Inputs!C195*C132&gt;0,C132/Inputs!C195-1,"n/m")</f>
        <v>0.29769183459353865</v>
      </c>
      <c r="D133" s="55">
        <f>IF(Inputs!D195*D132&gt;0,D132/Inputs!D195-1,"n/m")</f>
        <v>0.1536807954216859</v>
      </c>
      <c r="E133" s="55">
        <f>IF(Inputs!E195*E132&gt;0,E132/Inputs!E195-1,"n/m")</f>
        <v>0.26080799534181276</v>
      </c>
      <c r="F133" s="55">
        <f>IF(Inputs!F195*F132&gt;0,F132/Inputs!F195-1,"n/m")</f>
        <v>0.28969494621995784</v>
      </c>
      <c r="G133" s="55">
        <f>IF(Inputs!G195*G132&gt;0,G132/Inputs!G195-1,"n/m")</f>
        <v>0.12499256687687077</v>
      </c>
      <c r="H133" s="56">
        <f>IF(C132*H132&gt;0,H132/C132-1,"n/m")</f>
        <v>0.14099952198866994</v>
      </c>
      <c r="I133" s="1"/>
    </row>
    <row r="134">
      <c r="A134" s="1"/>
      <c r="B134" s="43" t="s">
        <v>118</v>
      </c>
      <c r="C134" s="15">
        <f>C132-Inputs!G195</f>
        <v>11.092000000000098</v>
      </c>
      <c r="D134" s="4">
        <f>D132-C132</f>
        <v>8.738999999999919</v>
      </c>
      <c r="E134" s="4"/>
      <c r="F134" s="4">
        <f>F132-D132</f>
        <v>75.793</v>
      </c>
      <c r="G134" s="4">
        <f>G132-F132</f>
        <v>-7.3419999999999845</v>
      </c>
      <c r="H134" s="33">
        <f>H132-G132</f>
        <v>23.961647079452064</v>
      </c>
      <c r="I134" s="1"/>
    </row>
    <row r="135">
      <c r="A135" s="1"/>
      <c r="B135" s="61" t="s">
        <v>85</v>
      </c>
      <c r="C135" s="58" t="s">
        <v>86</v>
      </c>
      <c r="D135" s="58" t="s">
        <v>86</v>
      </c>
      <c r="E135" s="58" t="s">
        <v>86</v>
      </c>
      <c r="F135" s="58" t="s">
        <v>86</v>
      </c>
      <c r="G135" s="58" t="s">
        <v>86</v>
      </c>
      <c r="H135" s="56" t="s">
        <v>86</v>
      </c>
      <c r="I135" s="8" t="s">
        <v>94</v>
      </c>
    </row>
    <row r="136">
      <c r="A136" s="1"/>
      <c r="B136" s="61" t="s">
        <v>88</v>
      </c>
      <c r="C136" s="58" t="s">
        <v>86</v>
      </c>
      <c r="D136" s="58" t="s">
        <v>86</v>
      </c>
      <c r="E136" s="58" t="s">
        <v>86</v>
      </c>
      <c r="F136" s="58" t="s">
        <v>86</v>
      </c>
      <c r="G136" s="58" t="s">
        <v>86</v>
      </c>
      <c r="H136" s="56" t="s">
        <v>86</v>
      </c>
      <c r="I136" s="8" t="s">
        <v>95</v>
      </c>
    </row>
    <row r="137">
      <c r="A137" s="1"/>
      <c r="B137" s="61" t="s">
        <v>89</v>
      </c>
      <c r="C137" s="58" t="s">
        <v>86</v>
      </c>
      <c r="D137" s="58" t="s">
        <v>86</v>
      </c>
      <c r="E137" s="58" t="s">
        <v>86</v>
      </c>
      <c r="F137" s="58" t="s">
        <v>86</v>
      </c>
      <c r="G137" s="58" t="s">
        <v>86</v>
      </c>
      <c r="H137" s="56" t="s">
        <v>86</v>
      </c>
      <c r="I137" s="8" t="s">
        <v>95</v>
      </c>
    </row>
    <row r="138">
      <c r="A138" s="1"/>
      <c r="B138" s="86" t="s">
        <v>267</v>
      </c>
      <c r="C138" s="4"/>
      <c r="D138" s="4"/>
      <c r="E138" s="4"/>
      <c r="F138" s="4"/>
      <c r="G138" s="4"/>
      <c r="H138" s="33"/>
      <c r="I138" s="1"/>
    </row>
    <row r="139">
      <c r="A139" s="1"/>
      <c r="B139" s="43" t="s">
        <v>268</v>
      </c>
      <c r="C139" s="4"/>
      <c r="D139" s="4"/>
      <c r="E139" s="4"/>
      <c r="F139" s="26">
        <v>110.235</v>
      </c>
      <c r="G139" s="26">
        <v>180.948</v>
      </c>
      <c r="H139" s="33"/>
      <c r="I139" s="8" t="s">
        <v>269</v>
      </c>
    </row>
    <row r="140">
      <c r="A140" s="1"/>
      <c r="B140" s="66" t="s">
        <v>270</v>
      </c>
      <c r="C140" s="4"/>
      <c r="D140" s="4"/>
      <c r="E140" s="4"/>
      <c r="F140" s="4"/>
      <c r="G140" s="4"/>
      <c r="H140" s="60">
        <v>25300</v>
      </c>
      <c r="I140" s="1"/>
    </row>
    <row r="141">
      <c r="A141" s="1"/>
      <c r="B141" s="66" t="s">
        <v>271</v>
      </c>
      <c r="C141" s="18"/>
      <c r="D141" s="18"/>
      <c r="E141" s="18"/>
      <c r="F141" s="18"/>
      <c r="G141" s="18"/>
      <c r="H141" s="83">
        <v>39.01</v>
      </c>
      <c r="I141" s="1"/>
    </row>
    <row r="142">
      <c r="A142" s="1"/>
      <c r="B142" s="66" t="s">
        <v>272</v>
      </c>
      <c r="C142" s="18"/>
      <c r="D142" s="18"/>
      <c r="E142" s="18"/>
      <c r="F142" s="18"/>
      <c r="G142" s="18"/>
      <c r="H142" s="83">
        <v>39.72</v>
      </c>
      <c r="I142" s="1"/>
    </row>
    <row r="143">
      <c r="A143" s="1"/>
      <c r="B143" s="65" t="s">
        <v>273</v>
      </c>
      <c r="C143" s="58"/>
      <c r="D143" s="58"/>
      <c r="E143" s="58"/>
      <c r="F143" s="58"/>
      <c r="G143" s="58"/>
      <c r="H143" s="56">
        <f>H142/H141-1</f>
        <v>0.01820046142014875</v>
      </c>
      <c r="I143" s="1"/>
    </row>
    <row r="144">
      <c r="A144" s="1"/>
      <c r="B144" s="65" t="s">
        <v>274</v>
      </c>
      <c r="C144" s="58"/>
      <c r="D144" s="58"/>
      <c r="E144" s="58"/>
      <c r="F144" s="58"/>
      <c r="G144" s="58"/>
      <c r="H144" s="71">
        <v>0.005</v>
      </c>
      <c r="I144" s="8" t="s">
        <v>275</v>
      </c>
    </row>
    <row r="145">
      <c r="A145" s="1"/>
      <c r="B145" s="65" t="s">
        <v>276</v>
      </c>
      <c r="C145" s="58"/>
      <c r="D145" s="58"/>
      <c r="E145" s="58"/>
      <c r="F145" s="58"/>
      <c r="G145" s="58"/>
      <c r="H145" s="56">
        <f>(1+H143)*(1+H144)-1</f>
        <v>0.02329146372724944</v>
      </c>
      <c r="I145" s="1"/>
    </row>
    <row r="146">
      <c r="A146" s="1"/>
      <c r="B146" s="65" t="s">
        <v>277</v>
      </c>
      <c r="C146" s="58"/>
      <c r="D146" s="58"/>
      <c r="E146" s="58"/>
      <c r="F146" s="58"/>
      <c r="G146" s="58"/>
      <c r="H146" s="71">
        <v>0.125</v>
      </c>
      <c r="I146" s="8" t="s">
        <v>278</v>
      </c>
    </row>
    <row r="147">
      <c r="A147" s="1"/>
      <c r="B147" s="43" t="s">
        <v>279</v>
      </c>
      <c r="C147" s="4"/>
      <c r="D147" s="4"/>
      <c r="E147" s="4"/>
      <c r="F147" s="4"/>
      <c r="G147" s="4"/>
      <c r="H147" s="33">
        <f>H146/(1-H146)*H145*H140</f>
        <v>84.18200461420155</v>
      </c>
      <c r="I147" s="8" t="s">
        <v>280</v>
      </c>
    </row>
    <row r="148">
      <c r="A148" s="1"/>
      <c r="B148" s="43" t="s">
        <v>281</v>
      </c>
      <c r="C148" s="4"/>
      <c r="D148" s="4"/>
      <c r="E148" s="4"/>
      <c r="F148" s="4"/>
      <c r="G148" s="4"/>
      <c r="H148" s="60">
        <v>50</v>
      </c>
      <c r="I148" s="8" t="s">
        <v>282</v>
      </c>
    </row>
    <row r="149">
      <c r="A149" s="1"/>
      <c r="B149" s="31" t="s">
        <v>107</v>
      </c>
      <c r="C149" s="26">
        <v>126.652</v>
      </c>
      <c r="D149" s="26">
        <v>168.098</v>
      </c>
      <c r="E149" s="15">
        <f>Inputs!F196+Inputs!G196+C149+D149</f>
        <v>547.985</v>
      </c>
      <c r="F149" s="26">
        <v>170.697</v>
      </c>
      <c r="G149" s="26">
        <v>391.387</v>
      </c>
      <c r="H149" s="33">
        <f>H147+H148</f>
        <v>134.18200461420156</v>
      </c>
      <c r="I149" s="8" t="s">
        <v>209</v>
      </c>
    </row>
    <row r="150">
      <c r="A150" s="1"/>
      <c r="B150" s="61" t="s">
        <v>82</v>
      </c>
      <c r="C150" s="55" t="str">
        <f>IF(Inputs!C196*C149&gt;0,IF(ABS(Inputs!C196)&lt;0.05*ABS(C149),"n/m",C149/Inputs!C196-1),"n/m")</f>
        <v>n/m</v>
      </c>
      <c r="D150" s="55">
        <f>IF(Inputs!D196*D149&gt;0,D149/Inputs!D196-1,"n/m")</f>
        <v>-0.8564316564704315</v>
      </c>
      <c r="E150" s="55">
        <f>IF(Inputs!E196*E149&gt;0,E149/Inputs!E196-1,"n/m")</f>
        <v>-0.5377323633320623</v>
      </c>
      <c r="F150" s="55">
        <f>IF(Inputs!F196*F149&gt;0,F149/Inputs!F196-1,"n/m")</f>
        <v>1.8027223170891893</v>
      </c>
      <c r="G150" s="55">
        <f>IF(Inputs!G196*G149&gt;0,G149/Inputs!G196-1,"n/m")</f>
        <v>1.0349657621496275</v>
      </c>
      <c r="H150" s="56">
        <f>IF(C149*H149&gt;0,H149/C149-1,"n/m")</f>
        <v>0.05945428902979466</v>
      </c>
      <c r="I150" s="102" t="s">
        <v>210</v>
      </c>
    </row>
    <row r="151">
      <c r="A151" s="1"/>
      <c r="B151" s="43" t="s">
        <v>118</v>
      </c>
      <c r="C151" s="15">
        <f>C149-Inputs!G196</f>
        <v>-65.67899999999999</v>
      </c>
      <c r="D151" s="4">
        <f>D149-C149</f>
        <v>41.44600000000001</v>
      </c>
      <c r="E151" s="4"/>
      <c r="F151" s="4">
        <f>F149-D149</f>
        <v>2.5989999999999895</v>
      </c>
      <c r="G151" s="4">
        <f>G149-F149</f>
        <v>220.69</v>
      </c>
      <c r="H151" s="33">
        <f>H149-G149</f>
        <v>-257.20499538579844</v>
      </c>
      <c r="I151" s="1"/>
    </row>
    <row r="152">
      <c r="A152" s="1"/>
      <c r="B152" s="61" t="s">
        <v>85</v>
      </c>
      <c r="C152" s="58" t="s">
        <v>86</v>
      </c>
      <c r="D152" s="58" t="s">
        <v>86</v>
      </c>
      <c r="E152" s="58" t="s">
        <v>86</v>
      </c>
      <c r="F152" s="58" t="s">
        <v>86</v>
      </c>
      <c r="G152" s="58" t="s">
        <v>86</v>
      </c>
      <c r="H152" s="56" t="s">
        <v>86</v>
      </c>
      <c r="I152" s="8" t="s">
        <v>94</v>
      </c>
    </row>
    <row r="153">
      <c r="A153" s="1"/>
      <c r="B153" s="61" t="s">
        <v>88</v>
      </c>
      <c r="C153" s="58" t="s">
        <v>86</v>
      </c>
      <c r="D153" s="58" t="s">
        <v>86</v>
      </c>
      <c r="E153" s="58" t="s">
        <v>86</v>
      </c>
      <c r="F153" s="58" t="s">
        <v>86</v>
      </c>
      <c r="G153" s="58" t="s">
        <v>86</v>
      </c>
      <c r="H153" s="56" t="s">
        <v>86</v>
      </c>
      <c r="I153" s="8" t="s">
        <v>95</v>
      </c>
    </row>
    <row r="154">
      <c r="A154" s="1"/>
      <c r="B154" s="61" t="s">
        <v>89</v>
      </c>
      <c r="C154" s="58" t="s">
        <v>86</v>
      </c>
      <c r="D154" s="58" t="s">
        <v>86</v>
      </c>
      <c r="E154" s="58" t="s">
        <v>86</v>
      </c>
      <c r="F154" s="58" t="s">
        <v>86</v>
      </c>
      <c r="G154" s="58" t="s">
        <v>86</v>
      </c>
      <c r="H154" s="56" t="s">
        <v>86</v>
      </c>
      <c r="I154" s="8" t="s">
        <v>95</v>
      </c>
    </row>
    <row r="155">
      <c r="A155" s="1"/>
      <c r="B155" s="54" t="s">
        <v>108</v>
      </c>
      <c r="C155" s="32">
        <f>C132+C149</f>
        <v>844.0420000000001</v>
      </c>
      <c r="D155" s="32">
        <f>D132+D149</f>
        <v>894.2270000000001</v>
      </c>
      <c r="E155" s="32">
        <f>E132+E149</f>
        <v>3319.5940000000005</v>
      </c>
      <c r="F155" s="32">
        <f>F132+F149</f>
        <v>972.619</v>
      </c>
      <c r="G155" s="32">
        <f>G132+G149</f>
        <v>1185.967</v>
      </c>
      <c r="H155" s="44">
        <f>H132+H149</f>
        <v>952.7236516936537</v>
      </c>
      <c r="I155" s="1"/>
    </row>
    <row r="156">
      <c r="A156" s="1"/>
      <c r="B156" s="61" t="s">
        <v>82</v>
      </c>
      <c r="C156" s="55">
        <f>IF(Inputs!C206*C155&gt;0,C155/Inputs!C206-1,"n/m")</f>
        <v>0.5107573457815453</v>
      </c>
      <c r="D156" s="55">
        <f>IF(Inputs!D206*D155&gt;0,D155/Inputs!D206-1,"n/m")</f>
        <v>-0.5032786948989005</v>
      </c>
      <c r="E156" s="55">
        <f>IF(Inputs!E206*E155&gt;0,E155/Inputs!E206-1,"n/m")</f>
        <v>-0.01894785247426789</v>
      </c>
      <c r="F156" s="55">
        <f>IF(Inputs!F206*F155&gt;0,F155/Inputs!F206-1,"n/m")</f>
        <v>0.4246736468354875</v>
      </c>
      <c r="G156" s="55">
        <f>IF(Inputs!G206*G155&gt;0,G155/Inputs!G206-1,"n/m")</f>
        <v>0.3197515326124576</v>
      </c>
      <c r="H156" s="56">
        <f>IF(C155*H155&gt;0,H155/C155-1,"n/m")</f>
        <v>0.1287633218413935</v>
      </c>
      <c r="I156" s="1"/>
    </row>
    <row r="157">
      <c r="A157" s="1"/>
      <c r="B157" s="43" t="s">
        <v>118</v>
      </c>
      <c r="C157" s="15">
        <f>C155-Inputs!G206</f>
        <v>-54.586999999999875</v>
      </c>
      <c r="D157" s="4">
        <f>D155-C155</f>
        <v>50.184999999999945</v>
      </c>
      <c r="E157" s="4"/>
      <c r="F157" s="4">
        <f>F155-D155</f>
        <v>78.39199999999994</v>
      </c>
      <c r="G157" s="4">
        <f>G155-F155</f>
        <v>213.34800000000007</v>
      </c>
      <c r="H157" s="33">
        <f>H155-G155</f>
        <v>-233.24334830634643</v>
      </c>
      <c r="I157" s="1"/>
    </row>
    <row r="158">
      <c r="A158" s="1"/>
      <c r="B158" s="61" t="s">
        <v>85</v>
      </c>
      <c r="C158" s="58" t="s">
        <v>86</v>
      </c>
      <c r="D158" s="58" t="s">
        <v>86</v>
      </c>
      <c r="E158" s="58" t="s">
        <v>86</v>
      </c>
      <c r="F158" s="58" t="s">
        <v>86</v>
      </c>
      <c r="G158" s="58" t="s">
        <v>86</v>
      </c>
      <c r="H158" s="56" t="s">
        <v>86</v>
      </c>
      <c r="I158" s="8" t="s">
        <v>94</v>
      </c>
    </row>
    <row r="159">
      <c r="A159" s="1"/>
      <c r="B159" s="61" t="s">
        <v>88</v>
      </c>
      <c r="C159" s="58" t="s">
        <v>86</v>
      </c>
      <c r="D159" s="58" t="s">
        <v>86</v>
      </c>
      <c r="E159" s="58" t="s">
        <v>86</v>
      </c>
      <c r="F159" s="58" t="s">
        <v>86</v>
      </c>
      <c r="G159" s="58" t="s">
        <v>86</v>
      </c>
      <c r="H159" s="56" t="s">
        <v>86</v>
      </c>
      <c r="I159" s="8" t="s">
        <v>95</v>
      </c>
    </row>
    <row r="160">
      <c r="A160" s="1"/>
      <c r="B160" s="61" t="s">
        <v>89</v>
      </c>
      <c r="C160" s="58" t="s">
        <v>86</v>
      </c>
      <c r="D160" s="58" t="s">
        <v>86</v>
      </c>
      <c r="E160" s="58" t="s">
        <v>86</v>
      </c>
      <c r="F160" s="58" t="s">
        <v>86</v>
      </c>
      <c r="G160" s="58" t="s">
        <v>86</v>
      </c>
      <c r="H160" s="56" t="s">
        <v>86</v>
      </c>
      <c r="I160" s="8" t="s">
        <v>95</v>
      </c>
    </row>
    <row r="161">
      <c r="A161" s="1"/>
      <c r="B161" s="31" t="s">
        <v>109</v>
      </c>
      <c r="C161" s="26">
        <v>559.383</v>
      </c>
      <c r="D161" s="26">
        <v>351.672</v>
      </c>
      <c r="E161" s="15">
        <f>Inputs!F197+Inputs!G197+C161+D161</f>
        <v>1670.1080000000002</v>
      </c>
      <c r="F161" s="26">
        <v>637.989</v>
      </c>
      <c r="G161" s="26">
        <v>490.807</v>
      </c>
      <c r="H161" s="36">
        <f>'Revenue summary'!H117*H167</f>
        <v>272.7881389715732</v>
      </c>
      <c r="I161" s="8" t="s">
        <v>211</v>
      </c>
    </row>
    <row r="162">
      <c r="A162" s="1"/>
      <c r="B162" s="61" t="s">
        <v>82</v>
      </c>
      <c r="C162" s="55">
        <f>IF(Inputs!C197*C161&gt;0,C161/Inputs!C197-1,"n/m")</f>
        <v>1.5820497315860655</v>
      </c>
      <c r="D162" s="55">
        <f>IF(Inputs!D197*D161&gt;0,D161/Inputs!D197-1,"n/m")</f>
        <v>0.02190722772881437</v>
      </c>
      <c r="E162" s="55">
        <f>IF(Inputs!E197*E161&gt;0,E161/Inputs!E197-1,"n/m")</f>
        <v>0.1994050760998447</v>
      </c>
      <c r="F162" s="55">
        <f>IF(Inputs!F197*F161&gt;0,F161/Inputs!F197-1,"n/m")</f>
        <v>0.8224456042025523</v>
      </c>
      <c r="G162" s="55">
        <f>IF(Inputs!G197*G161&gt;0,G161/Inputs!G197-1,"n/m")</f>
        <v>0.20007579832754652</v>
      </c>
      <c r="H162" s="56">
        <f>IF(C161*H161&gt;0,H161/C161-1,"n/m")</f>
        <v>-0.5123410275757877</v>
      </c>
      <c r="I162" s="1"/>
    </row>
    <row r="163">
      <c r="A163" s="1"/>
      <c r="B163" s="43" t="s">
        <v>118</v>
      </c>
      <c r="C163" s="15">
        <f>C161-Inputs!G197</f>
        <v>150.40300000000002</v>
      </c>
      <c r="D163" s="4">
        <f>D161-C161</f>
        <v>-207.711</v>
      </c>
      <c r="E163" s="4"/>
      <c r="F163" s="4">
        <f>F161-D161</f>
        <v>286.317</v>
      </c>
      <c r="G163" s="4">
        <f>G161-F161</f>
        <v>-147.18200000000002</v>
      </c>
      <c r="H163" s="33">
        <f>H161-G161</f>
        <v>-218.01886102842684</v>
      </c>
      <c r="I163" s="1"/>
    </row>
    <row r="164">
      <c r="A164" s="1"/>
      <c r="B164" s="61" t="s">
        <v>85</v>
      </c>
      <c r="C164" s="58" t="s">
        <v>86</v>
      </c>
      <c r="D164" s="58" t="s">
        <v>86</v>
      </c>
      <c r="E164" s="58" t="s">
        <v>86</v>
      </c>
      <c r="F164" s="58" t="s">
        <v>86</v>
      </c>
      <c r="G164" s="58" t="s">
        <v>86</v>
      </c>
      <c r="H164" s="56" t="s">
        <v>86</v>
      </c>
      <c r="I164" s="8" t="s">
        <v>94</v>
      </c>
    </row>
    <row r="165">
      <c r="A165" s="1"/>
      <c r="B165" s="61" t="s">
        <v>88</v>
      </c>
      <c r="C165" s="58" t="s">
        <v>86</v>
      </c>
      <c r="D165" s="58" t="s">
        <v>86</v>
      </c>
      <c r="E165" s="58" t="s">
        <v>86</v>
      </c>
      <c r="F165" s="58" t="s">
        <v>86</v>
      </c>
      <c r="G165" s="58" t="s">
        <v>86</v>
      </c>
      <c r="H165" s="56" t="s">
        <v>86</v>
      </c>
      <c r="I165" s="8" t="s">
        <v>95</v>
      </c>
    </row>
    <row r="166">
      <c r="A166" s="1"/>
      <c r="B166" s="61" t="s">
        <v>89</v>
      </c>
      <c r="C166" s="58" t="s">
        <v>86</v>
      </c>
      <c r="D166" s="58" t="s">
        <v>86</v>
      </c>
      <c r="E166" s="58" t="s">
        <v>86</v>
      </c>
      <c r="F166" s="58" t="s">
        <v>86</v>
      </c>
      <c r="G166" s="58" t="s">
        <v>86</v>
      </c>
      <c r="H166" s="56" t="s">
        <v>86</v>
      </c>
      <c r="I166" s="8" t="s">
        <v>95</v>
      </c>
    </row>
    <row r="167">
      <c r="A167" s="1"/>
      <c r="B167" s="61" t="s">
        <v>212</v>
      </c>
      <c r="C167" s="55">
        <f>C161/'Revenue summary'!C92</f>
        <v>0.7508970364573335</v>
      </c>
      <c r="D167" s="55">
        <f>D161/'Revenue summary'!D92</f>
        <v>0.33257173983764443</v>
      </c>
      <c r="E167" s="55">
        <f>E161/'Revenue summary'!E92</f>
        <v>0.5931773389654306</v>
      </c>
      <c r="F167" s="55">
        <f>F161/'Revenue summary'!F92</f>
        <v>0.8174169180032135</v>
      </c>
      <c r="G167" s="55">
        <f>G161/'Revenue summary'!G92</f>
        <v>0.6715242480007116</v>
      </c>
      <c r="H167" s="71">
        <v>0.65</v>
      </c>
      <c r="I167" s="1"/>
    </row>
    <row r="168">
      <c r="A168" s="1"/>
      <c r="B168" s="66" t="s">
        <v>121</v>
      </c>
      <c r="C168" s="57">
        <f>IFERROR((C167-(Inputs!G197/Inputs!G115))*10000,"n/m")</f>
        <v>114.92819296892942</v>
      </c>
      <c r="D168" s="62">
        <f>IFERROR((D167-C167)*10000,"n/m")</f>
        <v>-4183.252966196891</v>
      </c>
      <c r="E168" s="62"/>
      <c r="F168" s="62">
        <f>IFERROR((F167-D167)*10000,"n/m")</f>
        <v>4848.451781655691</v>
      </c>
      <c r="G168" s="62">
        <f>IFERROR((G167-F167)*10000,"n/m")</f>
        <v>-1458.9267000250184</v>
      </c>
      <c r="H168" s="59">
        <f>IFERROR((H167-G167)*10000,"n/m")</f>
        <v>-215.2424800071162</v>
      </c>
      <c r="I168" s="1"/>
    </row>
    <row r="169">
      <c r="A169" s="1"/>
      <c r="B169" s="66" t="s">
        <v>122</v>
      </c>
      <c r="C169" s="57">
        <f>IFERROR((C167-(Inputs!C197/Inputs!C115))*10000,"n/m")</f>
        <v>1186.7468777682843</v>
      </c>
      <c r="D169" s="57">
        <f>IFERROR((D167-(Inputs!D197/Inputs!D115))*10000,"n/m")</f>
        <v>-652.3308746156487</v>
      </c>
      <c r="E169" s="57">
        <f>IFERROR((E167-(Inputs!E197/Inputs!E115))*10000,"n/m")</f>
        <v>-156.67490859788248</v>
      </c>
      <c r="F169" s="57">
        <f>IFERROR((F167-(Inputs!F197/Inputs!F115))*10000,"n/m")</f>
        <v>564.2670664421634</v>
      </c>
      <c r="G169" s="57">
        <f>IFERROR((G167-(Inputs!G197/Inputs!G115))*10000,"n/m")</f>
        <v>-678.7996915972893</v>
      </c>
      <c r="H169" s="59">
        <f>IFERROR((H167-C167)*10000,"n/m")</f>
        <v>-1008.970364573335</v>
      </c>
      <c r="I169" s="1"/>
    </row>
    <row r="170">
      <c r="A170" s="1"/>
      <c r="B170" s="31" t="s">
        <v>110</v>
      </c>
      <c r="C170" s="26">
        <v>26.686</v>
      </c>
      <c r="D170" s="26">
        <v>10.774</v>
      </c>
      <c r="E170" s="15">
        <f>Inputs!F198+Inputs!G198+C170+D170</f>
        <v>66.495</v>
      </c>
      <c r="F170" s="26">
        <v>45.348</v>
      </c>
      <c r="G170" s="26">
        <v>24.952</v>
      </c>
      <c r="H170" s="36">
        <f>'Revenue summary'!H118*H176</f>
        <v>28.614140451563618</v>
      </c>
      <c r="I170" s="8" t="s">
        <v>213</v>
      </c>
    </row>
    <row r="171">
      <c r="A171" s="1"/>
      <c r="B171" s="61" t="s">
        <v>82</v>
      </c>
      <c r="C171" s="55">
        <f>IF(Inputs!C198*C170&gt;0,C170/Inputs!C198-1,"n/m")</f>
        <v>1.955914931324767</v>
      </c>
      <c r="D171" s="55">
        <f>IF(Inputs!D198*D170&gt;0,D170/Inputs!D198-1,"n/m")</f>
        <v>-0.28996968498747866</v>
      </c>
      <c r="E171" s="55">
        <f>IF(Inputs!E198*E170&gt;0,E170/Inputs!E198-1,"n/m")</f>
        <v>0.2700550080220032</v>
      </c>
      <c r="F171" s="55">
        <f>IF(Inputs!F198*F170&gt;0,F170/Inputs!F198-1,"n/m")</f>
        <v>3.942022667829119</v>
      </c>
      <c r="G171" s="55">
        <f>IF(Inputs!G198*G170&gt;0,G170/Inputs!G198-1,"n/m")</f>
        <v>0.25645802910519166</v>
      </c>
      <c r="H171" s="56">
        <f>IF(C170*H170&gt;0,H170/C170-1,"n/m")</f>
        <v>0.07225288359303073</v>
      </c>
      <c r="I171" s="1"/>
    </row>
    <row r="172">
      <c r="A172" s="1"/>
      <c r="B172" s="43" t="s">
        <v>118</v>
      </c>
      <c r="C172" s="15">
        <f>C170-Inputs!G198</f>
        <v>6.826999999999998</v>
      </c>
      <c r="D172" s="4">
        <f>D170-C170</f>
        <v>-15.912</v>
      </c>
      <c r="E172" s="4"/>
      <c r="F172" s="4">
        <f>F170-D170</f>
        <v>34.574</v>
      </c>
      <c r="G172" s="4">
        <f>G170-F170</f>
        <v>-20.395999999999997</v>
      </c>
      <c r="H172" s="33">
        <f>H170-G170</f>
        <v>3.662140451563616</v>
      </c>
      <c r="I172" s="1"/>
    </row>
    <row r="173">
      <c r="A173" s="1"/>
      <c r="B173" s="61" t="s">
        <v>85</v>
      </c>
      <c r="C173" s="58" t="s">
        <v>86</v>
      </c>
      <c r="D173" s="58" t="s">
        <v>86</v>
      </c>
      <c r="E173" s="58" t="s">
        <v>86</v>
      </c>
      <c r="F173" s="58" t="s">
        <v>86</v>
      </c>
      <c r="G173" s="58" t="s">
        <v>86</v>
      </c>
      <c r="H173" s="56" t="s">
        <v>86</v>
      </c>
      <c r="I173" s="8" t="s">
        <v>94</v>
      </c>
    </row>
    <row r="174">
      <c r="A174" s="1"/>
      <c r="B174" s="61" t="s">
        <v>88</v>
      </c>
      <c r="C174" s="58" t="s">
        <v>86</v>
      </c>
      <c r="D174" s="58" t="s">
        <v>86</v>
      </c>
      <c r="E174" s="58" t="s">
        <v>86</v>
      </c>
      <c r="F174" s="58" t="s">
        <v>86</v>
      </c>
      <c r="G174" s="58" t="s">
        <v>86</v>
      </c>
      <c r="H174" s="56" t="s">
        <v>86</v>
      </c>
      <c r="I174" s="8" t="s">
        <v>95</v>
      </c>
    </row>
    <row r="175">
      <c r="A175" s="1"/>
      <c r="B175" s="61" t="s">
        <v>89</v>
      </c>
      <c r="C175" s="58" t="s">
        <v>86</v>
      </c>
      <c r="D175" s="58" t="s">
        <v>86</v>
      </c>
      <c r="E175" s="58" t="s">
        <v>86</v>
      </c>
      <c r="F175" s="58" t="s">
        <v>86</v>
      </c>
      <c r="G175" s="58" t="s">
        <v>86</v>
      </c>
      <c r="H175" s="56" t="s">
        <v>86</v>
      </c>
      <c r="I175" s="8" t="s">
        <v>95</v>
      </c>
    </row>
    <row r="176">
      <c r="A176" s="1"/>
      <c r="B176" s="61" t="s">
        <v>214</v>
      </c>
      <c r="C176" s="55">
        <f>C170/'Revenue summary'!C99</f>
        <v>0.4267370272647317</v>
      </c>
      <c r="D176" s="55">
        <f>D170/'Revenue summary'!D99</f>
        <v>0.051334829447724134</v>
      </c>
      <c r="E176" s="55">
        <f>E170/'Revenue summary'!E99</f>
        <v>0.15841836552366567</v>
      </c>
      <c r="F176" s="55">
        <f>F170/'Revenue summary'!F99</f>
        <v>1.4183217089419196</v>
      </c>
      <c r="G176" s="55">
        <f>G170/'Revenue summary'!G99</f>
        <v>0.9073784501254591</v>
      </c>
      <c r="H176" s="71">
        <v>0.5</v>
      </c>
      <c r="I176" s="1"/>
    </row>
    <row r="177">
      <c r="A177" s="1"/>
      <c r="B177" s="66" t="s">
        <v>121</v>
      </c>
      <c r="C177" s="57">
        <f>IFERROR((C176-(Inputs!G198/Inputs!G116))*10000,"n/m")</f>
        <v>-2482.5702460298194</v>
      </c>
      <c r="D177" s="62">
        <f>IFERROR((D176-C176)*10000,"n/m")</f>
        <v>-3754.0219781700757</v>
      </c>
      <c r="E177" s="62"/>
      <c r="F177" s="62">
        <f>IFERROR((F176-D176)*10000,"n/m")</f>
        <v>13669.868794941955</v>
      </c>
      <c r="G177" s="62">
        <f>IFERROR((G176-F176)*10000,"n/m")</f>
        <v>-5109.432588164604</v>
      </c>
      <c r="H177" s="59">
        <f>IFERROR((H176-G176)*10000,"n/m")</f>
        <v>-4073.7845012545913</v>
      </c>
      <c r="I177" s="1"/>
    </row>
    <row r="178">
      <c r="A178" s="1"/>
      <c r="B178" s="66" t="s">
        <v>122</v>
      </c>
      <c r="C178" s="57">
        <f>IFERROR((C176-(Inputs!C198/Inputs!C116))*10000,"n/m")</f>
        <v>2032.882734593212</v>
      </c>
      <c r="D178" s="57">
        <f>IFERROR((D176-(Inputs!D198/Inputs!D116))*10000,"n/m")</f>
        <v>-5410.987004003999</v>
      </c>
      <c r="E178" s="57">
        <f>IFERROR((E176-(Inputs!E198/Inputs!E116))*10000,"n/m")</f>
        <v>-4074.33395062548</v>
      </c>
      <c r="F178" s="57">
        <f>IFERROR((F176-(Inputs!F198/Inputs!F116))*10000,"n/m")</f>
        <v>13404.996412631815</v>
      </c>
      <c r="G178" s="57">
        <f>IFERROR((G176-(Inputs!G198/Inputs!G116))*10000,"n/m")</f>
        <v>2323.843982577455</v>
      </c>
      <c r="H178" s="59">
        <f>IFERROR((H176-C176)*10000,"n/m")</f>
        <v>732.6297273526827</v>
      </c>
      <c r="I178" s="1"/>
    </row>
    <row r="179">
      <c r="A179" s="1"/>
      <c r="B179" s="54" t="s">
        <v>215</v>
      </c>
      <c r="C179" s="32">
        <f>C155+C161+C170</f>
        <v>1430.111</v>
      </c>
      <c r="D179" s="32">
        <f>D155+D161+D170</f>
        <v>1256.673</v>
      </c>
      <c r="E179" s="64">
        <f>Inputs!F199+Inputs!G199+C179+D179</f>
        <v>5056.197</v>
      </c>
      <c r="F179" s="32">
        <f>F155+F161+F170</f>
        <v>1655.9560000000001</v>
      </c>
      <c r="G179" s="32">
        <f>G155+G161+G170</f>
        <v>1701.726</v>
      </c>
      <c r="H179" s="44">
        <f>H155+H161+H170</f>
        <v>1254.1259311167903</v>
      </c>
      <c r="I179" s="1"/>
    </row>
    <row r="180">
      <c r="A180" s="1"/>
      <c r="B180" s="61" t="s">
        <v>82</v>
      </c>
      <c r="C180" s="55">
        <f>IF(Inputs!C199*C179&gt;0,C179/Inputs!C199-1,"n/m")</f>
        <v>0.8232862757997295</v>
      </c>
      <c r="D180" s="55">
        <f>IF(Inputs!D199*D179&gt;0,D179/Inputs!D199-1,"n/m")</f>
        <v>-0.41809002364363945</v>
      </c>
      <c r="E180" s="55">
        <f>IF(Inputs!E199*E179&gt;0,E179/Inputs!E199-1,"n/m")</f>
        <v>0.047154495454188705</v>
      </c>
      <c r="F180" s="55">
        <f>IF(Inputs!F199*F179&gt;0,F179/Inputs!F199-1,"n/m")</f>
        <v>0.5892931008834441</v>
      </c>
      <c r="G180" s="55">
        <f>IF(Inputs!G199*G179&gt;0,G179/Inputs!G199-1,"n/m")</f>
        <v>0.28193372646270953</v>
      </c>
      <c r="H180" s="56">
        <f>IF(C179*H179&gt;0,H179/C179-1,"n/m")</f>
        <v>-0.12305692976503912</v>
      </c>
      <c r="I180" s="1"/>
    </row>
    <row r="181">
      <c r="A181" s="1"/>
      <c r="B181" s="43" t="s">
        <v>118</v>
      </c>
      <c r="C181" s="15">
        <f>C179-Inputs!G199</f>
        <v>102.64300000000003</v>
      </c>
      <c r="D181" s="4">
        <f>D179-C179</f>
        <v>-173.4380000000001</v>
      </c>
      <c r="E181" s="4"/>
      <c r="F181" s="4">
        <f>F179-D179</f>
        <v>399.28300000000013</v>
      </c>
      <c r="G181" s="4">
        <f>G179-F179</f>
        <v>45.76999999999998</v>
      </c>
      <c r="H181" s="33">
        <f>H179-G179</f>
        <v>-447.6000688832098</v>
      </c>
      <c r="I181" s="1"/>
    </row>
    <row r="182">
      <c r="A182" s="1"/>
      <c r="B182" s="61" t="s">
        <v>85</v>
      </c>
      <c r="C182" s="58" t="s">
        <v>86</v>
      </c>
      <c r="D182" s="58" t="s">
        <v>86</v>
      </c>
      <c r="E182" s="58" t="s">
        <v>86</v>
      </c>
      <c r="F182" s="58" t="s">
        <v>86</v>
      </c>
      <c r="G182" s="58" t="s">
        <v>86</v>
      </c>
      <c r="H182" s="56" t="s">
        <v>86</v>
      </c>
      <c r="I182" s="8" t="s">
        <v>94</v>
      </c>
    </row>
    <row r="183">
      <c r="A183" s="1"/>
      <c r="B183" s="61" t="s">
        <v>88</v>
      </c>
      <c r="C183" s="58" t="s">
        <v>86</v>
      </c>
      <c r="D183" s="58" t="s">
        <v>86</v>
      </c>
      <c r="E183" s="58" t="s">
        <v>86</v>
      </c>
      <c r="F183" s="58" t="s">
        <v>86</v>
      </c>
      <c r="G183" s="58" t="s">
        <v>86</v>
      </c>
      <c r="H183" s="56" t="s">
        <v>86</v>
      </c>
      <c r="I183" s="8" t="s">
        <v>95</v>
      </c>
    </row>
    <row r="184">
      <c r="A184" s="1"/>
      <c r="B184" s="61" t="s">
        <v>89</v>
      </c>
      <c r="C184" s="58" t="s">
        <v>86</v>
      </c>
      <c r="D184" s="58" t="s">
        <v>86</v>
      </c>
      <c r="E184" s="58" t="s">
        <v>86</v>
      </c>
      <c r="F184" s="58" t="s">
        <v>86</v>
      </c>
      <c r="G184" s="58" t="s">
        <v>86</v>
      </c>
      <c r="H184" s="56" t="s">
        <v>86</v>
      </c>
      <c r="I184" s="8" t="s">
        <v>95</v>
      </c>
    </row>
    <row r="185">
      <c r="A185" s="1"/>
      <c r="B185" s="43" t="s">
        <v>216</v>
      </c>
      <c r="C185" s="26">
        <v>1430.111</v>
      </c>
      <c r="D185" s="26">
        <v>1256.673</v>
      </c>
      <c r="E185" s="26">
        <v>5056.197</v>
      </c>
      <c r="F185" s="26">
        <v>1655.956</v>
      </c>
      <c r="G185" s="26">
        <v>1701.726</v>
      </c>
      <c r="H185" s="33"/>
      <c r="I185" s="8" t="s">
        <v>217</v>
      </c>
    </row>
    <row r="186">
      <c r="A186" s="1"/>
      <c r="B186" s="43" t="s">
        <v>218</v>
      </c>
      <c r="C186" s="4">
        <f>C179-C185</f>
        <v>0</v>
      </c>
      <c r="D186" s="4">
        <f>D179-D185</f>
        <v>0</v>
      </c>
      <c r="E186" s="4">
        <f>E179-E185</f>
        <v>0</v>
      </c>
      <c r="F186" s="4">
        <f>F179-F185</f>
        <v>0</v>
      </c>
      <c r="G186" s="4">
        <f>G179-G185</f>
        <v>0</v>
      </c>
      <c r="H186" s="33"/>
      <c r="I186" s="1"/>
    </row>
    <row r="187">
      <c r="A187" s="1"/>
      <c r="B187" s="1"/>
      <c r="C187" s="3"/>
      <c r="D187" s="3"/>
      <c r="E187" s="3"/>
      <c r="F187" s="3"/>
      <c r="G187" s="3"/>
      <c r="H187" s="37"/>
      <c r="I187" s="1"/>
    </row>
    <row r="188">
      <c r="A188" s="1"/>
      <c r="B188" s="2" t="s">
        <v>219</v>
      </c>
      <c r="C188" s="4"/>
      <c r="D188" s="4"/>
      <c r="E188" s="4"/>
      <c r="F188" s="4"/>
      <c r="G188" s="4"/>
      <c r="H188" s="33"/>
      <c r="I188" s="1"/>
    </row>
    <row r="189">
      <c r="A189" s="1"/>
      <c r="B189" s="31" t="s">
        <v>220</v>
      </c>
      <c r="C189" s="26">
        <v>-231.915</v>
      </c>
      <c r="D189" s="26">
        <v>-259.289</v>
      </c>
      <c r="E189" s="15">
        <f>Inputs!F200+Inputs!G200+C189+D189</f>
        <v>-961.448</v>
      </c>
      <c r="F189" s="26">
        <v>-262.813</v>
      </c>
      <c r="G189" s="26">
        <v>-337.528</v>
      </c>
      <c r="H189" s="33">
        <f>-H192*H155</f>
        <v>-266.76262247422306</v>
      </c>
      <c r="I189" s="8" t="s">
        <v>221</v>
      </c>
    </row>
    <row r="190">
      <c r="A190" s="1"/>
      <c r="B190" s="61" t="s">
        <v>82</v>
      </c>
      <c r="C190" s="55">
        <f>IF(Inputs!C200*C189&gt;0,C189/Inputs!C200-1,"n/m")</f>
        <v>0.3717991943640977</v>
      </c>
      <c r="D190" s="55">
        <f>IF(Inputs!D200*D189&gt;0,D189/Inputs!D200-1,"n/m")</f>
        <v>-0.615612459250672</v>
      </c>
      <c r="E190" s="55">
        <f>IF(Inputs!E200*E189&gt;0,E189/Inputs!E200-1,"n/m")</f>
        <v>-0.17418188908272125</v>
      </c>
      <c r="F190" s="55">
        <f>IF(Inputs!F200*F189&gt;0,F189/Inputs!F200-1,"n/m")</f>
        <v>0.2926140695163757</v>
      </c>
      <c r="G190" s="55">
        <f>IF(Inputs!G200*G189&gt;0,G189/Inputs!G200-1,"n/m")</f>
        <v>0.2645050107708158</v>
      </c>
      <c r="H190" s="56">
        <f>IF(C189*H189&gt;0,H189/C189-1,"n/m")</f>
        <v>0.15026032155842906</v>
      </c>
      <c r="I190" s="1"/>
    </row>
    <row r="191">
      <c r="A191" s="1"/>
      <c r="B191" s="43" t="s">
        <v>118</v>
      </c>
      <c r="C191" s="15">
        <f>C189-Inputs!G200</f>
        <v>35.01000000000002</v>
      </c>
      <c r="D191" s="4">
        <f>D189-C189</f>
        <v>-27.373999999999995</v>
      </c>
      <c r="E191" s="4"/>
      <c r="F191" s="4">
        <f>F189-D189</f>
        <v>-3.524000000000001</v>
      </c>
      <c r="G191" s="4">
        <f>G189-F189</f>
        <v>-74.71500000000003</v>
      </c>
      <c r="H191" s="33">
        <f>H189-G189</f>
        <v>70.76537752577696</v>
      </c>
      <c r="I191" s="1"/>
    </row>
    <row r="192">
      <c r="A192" s="1"/>
      <c r="B192" s="61" t="s">
        <v>222</v>
      </c>
      <c r="C192" s="58">
        <f>-C189/C155</f>
        <v>0.27476713244127654</v>
      </c>
      <c r="D192" s="58">
        <f>-D189/D155</f>
        <v>0.2899588135898379</v>
      </c>
      <c r="E192" s="58">
        <f>-E189/E155</f>
        <v>0.28962818947136304</v>
      </c>
      <c r="F192" s="58">
        <f>-F189/F155</f>
        <v>0.2702116656162382</v>
      </c>
      <c r="G192" s="58">
        <f>-G189/G155</f>
        <v>0.2846015108346185</v>
      </c>
      <c r="H192" s="71">
        <v>0.28</v>
      </c>
      <c r="I192" s="1"/>
    </row>
    <row r="193">
      <c r="A193" s="1"/>
      <c r="B193" s="66" t="s">
        <v>121</v>
      </c>
      <c r="C193" s="57">
        <f>IFERROR((C192-(-Inputs!G200/Inputs!G206))*10000,"n/m")</f>
        <v>-222.68685454651603</v>
      </c>
      <c r="D193" s="62">
        <f>IFERROR((D192-C192)*10000,"n/m")</f>
        <v>151.91681148561344</v>
      </c>
      <c r="E193" s="62"/>
      <c r="F193" s="62">
        <f>IFERROR((F192-D192)*10000,"n/m")</f>
        <v>-197.47147973599667</v>
      </c>
      <c r="G193" s="62">
        <f>IFERROR((G192-F192)*10000,"n/m")</f>
        <v>143.8984521838027</v>
      </c>
      <c r="H193" s="59">
        <f>IFERROR((H192-G192)*10000,"n/m")</f>
        <v>-46.015108346184604</v>
      </c>
      <c r="I193" s="1"/>
    </row>
    <row r="194">
      <c r="A194" s="1"/>
      <c r="B194" s="66" t="s">
        <v>122</v>
      </c>
      <c r="C194" s="57">
        <f>IFERROR((C192-(-Inputs!C200/Inputs!C206))*10000,"n/m")</f>
        <v>-278.3288760569058</v>
      </c>
      <c r="D194" s="57">
        <f>IFERROR((D192-(-Inputs!D200/Inputs!D206))*10000,"n/m")</f>
        <v>-847.3782728239221</v>
      </c>
      <c r="E194" s="57">
        <f>IFERROR((E192-(-Inputs!E200/Inputs!E206))*10000,"n/m")</f>
        <v>-544.431665676332</v>
      </c>
      <c r="F194" s="57">
        <f>IFERROR((F192-(-Inputs!F200/Inputs!F206))*10000,"n/m")</f>
        <v>-276.06103932726444</v>
      </c>
      <c r="G194" s="57">
        <f>IFERROR((G192-(-Inputs!G200/Inputs!G206))*10000,"n/m")</f>
        <v>-124.34307061309657</v>
      </c>
      <c r="H194" s="59">
        <f>IFERROR((H192-C192)*10000,"n/m")</f>
        <v>52.32867558723486</v>
      </c>
      <c r="I194" s="1"/>
    </row>
    <row r="195">
      <c r="A195" s="1"/>
      <c r="B195" s="31" t="s">
        <v>223</v>
      </c>
      <c r="C195" s="26">
        <v>-120.743</v>
      </c>
      <c r="D195" s="26">
        <v>-146.375</v>
      </c>
      <c r="E195" s="15">
        <f>Inputs!F201+Inputs!G201+C195+D195</f>
        <v>-482.312</v>
      </c>
      <c r="F195" s="26">
        <v>-112.928</v>
      </c>
      <c r="G195" s="26">
        <v>-131.515</v>
      </c>
      <c r="H195" s="60">
        <v>-130</v>
      </c>
      <c r="I195" s="8" t="s">
        <v>155</v>
      </c>
    </row>
    <row r="196">
      <c r="A196" s="1"/>
      <c r="B196" s="61" t="s">
        <v>82</v>
      </c>
      <c r="C196" s="55">
        <f>IF(Inputs!C201*C195&gt;0,C195/Inputs!C201-1,"n/m")</f>
        <v>0.24915166563211266</v>
      </c>
      <c r="D196" s="55">
        <f>IF(Inputs!D201*D195&gt;0,D195/Inputs!D201-1,"n/m")</f>
        <v>0.24916793254706526</v>
      </c>
      <c r="E196" s="55">
        <f>IF(Inputs!E201*E195&gt;0,E195/Inputs!E201-1,"n/m")</f>
        <v>0.232560457336785</v>
      </c>
      <c r="F196" s="55">
        <f>IF(Inputs!F201*F195&gt;0,F195/Inputs!F201-1,"n/m")</f>
        <v>0.09751783388730151</v>
      </c>
      <c r="G196" s="55">
        <f>IF(Inputs!G201*G195&gt;0,G195/Inputs!G201-1,"n/m")</f>
        <v>0.17110418521816562</v>
      </c>
      <c r="H196" s="56">
        <f>IF(C195*H195&gt;0,H195/C195-1,"n/m")</f>
        <v>0.07666697034196601</v>
      </c>
      <c r="I196" s="1"/>
    </row>
    <row r="197">
      <c r="A197" s="1"/>
      <c r="B197" s="43" t="s">
        <v>118</v>
      </c>
      <c r="C197" s="15">
        <f>C195-Inputs!G201</f>
        <v>-8.442999999999998</v>
      </c>
      <c r="D197" s="4">
        <f>D195-C195</f>
        <v>-25.632000000000005</v>
      </c>
      <c r="E197" s="4"/>
      <c r="F197" s="4">
        <f>F195-D195</f>
        <v>33.447</v>
      </c>
      <c r="G197" s="4">
        <f>G195-F195</f>
        <v>-18.58699999999999</v>
      </c>
      <c r="H197" s="33">
        <f>H195-G195</f>
        <v>1.5149999999999864</v>
      </c>
      <c r="I197" s="1"/>
    </row>
    <row r="198">
      <c r="A198" s="1"/>
      <c r="B198" s="54" t="s">
        <v>224</v>
      </c>
      <c r="C198" s="32">
        <f>C155+C189+C195</f>
        <v>491.3840000000002</v>
      </c>
      <c r="D198" s="32">
        <f>D155+D189+D195</f>
        <v>488.5630000000001</v>
      </c>
      <c r="E198" s="64">
        <f>Inputs!F202+Inputs!G202+C198+D198</f>
        <v>1875.8340000000003</v>
      </c>
      <c r="F198" s="32">
        <f>F155+F189+F195</f>
        <v>596.878</v>
      </c>
      <c r="G198" s="32">
        <f>G155+G189+G195</f>
        <v>716.9240000000001</v>
      </c>
      <c r="H198" s="44">
        <f>H155+H189+H195</f>
        <v>555.9610292194307</v>
      </c>
      <c r="I198" s="1"/>
    </row>
    <row r="199">
      <c r="A199" s="1"/>
      <c r="B199" s="61" t="s">
        <v>82</v>
      </c>
      <c r="C199" s="55">
        <f>IF(Inputs!C202*C198&gt;0,C198/Inputs!C202-1,"n/m")</f>
        <v>0.677255955408252</v>
      </c>
      <c r="D199" s="55">
        <f>IF(Inputs!D202*D198&gt;0,D198/Inputs!D202-1,"n/m")</f>
        <v>-0.5155691947686235</v>
      </c>
      <c r="E199" s="55">
        <f>IF(Inputs!E202*E198&gt;0,E198/Inputs!E202-1,"n/m")</f>
        <v>0.026076463683196716</v>
      </c>
      <c r="F199" s="55">
        <f>IF(Inputs!F202*F198&gt;0,F198/Inputs!F202-1,"n/m")</f>
        <v>0.5854049186815873</v>
      </c>
      <c r="G199" s="55">
        <f>IF(Inputs!G202*G198&gt;0,G198/Inputs!G202-1,"n/m")</f>
        <v>0.38028201554088925</v>
      </c>
      <c r="H199" s="56">
        <f>IF(C198*H198&gt;0,H198/C198-1,"n/m")</f>
        <v>0.131418664871934</v>
      </c>
      <c r="I199" s="1"/>
    </row>
    <row r="200">
      <c r="A200" s="1"/>
      <c r="B200" s="43" t="s">
        <v>118</v>
      </c>
      <c r="C200" s="15">
        <f>C198-Inputs!G202</f>
        <v>-28.01999999999981</v>
      </c>
      <c r="D200" s="4">
        <f>D198-C198</f>
        <v>-2.821000000000083</v>
      </c>
      <c r="E200" s="4"/>
      <c r="F200" s="4">
        <f>F198-D198</f>
        <v>108.31499999999994</v>
      </c>
      <c r="G200" s="4">
        <f>G198-F198</f>
        <v>120.04600000000005</v>
      </c>
      <c r="H200" s="33">
        <f>H198-G198</f>
        <v>-160.96297078056944</v>
      </c>
      <c r="I200" s="1"/>
    </row>
    <row r="201">
      <c r="A201" s="1"/>
      <c r="B201" s="61" t="s">
        <v>225</v>
      </c>
      <c r="C201" s="58">
        <f>C198/C155</f>
        <v>0.5821795597849397</v>
      </c>
      <c r="D201" s="58">
        <f>D198/D155</f>
        <v>0.5463523244097975</v>
      </c>
      <c r="E201" s="58">
        <f>E198/E155</f>
        <v>0.5650793440402652</v>
      </c>
      <c r="F201" s="58">
        <f>F198/F155</f>
        <v>0.6136812050761912</v>
      </c>
      <c r="G201" s="58">
        <f>G198/G155</f>
        <v>0.6045058589319939</v>
      </c>
      <c r="H201" s="56">
        <f>H198/H155</f>
        <v>0.5835490997112338</v>
      </c>
      <c r="I201" s="1"/>
    </row>
    <row r="202">
      <c r="A202" s="1"/>
      <c r="B202" s="66" t="s">
        <v>121</v>
      </c>
      <c r="C202" s="57">
        <f>IFERROR((C201-(Inputs!G202/Inputs!G206))*10000,"n/m")</f>
        <v>41.8352360093055</v>
      </c>
      <c r="D202" s="62">
        <f>IFERROR((D201-C201)*10000,"n/m")</f>
        <v>-358.2723537514221</v>
      </c>
      <c r="E202" s="62"/>
      <c r="F202" s="62">
        <f>IFERROR((F201-D201)*10000,"n/m")</f>
        <v>673.2888066639364</v>
      </c>
      <c r="G202" s="62">
        <f>IFERROR((G201-F201)*10000,"n/m")</f>
        <v>-91.75346144197238</v>
      </c>
      <c r="H202" s="59">
        <f>IFERROR((H201-G201)*10000,"n/m")</f>
        <v>-209.56759220760125</v>
      </c>
      <c r="I202" s="1"/>
    </row>
    <row r="203">
      <c r="A203" s="1"/>
      <c r="B203" s="66" t="s">
        <v>122</v>
      </c>
      <c r="C203" s="57">
        <f>IFERROR((C201-(Inputs!C202/Inputs!C206))*10000,"n/m")</f>
        <v>577.9206622860788</v>
      </c>
      <c r="D203" s="57">
        <f>IFERROR((D201-(Inputs!D202/Inputs!D206))*10000,"n/m")</f>
        <v>-138.61511488259316</v>
      </c>
      <c r="E203" s="57">
        <f>IFERROR((E201-(Inputs!E202/Inputs!E206))*10000,"n/m")</f>
        <v>247.95726186715217</v>
      </c>
      <c r="F203" s="57">
        <f>IFERROR((F201-(Inputs!F202/Inputs!F206))*10000,"n/m")</f>
        <v>622.1613130982961</v>
      </c>
      <c r="G203" s="57">
        <f>IFERROR((G201-(Inputs!G202/Inputs!G206))*10000,"n/m")</f>
        <v>265.0982274798475</v>
      </c>
      <c r="H203" s="59">
        <f>IFERROR((H201-C201)*10000,"n/m")</f>
        <v>13.695399262940722</v>
      </c>
      <c r="I203" s="1"/>
    </row>
    <row r="204">
      <c r="A204" s="1"/>
      <c r="B204" s="31" t="s">
        <v>226</v>
      </c>
      <c r="C204" s="26">
        <v>-205.967</v>
      </c>
      <c r="D204" s="26">
        <v>-131.006</v>
      </c>
      <c r="E204" s="15">
        <f>Inputs!F203+Inputs!G203+C204+D204</f>
        <v>-704.938</v>
      </c>
      <c r="F204" s="26">
        <v>-294.536</v>
      </c>
      <c r="G204" s="26">
        <v>-251.204</v>
      </c>
      <c r="H204" s="33">
        <f>-H207*H161</f>
        <v>-130.93830670635512</v>
      </c>
      <c r="I204" s="8" t="s">
        <v>227</v>
      </c>
    </row>
    <row r="205">
      <c r="A205" s="1"/>
      <c r="B205" s="61" t="s">
        <v>82</v>
      </c>
      <c r="C205" s="55">
        <f>IF(Inputs!C203*C204&gt;0,C204/Inputs!C203-1,"n/m")</f>
        <v>1.1726476793248946</v>
      </c>
      <c r="D205" s="55">
        <f>IF(Inputs!D203*D204&gt;0,D204/Inputs!D203-1,"n/m")</f>
        <v>-0.05375986825473644</v>
      </c>
      <c r="E205" s="55">
        <f>IF(Inputs!E203*E204&gt;0,E204/Inputs!E203-1,"n/m")</f>
        <v>0.112782975606599</v>
      </c>
      <c r="F205" s="55">
        <f>IF(Inputs!F203*F204&gt;0,F204/Inputs!F203-1,"n/m")</f>
        <v>0.7210136670932157</v>
      </c>
      <c r="G205" s="55">
        <f>IF(Inputs!G203*G204&gt;0,G204/Inputs!G203-1,"n/m")</f>
        <v>0.27628744462057475</v>
      </c>
      <c r="H205" s="56">
        <f>IF(C204*H204&gt;0,H204/C204-1,"n/m")</f>
        <v>-0.36427531251921375</v>
      </c>
      <c r="I205" s="1"/>
    </row>
    <row r="206">
      <c r="A206" s="1"/>
      <c r="B206" s="43" t="s">
        <v>118</v>
      </c>
      <c r="C206" s="15">
        <f>C204-Inputs!G203</f>
        <v>-9.143</v>
      </c>
      <c r="D206" s="4">
        <f>D204-C204</f>
        <v>74.96100000000001</v>
      </c>
      <c r="E206" s="4"/>
      <c r="F206" s="4">
        <f>F204-D204</f>
        <v>-163.53</v>
      </c>
      <c r="G206" s="4">
        <f>G204-F204</f>
        <v>43.331999999999994</v>
      </c>
      <c r="H206" s="33">
        <f>H204-G204</f>
        <v>120.26569329364489</v>
      </c>
      <c r="I206" s="1"/>
    </row>
    <row r="207">
      <c r="A207" s="1"/>
      <c r="B207" s="61" t="s">
        <v>228</v>
      </c>
      <c r="C207" s="58">
        <f>IFERROR(-C204/C161,0)</f>
        <v>0.36820389607835774</v>
      </c>
      <c r="D207" s="58">
        <f>IFERROR(-D204/D161,0)</f>
        <v>0.37252326031074406</v>
      </c>
      <c r="E207" s="58">
        <f>IFERROR(-E204/E161,0)</f>
        <v>0.422091265954058</v>
      </c>
      <c r="F207" s="58">
        <f>IFERROR(-F204/F161,0)</f>
        <v>0.4616631321229676</v>
      </c>
      <c r="G207" s="58">
        <f>IFERROR(-G204/G161,0)</f>
        <v>0.5118182911001676</v>
      </c>
      <c r="H207" s="71">
        <v>0.48</v>
      </c>
      <c r="I207" s="1"/>
    </row>
    <row r="208">
      <c r="A208" s="1"/>
      <c r="B208" s="66" t="s">
        <v>121</v>
      </c>
      <c r="C208" s="57">
        <f>IFERROR((C207-(IFERROR(-Inputs!G203/Inputs!G197,0)))*10000,"n/m")</f>
        <v>-1130.5191105157526</v>
      </c>
      <c r="D208" s="62">
        <f>IFERROR((D207-C207)*10000,"n/m")</f>
        <v>43.193642323863244</v>
      </c>
      <c r="E208" s="62"/>
      <c r="F208" s="62">
        <f>IFERROR((F207-D207)*10000,"n/m")</f>
        <v>891.3987181222354</v>
      </c>
      <c r="G208" s="62">
        <f>IFERROR((G207-F207)*10000,"n/m")</f>
        <v>501.5515897720002</v>
      </c>
      <c r="H208" s="59">
        <f>IFERROR((H207-G207)*10000,"n/m")</f>
        <v>-318.18291100167653</v>
      </c>
      <c r="I208" s="1"/>
    </row>
    <row r="209">
      <c r="A209" s="1"/>
      <c r="B209" s="66" t="s">
        <v>122</v>
      </c>
      <c r="C209" s="57">
        <f>IFERROR((C207-(IFERROR(-Inputs!C203/Inputs!C197,0)))*10000,"n/m")</f>
        <v>-693.8236334382531</v>
      </c>
      <c r="D209" s="57">
        <f>IFERROR((D207-(IFERROR(-Inputs!D203/Inputs!D197,0)))*10000,"n/m")</f>
        <v>-297.89217713740715</v>
      </c>
      <c r="E209" s="57">
        <f>IFERROR((E207-(IFERROR(-Inputs!E203/Inputs!E197,0)))*10000,"n/m")</f>
        <v>-328.5675002069727</v>
      </c>
      <c r="F209" s="57">
        <f>IFERROR((F207-(IFERROR(-Inputs!F203/Inputs!F197,0)))*10000,"n/m")</f>
        <v>-272.09188792955644</v>
      </c>
      <c r="G209" s="57">
        <f>IFERROR((G207-(IFERROR(-Inputs!G203/Inputs!G197,0)))*10000,"n/m")</f>
        <v>305.62483970234643</v>
      </c>
      <c r="H209" s="59">
        <f>IFERROR((H207-C207)*10000,"n/m")</f>
        <v>1117.9610392164225</v>
      </c>
      <c r="I209" s="1"/>
    </row>
    <row r="210">
      <c r="A210" s="1"/>
      <c r="B210" s="54" t="s">
        <v>229</v>
      </c>
      <c r="C210" s="32">
        <f>C161+C204+C170</f>
        <v>380.10200000000003</v>
      </c>
      <c r="D210" s="32">
        <f>D161+D204+D170</f>
        <v>231.44000000000003</v>
      </c>
      <c r="E210" s="64">
        <f>Inputs!F204+Inputs!G204+C210+D210</f>
        <v>1031.665</v>
      </c>
      <c r="F210" s="32">
        <f>F161+F204+F170</f>
        <v>388.80100000000004</v>
      </c>
      <c r="G210" s="32">
        <f>G161+G204+G170</f>
        <v>264.555</v>
      </c>
      <c r="H210" s="44">
        <f>H161+H204+H170</f>
        <v>170.46397271678168</v>
      </c>
      <c r="I210" s="1"/>
    </row>
    <row r="211">
      <c r="A211" s="1"/>
      <c r="B211" s="61" t="s">
        <v>82</v>
      </c>
      <c r="C211" s="55">
        <f>IF(Inputs!C204*C210&gt;0,C210/Inputs!C204-1,"n/m")</f>
        <v>1.9044020447616354</v>
      </c>
      <c r="D211" s="55">
        <f>IF(Inputs!D204*D210&gt;0,D210/Inputs!D204-1,"n/m")</f>
        <v>0.04791313875884051</v>
      </c>
      <c r="E211" s="55">
        <f>IF(Inputs!E204*E210&gt;0,E210/Inputs!E204-1,"n/m")</f>
        <v>0.2716008144832074</v>
      </c>
      <c r="F211" s="55">
        <f>IF(Inputs!F204*F210&gt;0,F210/Inputs!F204-1,"n/m")</f>
        <v>1.0669030556914114</v>
      </c>
      <c r="G211" s="55">
        <f>IF(Inputs!G204*G210&gt;0,G210/Inputs!G204-1,"n/m")</f>
        <v>0.140249552830636</v>
      </c>
      <c r="H211" s="56">
        <f>IF(C210*H210&gt;0,H210/C210-1,"n/m")</f>
        <v>-0.5515309766410551</v>
      </c>
      <c r="I211" s="1"/>
    </row>
    <row r="212">
      <c r="A212" s="1"/>
      <c r="B212" s="43" t="s">
        <v>118</v>
      </c>
      <c r="C212" s="15">
        <f>C210-Inputs!G204</f>
        <v>148.08700000000005</v>
      </c>
      <c r="D212" s="4">
        <f>D210-C210</f>
        <v>-148.662</v>
      </c>
      <c r="E212" s="4"/>
      <c r="F212" s="4">
        <f>F210-D210</f>
        <v>157.36100000000002</v>
      </c>
      <c r="G212" s="4">
        <f>G210-F210</f>
        <v>-124.24600000000004</v>
      </c>
      <c r="H212" s="33">
        <f>H210-G210</f>
        <v>-94.09102728321832</v>
      </c>
      <c r="I212" s="1"/>
    </row>
    <row r="213">
      <c r="A213" s="1"/>
      <c r="B213" s="54" t="s">
        <v>230</v>
      </c>
      <c r="C213" s="32">
        <f>C198+C210</f>
        <v>871.4860000000002</v>
      </c>
      <c r="D213" s="32">
        <f>D198+D210</f>
        <v>720.0030000000002</v>
      </c>
      <c r="E213" s="64">
        <f>Inputs!F205+Inputs!G205+C213+D213</f>
        <v>2907.4990000000003</v>
      </c>
      <c r="F213" s="32">
        <f>F198+F210</f>
        <v>985.6790000000001</v>
      </c>
      <c r="G213" s="32">
        <f>G198+G210</f>
        <v>981.479</v>
      </c>
      <c r="H213" s="44">
        <f>H198+H210</f>
        <v>726.4250019362123</v>
      </c>
      <c r="I213" s="1"/>
    </row>
    <row r="214">
      <c r="A214" s="1"/>
      <c r="B214" s="61" t="s">
        <v>82</v>
      </c>
      <c r="C214" s="55">
        <f>IF(Inputs!C205*C213&gt;0,C213/Inputs!C205-1,"n/m")</f>
        <v>1.0561674216685546</v>
      </c>
      <c r="D214" s="55">
        <f>IF(Inputs!D205*D213&gt;0,D213/Inputs!D205-1,"n/m")</f>
        <v>-0.4143403059083054</v>
      </c>
      <c r="E214" s="55">
        <f>IF(Inputs!E205*E213&gt;0,E213/Inputs!E205-1,"n/m")</f>
        <v>0.10154485325485307</v>
      </c>
      <c r="F214" s="55">
        <f>IF(Inputs!F205*F213&gt;0,F213/Inputs!F205-1,"n/m")</f>
        <v>0.7458283961310046</v>
      </c>
      <c r="G214" s="55">
        <f>IF(Inputs!G205*G213&gt;0,G213/Inputs!G205-1,"n/m")</f>
        <v>0.3061673979497459</v>
      </c>
      <c r="H214" s="56">
        <f>IF(C213*H213&gt;0,H213/C213-1,"n/m")</f>
        <v>-0.1664524709103622</v>
      </c>
      <c r="I214" s="1"/>
    </row>
    <row r="215">
      <c r="A215" s="1"/>
      <c r="B215" s="43" t="s">
        <v>118</v>
      </c>
      <c r="C215" s="15">
        <f>C213-Inputs!G205</f>
        <v>120.06700000000023</v>
      </c>
      <c r="D215" s="4">
        <f>D213-C213</f>
        <v>-151.48300000000006</v>
      </c>
      <c r="E215" s="4"/>
      <c r="F215" s="4">
        <f>F213-D213</f>
        <v>265.67599999999993</v>
      </c>
      <c r="G215" s="4">
        <f>G213-F213</f>
        <v>-4.2000000000000455</v>
      </c>
      <c r="H215" s="33">
        <f>H213-G213</f>
        <v>-255.05399806378773</v>
      </c>
      <c r="I215" s="1"/>
    </row>
    <row r="216">
      <c r="A216" s="1"/>
      <c r="B216" s="61" t="s">
        <v>231</v>
      </c>
      <c r="C216" s="58">
        <f>C213/C179</f>
        <v>0.6093834674371431</v>
      </c>
      <c r="D216" s="58">
        <f>D213/D179</f>
        <v>0.5729437968349763</v>
      </c>
      <c r="E216" s="58">
        <f>E213/E179</f>
        <v>0.5750367321526436</v>
      </c>
      <c r="F216" s="58">
        <f>F213/F179</f>
        <v>0.5952326027986251</v>
      </c>
      <c r="G216" s="58">
        <f>G213/G179</f>
        <v>0.576755012264019</v>
      </c>
      <c r="H216" s="56">
        <f>H213/H179</f>
        <v>0.579228117298664</v>
      </c>
      <c r="I216" s="1"/>
    </row>
    <row r="217">
      <c r="A217" s="1"/>
      <c r="B217" s="66" t="s">
        <v>121</v>
      </c>
      <c r="C217" s="57">
        <f>IFERROR((C216-(Inputs!G205/Inputs!G199))*10000,"n/m")</f>
        <v>433.29144470412473</v>
      </c>
      <c r="D217" s="62">
        <f>IFERROR((D216-C216)*10000,"n/m")</f>
        <v>-364.39670602166797</v>
      </c>
      <c r="E217" s="62"/>
      <c r="F217" s="62">
        <f>IFERROR((F216-D216)*10000,"n/m")</f>
        <v>222.88805963648795</v>
      </c>
      <c r="G217" s="62">
        <f>IFERROR((G216-F216)*10000,"n/m")</f>
        <v>-184.7759053460607</v>
      </c>
      <c r="H217" s="59">
        <f>IFERROR((H216-G216)*10000,"n/m")</f>
        <v>24.73105034644929</v>
      </c>
      <c r="I217" s="1"/>
    </row>
    <row r="218">
      <c r="A218" s="1"/>
      <c r="B218" s="66" t="s">
        <v>122</v>
      </c>
      <c r="C218" s="57">
        <f>IFERROR((C216-(Inputs!C205/Inputs!C199))*10000,"n/m")</f>
        <v>690.1865999565271</v>
      </c>
      <c r="D218" s="57">
        <f>IFERROR((D216-(Inputs!D205/Inputs!D199))*10000,"n/m")</f>
        <v>36.68303518263638</v>
      </c>
      <c r="E218" s="57">
        <f>IFERROR((E216-(Inputs!E205/Inputs!E199))*10000,"n/m")</f>
        <v>283.9326380391249</v>
      </c>
      <c r="F218" s="57">
        <f>IFERROR((F216-(Inputs!F205/Inputs!F199))*10000,"n/m")</f>
        <v>533.7002847848338</v>
      </c>
      <c r="G218" s="57">
        <f>IFERROR((G216-(Inputs!G205/Inputs!G199))*10000,"n/m")</f>
        <v>107.00689297288402</v>
      </c>
      <c r="H218" s="59">
        <f>IFERROR((H216-C216)*10000,"n/m")</f>
        <v>-301.55350138479145</v>
      </c>
      <c r="I218" s="1"/>
    </row>
    <row r="219">
      <c r="A219" s="1"/>
      <c r="B219" s="43" t="s">
        <v>232</v>
      </c>
      <c r="C219" s="26">
        <v>871.486</v>
      </c>
      <c r="D219" s="26">
        <v>720.003</v>
      </c>
      <c r="E219" s="26">
        <v>2907.499</v>
      </c>
      <c r="F219" s="26">
        <v>985.679</v>
      </c>
      <c r="G219" s="26">
        <v>981.479</v>
      </c>
      <c r="H219" s="33"/>
      <c r="I219" s="1"/>
    </row>
    <row r="220">
      <c r="A220" s="1"/>
      <c r="B220" s="43" t="s">
        <v>218</v>
      </c>
      <c r="C220" s="4">
        <f>C213-C219</f>
        <v>0</v>
      </c>
      <c r="D220" s="4">
        <f>D213-D219</f>
        <v>0</v>
      </c>
      <c r="E220" s="4">
        <f>E213-E219</f>
        <v>0</v>
      </c>
      <c r="F220" s="4">
        <f>F213-F219</f>
        <v>0</v>
      </c>
      <c r="G220" s="4">
        <f>G213-G219</f>
        <v>0</v>
      </c>
      <c r="H220" s="33"/>
      <c r="I220" s="1"/>
    </row>
    <row r="221">
      <c r="A221" s="1"/>
      <c r="B221" s="1"/>
      <c r="C221" s="3"/>
      <c r="D221" s="3"/>
      <c r="E221" s="3"/>
      <c r="F221" s="3"/>
      <c r="G221" s="3"/>
      <c r="H221" s="37"/>
      <c r="I221" s="1"/>
    </row>
    <row r="222">
      <c r="A222" s="1"/>
      <c r="B222" s="2" t="s">
        <v>233</v>
      </c>
      <c r="C222" s="4"/>
      <c r="D222" s="4"/>
      <c r="E222" s="4"/>
      <c r="F222" s="4"/>
      <c r="G222" s="4"/>
      <c r="H222" s="33"/>
      <c r="I222" s="1"/>
    </row>
    <row r="223">
      <c r="A223" s="1"/>
      <c r="B223" s="40" t="s">
        <v>283</v>
      </c>
      <c r="C223" s="68">
        <v>0.025</v>
      </c>
      <c r="D223" s="68">
        <v>0.05</v>
      </c>
      <c r="E223" s="68">
        <v>0.138</v>
      </c>
      <c r="F223" s="68">
        <v>0.032</v>
      </c>
      <c r="G223" s="68">
        <v>0.037000000000000005</v>
      </c>
      <c r="H223" s="56"/>
      <c r="I223" s="8" t="s">
        <v>235</v>
      </c>
    </row>
    <row r="224">
      <c r="A224" s="1"/>
      <c r="B224" s="43" t="s">
        <v>121</v>
      </c>
      <c r="C224" s="57">
        <f>(C223-Inputs!G207)*10000</f>
        <v>-259.99999999999994</v>
      </c>
      <c r="D224" s="62">
        <f>IFERROR((D223-C223)*10000,"n/m")</f>
        <v>250</v>
      </c>
      <c r="E224" s="62"/>
      <c r="F224" s="62">
        <f>IFERROR((F223-D223)*10000,"n/m")</f>
        <v>-180.00000000000003</v>
      </c>
      <c r="G224" s="62">
        <f>IFERROR((G223-F223)*10000,"n/m")</f>
        <v>50.00000000000004</v>
      </c>
      <c r="H224" s="59"/>
      <c r="I224" s="1"/>
    </row>
    <row r="225">
      <c r="A225" s="1"/>
      <c r="B225" s="43" t="s">
        <v>122</v>
      </c>
      <c r="C225" s="57">
        <f>(C223-Inputs!C207)*10000</f>
        <v>-370</v>
      </c>
      <c r="D225" s="57">
        <f>(D223-Inputs!D207)*10000</f>
        <v>10.000000000000009</v>
      </c>
      <c r="E225" s="57">
        <f>(E223-Inputs!E207)*10000</f>
        <v>-279.99999999999994</v>
      </c>
      <c r="F225" s="57">
        <f>(F223-Inputs!F207)*10000</f>
        <v>210</v>
      </c>
      <c r="G225" s="57">
        <f>(G223-Inputs!G207)*10000</f>
        <v>-139.99999999999991</v>
      </c>
      <c r="H225" s="59"/>
      <c r="I225" s="1"/>
    </row>
    <row r="226">
      <c r="A226" s="1"/>
      <c r="B226" s="40" t="s">
        <v>284</v>
      </c>
      <c r="C226" s="68">
        <v>0.032</v>
      </c>
      <c r="D226" s="68">
        <v>0.006999999999999999</v>
      </c>
      <c r="E226" s="68">
        <v>0.099</v>
      </c>
      <c r="F226" s="68">
        <v>0.036000000000000004</v>
      </c>
      <c r="G226" s="68">
        <v>0.039</v>
      </c>
      <c r="H226" s="56"/>
      <c r="I226" s="8" t="s">
        <v>235</v>
      </c>
    </row>
    <row r="227">
      <c r="A227" s="1"/>
      <c r="B227" s="43" t="s">
        <v>121</v>
      </c>
      <c r="C227" s="57">
        <f>(C226-Inputs!G208)*10000</f>
        <v>-89.99999999999994</v>
      </c>
      <c r="D227" s="62">
        <f>IFERROR((D226-C226)*10000,"n/m")</f>
        <v>-250</v>
      </c>
      <c r="E227" s="62"/>
      <c r="F227" s="62">
        <f>IFERROR((F226-D226)*10000,"n/m")</f>
        <v>290.00000000000006</v>
      </c>
      <c r="G227" s="62">
        <f>IFERROR((G226-F226)*10000,"n/m")</f>
        <v>29.999999999999957</v>
      </c>
      <c r="H227" s="59"/>
      <c r="I227" s="1"/>
    </row>
    <row r="228">
      <c r="A228" s="1"/>
      <c r="B228" s="43" t="s">
        <v>122</v>
      </c>
      <c r="C228" s="57">
        <f>(C226-Inputs!C208)*10000</f>
        <v>-109.99999999999996</v>
      </c>
      <c r="D228" s="57">
        <f>(D226-Inputs!D208)*10000</f>
        <v>-280.00000000000006</v>
      </c>
      <c r="E228" s="57">
        <f>(E226-Inputs!E208)*10000</f>
        <v>-20.000000000000018</v>
      </c>
      <c r="F228" s="57">
        <f>(F226-Inputs!F208)*10000</f>
        <v>70.00000000000003</v>
      </c>
      <c r="G228" s="57">
        <f>(G226-Inputs!G208)*10000</f>
        <v>-19.999999999999947</v>
      </c>
      <c r="H228" s="59"/>
      <c r="I228" s="1"/>
    </row>
    <row r="229">
      <c r="A229" s="1"/>
      <c r="B229" s="40" t="s">
        <v>285</v>
      </c>
      <c r="C229" s="68">
        <v>0.034</v>
      </c>
      <c r="D229" s="68">
        <v>0.025</v>
      </c>
      <c r="E229" s="68">
        <v>0.131</v>
      </c>
      <c r="F229" s="68">
        <v>0.006999999999999999</v>
      </c>
      <c r="G229" s="68">
        <v>0.017</v>
      </c>
      <c r="H229" s="56"/>
      <c r="I229" s="8" t="s">
        <v>235</v>
      </c>
    </row>
    <row r="230">
      <c r="A230" s="1"/>
      <c r="B230" s="43" t="s">
        <v>121</v>
      </c>
      <c r="C230" s="57">
        <f>(C229-Inputs!G209)*10000</f>
        <v>-320</v>
      </c>
      <c r="D230" s="62">
        <f>IFERROR((D229-C229)*10000,"n/m")</f>
        <v>-90.00000000000001</v>
      </c>
      <c r="E230" s="62"/>
      <c r="F230" s="62">
        <f>IFERROR((F229-D229)*10000,"n/m")</f>
        <v>-180.00000000000003</v>
      </c>
      <c r="G230" s="62">
        <f>IFERROR((G229-F229)*10000,"n/m")</f>
        <v>100.00000000000001</v>
      </c>
      <c r="H230" s="59"/>
      <c r="I230" s="1"/>
    </row>
    <row r="231">
      <c r="A231" s="1"/>
      <c r="B231" s="43" t="s">
        <v>122</v>
      </c>
      <c r="C231" s="57">
        <f>(C229-Inputs!C209)*10000</f>
        <v>270.00000000000006</v>
      </c>
      <c r="D231" s="57">
        <f>(D229-Inputs!D209)*10000</f>
        <v>-29.999999999999957</v>
      </c>
      <c r="E231" s="57">
        <f>(E229-Inputs!E209)*10000</f>
        <v>530</v>
      </c>
      <c r="F231" s="57">
        <f>(F229-Inputs!F209)*10000</f>
        <v>9.999999999999991</v>
      </c>
      <c r="G231" s="57">
        <f>(G229-Inputs!G209)*10000</f>
        <v>-490</v>
      </c>
      <c r="H231" s="59"/>
      <c r="I231" s="1"/>
    </row>
    <row r="232">
      <c r="A232" s="1"/>
      <c r="B232" s="40" t="s">
        <v>286</v>
      </c>
      <c r="C232" s="68">
        <v>0.052000000000000005</v>
      </c>
      <c r="D232" s="68">
        <v>0.084</v>
      </c>
      <c r="E232" s="68">
        <v>0.235</v>
      </c>
      <c r="F232" s="68">
        <v>0.078</v>
      </c>
      <c r="G232" s="68">
        <v>0.07200000000000001</v>
      </c>
      <c r="H232" s="56"/>
      <c r="I232" s="8" t="s">
        <v>235</v>
      </c>
    </row>
    <row r="233">
      <c r="A233" s="1"/>
      <c r="B233" s="43" t="s">
        <v>121</v>
      </c>
      <c r="C233" s="57">
        <f>(C232-Inputs!G210)*10000</f>
        <v>230.00000000000003</v>
      </c>
      <c r="D233" s="62">
        <f>IFERROR((D232-C232)*10000,"n/m")</f>
        <v>320</v>
      </c>
      <c r="E233" s="62"/>
      <c r="F233" s="62">
        <f>IFERROR((F232-D232)*10000,"n/m")</f>
        <v>-60.00000000000006</v>
      </c>
      <c r="G233" s="62">
        <f>IFERROR((G232-F232)*10000,"n/m")</f>
        <v>-59.999999999999915</v>
      </c>
      <c r="H233" s="59"/>
      <c r="I233" s="1"/>
    </row>
    <row r="234">
      <c r="A234" s="1"/>
      <c r="B234" s="43" t="s">
        <v>122</v>
      </c>
      <c r="C234" s="57">
        <f>(C232-Inputs!C210)*10000</f>
        <v>-29.999999999999957</v>
      </c>
      <c r="D234" s="57">
        <f>(D232-Inputs!D210)*10000</f>
        <v>360.00000000000006</v>
      </c>
      <c r="E234" s="57">
        <f>(E232-Inputs!E210)*10000</f>
        <v>249.99999999999994</v>
      </c>
      <c r="F234" s="57">
        <f>(F232-Inputs!F210)*10000</f>
        <v>30.00000000000003</v>
      </c>
      <c r="G234" s="57">
        <f>(G232-Inputs!G210)*10000</f>
        <v>430.0000000000001</v>
      </c>
      <c r="H234" s="59"/>
      <c r="I234" s="1"/>
    </row>
    <row r="235">
      <c r="A235" s="1"/>
      <c r="B235" s="40" t="s">
        <v>287</v>
      </c>
      <c r="C235" s="58"/>
      <c r="D235" s="58"/>
      <c r="E235" s="58"/>
      <c r="F235" s="58"/>
      <c r="G235" s="58"/>
      <c r="H235" s="56">
        <f>H145</f>
        <v>0.02329146372724944</v>
      </c>
      <c r="I235" s="1"/>
    </row>
    <row r="236">
      <c r="A236" s="1"/>
      <c r="B236" s="1"/>
      <c r="C236" s="3"/>
      <c r="D236" s="3"/>
      <c r="E236" s="3"/>
      <c r="F236" s="3"/>
      <c r="G236" s="3"/>
      <c r="H236" s="37"/>
      <c r="I236" s="1"/>
    </row>
    <row r="237">
      <c r="A237" s="1"/>
      <c r="B237" s="2" t="s">
        <v>241</v>
      </c>
      <c r="C237" s="4"/>
      <c r="D237" s="4"/>
      <c r="E237" s="4"/>
      <c r="F237" s="4"/>
      <c r="G237" s="4"/>
      <c r="H237" s="33"/>
      <c r="I237" s="1"/>
    </row>
    <row r="238">
      <c r="A238" s="1"/>
      <c r="B238" s="43" t="s">
        <v>288</v>
      </c>
      <c r="C238" s="26">
        <v>1843</v>
      </c>
      <c r="D238" s="26">
        <v>2044</v>
      </c>
      <c r="E238" s="4">
        <f>D238</f>
        <v>2044</v>
      </c>
      <c r="F238" s="26">
        <v>1860</v>
      </c>
      <c r="G238" s="26">
        <v>1764</v>
      </c>
      <c r="H238" s="33"/>
      <c r="I238" s="8" t="s">
        <v>243</v>
      </c>
    </row>
    <row r="239">
      <c r="A239" s="1"/>
      <c r="B239" s="65" t="s">
        <v>82</v>
      </c>
      <c r="C239" s="55">
        <f>IF(Inputs!C211*C238&gt;0,C238/Inputs!C211-1,"n/m")</f>
        <v>0.07903981264637006</v>
      </c>
      <c r="D239" s="55">
        <f>IF(Inputs!D211*D238&gt;0,D238/Inputs!D211-1,"n/m")</f>
        <v>0.17945758799769185</v>
      </c>
      <c r="E239" s="55">
        <f>IF(Inputs!E211*E238&gt;0,E238/Inputs!E211-1,"n/m")</f>
        <v>0.17945758799769185</v>
      </c>
      <c r="F239" s="55">
        <f>IF(Inputs!F211*F238&gt;0,F238/Inputs!F211-1,"n/m")</f>
        <v>0.06958021851638874</v>
      </c>
      <c r="G239" s="55">
        <f>IF(Inputs!G211*G238&gt;0,G238/Inputs!G211-1,"n/m")</f>
        <v>-0.0561797752808989</v>
      </c>
      <c r="H239" s="56"/>
      <c r="I239" s="1"/>
    </row>
    <row r="240">
      <c r="A240" s="1"/>
      <c r="B240" s="66" t="s">
        <v>118</v>
      </c>
      <c r="C240" s="15">
        <f>C238-Inputs!G211</f>
        <v>-26</v>
      </c>
      <c r="D240" s="4">
        <f>D238-C238</f>
        <v>201</v>
      </c>
      <c r="E240" s="4"/>
      <c r="F240" s="4">
        <f>F238-D238</f>
        <v>-184</v>
      </c>
      <c r="G240" s="4">
        <f>G238-F238</f>
        <v>-96</v>
      </c>
      <c r="H240" s="33"/>
      <c r="I240" s="1"/>
    </row>
    <row r="241">
      <c r="A241" s="1"/>
      <c r="B241" s="43" t="s">
        <v>289</v>
      </c>
      <c r="C241" s="26">
        <v>309</v>
      </c>
      <c r="D241" s="26">
        <v>289</v>
      </c>
      <c r="E241" s="4">
        <f>D241</f>
        <v>289</v>
      </c>
      <c r="F241" s="26">
        <v>216</v>
      </c>
      <c r="G241" s="26">
        <v>262</v>
      </c>
      <c r="H241" s="33"/>
      <c r="I241" s="8" t="s">
        <v>243</v>
      </c>
    </row>
    <row r="242">
      <c r="A242" s="1"/>
      <c r="B242" s="65" t="s">
        <v>82</v>
      </c>
      <c r="C242" s="55">
        <f>IF(Inputs!C212*C241&gt;0,C241/Inputs!C212-1,"n/m")</f>
        <v>0.18846153846153846</v>
      </c>
      <c r="D242" s="55">
        <f>IF(Inputs!D212*D241&gt;0,D241/Inputs!D212-1,"n/m")</f>
        <v>-0.1347305389221557</v>
      </c>
      <c r="E242" s="55">
        <f>IF(Inputs!E212*E241&gt;0,E241/Inputs!E212-1,"n/m")</f>
        <v>-0.1347305389221557</v>
      </c>
      <c r="F242" s="55">
        <f>IF(Inputs!F212*F241&gt;0,F241/Inputs!F212-1,"n/m")</f>
        <v>-0.1462450592885376</v>
      </c>
      <c r="G242" s="55">
        <f>IF(Inputs!G212*G241&gt;0,G241/Inputs!G212-1,"n/m")</f>
        <v>-0.2383720930232558</v>
      </c>
      <c r="H242" s="56"/>
      <c r="I242" s="1"/>
    </row>
    <row r="243">
      <c r="A243" s="1"/>
      <c r="B243" s="66" t="s">
        <v>118</v>
      </c>
      <c r="C243" s="15">
        <f>C241-Inputs!G212</f>
        <v>-35</v>
      </c>
      <c r="D243" s="4">
        <f>D241-C241</f>
        <v>-20</v>
      </c>
      <c r="E243" s="4"/>
      <c r="F243" s="4">
        <f>F241-D241</f>
        <v>-73</v>
      </c>
      <c r="G243" s="4">
        <f>G241-F241</f>
        <v>46</v>
      </c>
      <c r="H243" s="33"/>
      <c r="I243" s="1"/>
    </row>
    <row r="244">
      <c r="A244" s="1"/>
      <c r="B244" s="43" t="s">
        <v>290</v>
      </c>
      <c r="C244" s="26">
        <v>598</v>
      </c>
      <c r="D244" s="26">
        <v>646</v>
      </c>
      <c r="E244" s="4">
        <f>D244</f>
        <v>646</v>
      </c>
      <c r="F244" s="26">
        <v>1007</v>
      </c>
      <c r="G244" s="26">
        <v>1052</v>
      </c>
      <c r="H244" s="33"/>
      <c r="I244" s="8" t="s">
        <v>243</v>
      </c>
    </row>
    <row r="245">
      <c r="A245" s="1"/>
      <c r="B245" s="65" t="s">
        <v>82</v>
      </c>
      <c r="C245" s="55">
        <f>IF(Inputs!C213*C244&gt;0,C244/Inputs!C213-1,"n/m")</f>
        <v>0.12195121951219523</v>
      </c>
      <c r="D245" s="55">
        <f>IF(Inputs!D213*D244&gt;0,D244/Inputs!D213-1,"n/m")</f>
        <v>0.13732394366197176</v>
      </c>
      <c r="E245" s="55">
        <f>IF(Inputs!E213*E244&gt;0,E244/Inputs!E213-1,"n/m")</f>
        <v>0.13732394366197176</v>
      </c>
      <c r="F245" s="55">
        <f>IF(Inputs!F213*F244&gt;0,F244/Inputs!F213-1,"n/m")</f>
        <v>0.8477064220183486</v>
      </c>
      <c r="G245" s="55">
        <f>IF(Inputs!G213*G244&gt;0,G244/Inputs!G213-1,"n/m")</f>
        <v>1.042718446601942</v>
      </c>
      <c r="H245" s="56"/>
      <c r="I245" s="1"/>
    </row>
    <row r="246">
      <c r="A246" s="1"/>
      <c r="B246" s="66" t="s">
        <v>118</v>
      </c>
      <c r="C246" s="15">
        <f>C244-Inputs!G213</f>
        <v>83</v>
      </c>
      <c r="D246" s="4">
        <f>D244-C244</f>
        <v>48</v>
      </c>
      <c r="E246" s="4"/>
      <c r="F246" s="4">
        <f>F244-D244</f>
        <v>361</v>
      </c>
      <c r="G246" s="4">
        <f>G244-F244</f>
        <v>45</v>
      </c>
      <c r="H246" s="33"/>
      <c r="I246" s="1"/>
    </row>
    <row r="247">
      <c r="A247" s="1"/>
      <c r="B247" s="43" t="s">
        <v>291</v>
      </c>
      <c r="C247" s="26">
        <v>269</v>
      </c>
      <c r="D247" s="26">
        <v>287</v>
      </c>
      <c r="E247" s="4">
        <f>D247</f>
        <v>287</v>
      </c>
      <c r="F247" s="26">
        <v>276</v>
      </c>
      <c r="G247" s="26">
        <v>256</v>
      </c>
      <c r="H247" s="33"/>
      <c r="I247" s="8" t="s">
        <v>243</v>
      </c>
    </row>
    <row r="248">
      <c r="A248" s="1"/>
      <c r="B248" s="65" t="s">
        <v>82</v>
      </c>
      <c r="C248" s="55">
        <f>IF(Inputs!C214*C247&gt;0,C247/Inputs!C214-1,"n/m")</f>
        <v>0.10245901639344268</v>
      </c>
      <c r="D248" s="55">
        <f>IF(Inputs!D214*D247&gt;0,D247/Inputs!D214-1,"n/m")</f>
        <v>0.16194331983805665</v>
      </c>
      <c r="E248" s="55">
        <f>IF(Inputs!E214*E247&gt;0,E247/Inputs!E214-1,"n/m")</f>
        <v>0.16194331983805665</v>
      </c>
      <c r="F248" s="55">
        <f>IF(Inputs!F214*F247&gt;0,F247/Inputs!F214-1,"n/m")</f>
        <v>0.07392996108949412</v>
      </c>
      <c r="G248" s="55">
        <f>IF(Inputs!G214*G247&gt;0,G247/Inputs!G214-1,"n/m")</f>
        <v>-0.03759398496240607</v>
      </c>
      <c r="H248" s="56"/>
      <c r="I248" s="1"/>
    </row>
    <row r="249">
      <c r="A249" s="1"/>
      <c r="B249" s="66" t="s">
        <v>118</v>
      </c>
      <c r="C249" s="15">
        <f>C247-Inputs!G214</f>
        <v>3</v>
      </c>
      <c r="D249" s="4">
        <f>D247-C247</f>
        <v>18</v>
      </c>
      <c r="E249" s="4"/>
      <c r="F249" s="4">
        <f>F247-D247</f>
        <v>-11</v>
      </c>
      <c r="G249" s="4">
        <f>G247-F247</f>
        <v>-20</v>
      </c>
      <c r="H249" s="33"/>
      <c r="I249" s="1"/>
    </row>
    <row r="250">
      <c r="A250" s="1"/>
      <c r="B250" s="43" t="s">
        <v>284</v>
      </c>
      <c r="C250" s="26">
        <v>203</v>
      </c>
      <c r="D250" s="26">
        <v>225</v>
      </c>
      <c r="E250" s="4">
        <f>D250</f>
        <v>225</v>
      </c>
      <c r="F250" s="26">
        <v>152</v>
      </c>
      <c r="G250" s="26">
        <v>150</v>
      </c>
      <c r="H250" s="33"/>
      <c r="I250" s="8" t="s">
        <v>243</v>
      </c>
    </row>
    <row r="251">
      <c r="A251" s="1"/>
      <c r="B251" s="65" t="s">
        <v>82</v>
      </c>
      <c r="C251" s="55">
        <f>IF(Inputs!C215*C250&gt;0,C250/Inputs!C215-1,"n/m")</f>
        <v>0.12154696132596676</v>
      </c>
      <c r="D251" s="55">
        <f>IF(Inputs!D215*D250&gt;0,D250/Inputs!D215-1,"n/m")</f>
        <v>0.11940298507462677</v>
      </c>
      <c r="E251" s="55">
        <f>IF(Inputs!E215*E250&gt;0,E250/Inputs!E215-1,"n/m")</f>
        <v>0.11940298507462677</v>
      </c>
      <c r="F251" s="55">
        <f>IF(Inputs!F215*F250&gt;0,F250/Inputs!F215-1,"n/m")</f>
        <v>-0.24</v>
      </c>
      <c r="G251" s="55">
        <f>IF(Inputs!G215*G250&gt;0,G250/Inputs!G215-1,"n/m")</f>
        <v>-0.33920704845814975</v>
      </c>
      <c r="H251" s="56"/>
      <c r="I251" s="1"/>
    </row>
    <row r="252">
      <c r="A252" s="1"/>
      <c r="B252" s="66" t="s">
        <v>118</v>
      </c>
      <c r="C252" s="15">
        <f>C250-Inputs!G215</f>
        <v>-24</v>
      </c>
      <c r="D252" s="4">
        <f>D250-C250</f>
        <v>22</v>
      </c>
      <c r="E252" s="4"/>
      <c r="F252" s="4">
        <f>F250-D250</f>
        <v>-73</v>
      </c>
      <c r="G252" s="4">
        <f>G250-F250</f>
        <v>-2</v>
      </c>
      <c r="H252" s="33"/>
      <c r="I252" s="1"/>
    </row>
    <row r="253">
      <c r="A253" s="1"/>
      <c r="B253" s="43" t="s">
        <v>285</v>
      </c>
      <c r="C253" s="26">
        <v>1169</v>
      </c>
      <c r="D253" s="26">
        <v>1141</v>
      </c>
      <c r="E253" s="4">
        <f>D253</f>
        <v>1141</v>
      </c>
      <c r="F253" s="26">
        <v>1088</v>
      </c>
      <c r="G253" s="26">
        <v>1148</v>
      </c>
      <c r="H253" s="33"/>
      <c r="I253" s="8" t="s">
        <v>243</v>
      </c>
    </row>
    <row r="254">
      <c r="A254" s="1"/>
      <c r="B254" s="65" t="s">
        <v>82</v>
      </c>
      <c r="C254" s="55">
        <f>IF(Inputs!C216*C253&gt;0,C253/Inputs!C216-1,"n/m")</f>
        <v>0.2292323869610935</v>
      </c>
      <c r="D254" s="55">
        <f>IF(Inputs!D216*D253&gt;0,D253/Inputs!D216-1,"n/m")</f>
        <v>0.06436567164179108</v>
      </c>
      <c r="E254" s="55">
        <f>IF(Inputs!E216*E253&gt;0,E253/Inputs!E216-1,"n/m")</f>
        <v>0.06436567164179108</v>
      </c>
      <c r="F254" s="55">
        <f>IF(Inputs!F216*F253&gt;0,F253/Inputs!F216-1,"n/m")</f>
        <v>-0.04895104895104896</v>
      </c>
      <c r="G254" s="55">
        <f>IF(Inputs!G216*G253&gt;0,G253/Inputs!G216-1,"n/m")</f>
        <v>-0.09606299212598424</v>
      </c>
      <c r="H254" s="56"/>
      <c r="I254" s="1"/>
    </row>
    <row r="255">
      <c r="A255" s="1"/>
      <c r="B255" s="66" t="s">
        <v>118</v>
      </c>
      <c r="C255" s="15">
        <f>C253-Inputs!G216</f>
        <v>-101</v>
      </c>
      <c r="D255" s="4">
        <f>D253-C253</f>
        <v>-28</v>
      </c>
      <c r="E255" s="4"/>
      <c r="F255" s="4">
        <f>F253-D253</f>
        <v>-53</v>
      </c>
      <c r="G255" s="4">
        <f>G253-F253</f>
        <v>60</v>
      </c>
      <c r="H255" s="33"/>
      <c r="I255" s="1"/>
    </row>
    <row r="256">
      <c r="A256" s="1"/>
      <c r="B256" s="43" t="s">
        <v>286</v>
      </c>
      <c r="C256" s="26">
        <v>347</v>
      </c>
      <c r="D256" s="26">
        <v>554</v>
      </c>
      <c r="E256" s="4">
        <f>D256</f>
        <v>554</v>
      </c>
      <c r="F256" s="26">
        <v>772</v>
      </c>
      <c r="G256" s="26">
        <v>936</v>
      </c>
      <c r="H256" s="33"/>
      <c r="I256" s="8" t="s">
        <v>243</v>
      </c>
    </row>
    <row r="257">
      <c r="A257" s="1"/>
      <c r="B257" s="65" t="s">
        <v>82</v>
      </c>
      <c r="C257" s="55">
        <f>IF(Inputs!C217*C256&gt;0,C256/Inputs!C217-1,"n/m")</f>
        <v>-0.3890845070422535</v>
      </c>
      <c r="D257" s="55">
        <f>IF(Inputs!D217*D256&gt;0,D256/Inputs!D217-1,"n/m")</f>
        <v>5.595238095238095</v>
      </c>
      <c r="E257" s="55">
        <f>IF(Inputs!E217*E256&gt;0,E256/Inputs!E217-1,"n/m")</f>
        <v>5.595238095238095</v>
      </c>
      <c r="F257" s="55">
        <f>IF(Inputs!F217*F256&gt;0,F256/Inputs!F217-1,"n/m")</f>
        <v>2.1129032258064515</v>
      </c>
      <c r="G257" s="55">
        <f>IF(Inputs!G217*G256&gt;0,G256/Inputs!G217-1,"n/m")</f>
        <v>2.789473684210526</v>
      </c>
      <c r="H257" s="56"/>
      <c r="I257" s="1"/>
    </row>
    <row r="258">
      <c r="A258" s="1"/>
      <c r="B258" s="66" t="s">
        <v>118</v>
      </c>
      <c r="C258" s="15">
        <f>C256-Inputs!G217</f>
        <v>100</v>
      </c>
      <c r="D258" s="4">
        <f>D256-C256</f>
        <v>207</v>
      </c>
      <c r="E258" s="4"/>
      <c r="F258" s="4">
        <f>F256-D256</f>
        <v>218</v>
      </c>
      <c r="G258" s="4">
        <f>G256-F256</f>
        <v>164</v>
      </c>
      <c r="H258" s="33"/>
      <c r="I258" s="1"/>
    </row>
    <row r="259">
      <c r="A259" s="1"/>
      <c r="B259" s="43" t="s">
        <v>292</v>
      </c>
      <c r="C259" s="26">
        <v>240</v>
      </c>
      <c r="D259" s="26">
        <v>216</v>
      </c>
      <c r="E259" s="4">
        <f>D259</f>
        <v>216</v>
      </c>
      <c r="F259" s="26">
        <v>228</v>
      </c>
      <c r="G259" s="26">
        <v>253</v>
      </c>
      <c r="H259" s="33"/>
      <c r="I259" s="8" t="s">
        <v>243</v>
      </c>
    </row>
    <row r="260">
      <c r="A260" s="1"/>
      <c r="B260" s="65" t="s">
        <v>82</v>
      </c>
      <c r="C260" s="55">
        <f>IF(Inputs!C218*C259&gt;0,C259/Inputs!C218-1,"n/m")</f>
        <v>0.6551724137931034</v>
      </c>
      <c r="D260" s="55">
        <f>IF(Inputs!D218*D259&gt;0,D259/Inputs!D218-1,"n/m")</f>
        <v>0.09644670050761417</v>
      </c>
      <c r="E260" s="55">
        <f>IF(Inputs!E218*E259&gt;0,E259/Inputs!E218-1,"n/m")</f>
        <v>0.09644670050761417</v>
      </c>
      <c r="F260" s="55">
        <f>IF(Inputs!F218*F259&gt;0,F259/Inputs!F218-1,"n/m")</f>
        <v>0.06542056074766345</v>
      </c>
      <c r="G260" s="55">
        <f>IF(Inputs!G218*G259&gt;0,G259/Inputs!G218-1,"n/m")</f>
        <v>0.05857740585774063</v>
      </c>
      <c r="H260" s="56"/>
      <c r="I260" s="1"/>
    </row>
    <row r="261">
      <c r="A261" s="1"/>
      <c r="B261" s="66" t="s">
        <v>118</v>
      </c>
      <c r="C261" s="15">
        <f>C259-Inputs!G218</f>
        <v>1</v>
      </c>
      <c r="D261" s="4">
        <f>D259-C259</f>
        <v>-24</v>
      </c>
      <c r="E261" s="4"/>
      <c r="F261" s="4">
        <f>F259-D259</f>
        <v>12</v>
      </c>
      <c r="G261" s="4">
        <f>G259-F259</f>
        <v>25</v>
      </c>
      <c r="H261" s="33"/>
      <c r="I261" s="1"/>
    </row>
    <row r="262">
      <c r="A262" s="1"/>
      <c r="B262" s="43" t="s">
        <v>293</v>
      </c>
      <c r="C262" s="26">
        <v>250</v>
      </c>
      <c r="D262" s="26">
        <v>246</v>
      </c>
      <c r="E262" s="4">
        <f>D262</f>
        <v>246</v>
      </c>
      <c r="F262" s="26">
        <v>257</v>
      </c>
      <c r="G262" s="26">
        <v>262</v>
      </c>
      <c r="H262" s="33"/>
      <c r="I262" s="8" t="s">
        <v>243</v>
      </c>
    </row>
    <row r="263">
      <c r="A263" s="1"/>
      <c r="B263" s="65" t="s">
        <v>82</v>
      </c>
      <c r="C263" s="55">
        <f>IF(Inputs!C219*C262&gt;0,C262/Inputs!C219-1,"n/m")</f>
        <v>0.04166666666666674</v>
      </c>
      <c r="D263" s="55">
        <f>IF(Inputs!D219*D262&gt;0,D262/Inputs!D219-1,"n/m")</f>
        <v>0.07423580786026207</v>
      </c>
      <c r="E263" s="55">
        <f>IF(Inputs!E219*E262&gt;0,E262/Inputs!E219-1,"n/m")</f>
        <v>0.07423580786026207</v>
      </c>
      <c r="F263" s="55">
        <f>IF(Inputs!F219*F262&gt;0,F262/Inputs!F219-1,"n/m")</f>
        <v>0.07983193277310918</v>
      </c>
      <c r="G263" s="55">
        <f>IF(Inputs!G219*G262&gt;0,G262/Inputs!G219-1,"n/m")</f>
        <v>0.11016949152542366</v>
      </c>
      <c r="H263" s="56"/>
      <c r="I263" s="1"/>
    </row>
    <row r="264">
      <c r="A264" s="1"/>
      <c r="B264" s="66" t="s">
        <v>118</v>
      </c>
      <c r="C264" s="15">
        <f>C262-Inputs!G219</f>
        <v>14</v>
      </c>
      <c r="D264" s="4">
        <f>D262-C262</f>
        <v>-4</v>
      </c>
      <c r="E264" s="4"/>
      <c r="F264" s="4">
        <f>F262-D262</f>
        <v>11</v>
      </c>
      <c r="G264" s="4">
        <f>G262-F262</f>
        <v>5</v>
      </c>
      <c r="H264" s="33"/>
      <c r="I264" s="1"/>
    </row>
    <row r="265">
      <c r="A265" s="1"/>
      <c r="B265" s="54" t="s">
        <v>248</v>
      </c>
      <c r="C265" s="32">
        <f>C238+C241+C244+C247+C250+C253+C256+C259+C262</f>
        <v>5228</v>
      </c>
      <c r="D265" s="32">
        <f>D238+D241+D244+D247+D250+D253+D256+D259+D262</f>
        <v>5648</v>
      </c>
      <c r="E265" s="32">
        <f>E238+E241+E244+E247+E250+E253+E256+E259+E262</f>
        <v>5648</v>
      </c>
      <c r="F265" s="32">
        <f>F238+F241+F244+F247+F250+F253+F256+F259+F262</f>
        <v>5856</v>
      </c>
      <c r="G265" s="32">
        <f>G238+G241+G244+G247+G250+G253+G256+G259+G262</f>
        <v>6083</v>
      </c>
      <c r="H265" s="44"/>
      <c r="I265" s="1"/>
    </row>
    <row r="266">
      <c r="A266" s="1"/>
      <c r="B266" s="43" t="s">
        <v>249</v>
      </c>
      <c r="C266" s="26">
        <v>5228</v>
      </c>
      <c r="D266" s="26">
        <v>5648</v>
      </c>
      <c r="E266" s="4">
        <f>D266</f>
        <v>5648</v>
      </c>
      <c r="F266" s="26">
        <v>5855</v>
      </c>
      <c r="G266" s="26">
        <v>6081</v>
      </c>
      <c r="H266" s="33"/>
      <c r="I266" s="1"/>
    </row>
    <row r="267">
      <c r="A267" s="1"/>
      <c r="B267" s="43" t="s">
        <v>250</v>
      </c>
      <c r="C267" s="4">
        <f>IF(ABS(C265-C266)&lt;=2,0,C265-C266)</f>
        <v>0</v>
      </c>
      <c r="D267" s="4">
        <f>IF(ABS(D265-D266)&lt;=2,0,D265-D266)</f>
        <v>0</v>
      </c>
      <c r="E267" s="4">
        <f>IF(ABS(E265-E266)&lt;=2,0,E265-E266)</f>
        <v>0</v>
      </c>
      <c r="F267" s="4">
        <f>IF(ABS(F265-F266)&lt;=2,0,F265-F266)</f>
        <v>0</v>
      </c>
      <c r="G267" s="4">
        <f>IF(ABS(G265-G266)&lt;=2,0,G265-G266)</f>
        <v>0</v>
      </c>
      <c r="H267" s="33"/>
      <c r="I267" s="8" t="s">
        <v>251</v>
      </c>
    </row>
    <row r="268">
      <c r="A268" s="1"/>
      <c r="B268" s="1"/>
      <c r="C268" s="3"/>
      <c r="D268" s="3"/>
      <c r="E268" s="3"/>
      <c r="F268" s="3"/>
      <c r="G268" s="3"/>
      <c r="H268" s="37"/>
      <c r="I268" s="1"/>
    </row>
    <row r="269">
      <c r="A269" s="1"/>
      <c r="B269" s="14" t="s">
        <v>252</v>
      </c>
      <c r="C269" s="4"/>
      <c r="D269" s="4"/>
      <c r="E269" s="4"/>
      <c r="F269" s="4"/>
      <c r="G269" s="4"/>
      <c r="H269" s="33"/>
      <c r="I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90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2" t="s">
        <v>0</v>
      </c>
      <c r="C2" s="6"/>
      <c r="D2" s="6"/>
      <c r="E2" s="6"/>
      <c r="F2" s="6"/>
      <c r="G2" s="6"/>
      <c r="H2" s="6"/>
      <c r="I2" s="1"/>
    </row>
    <row r="3">
      <c r="A3" s="1"/>
      <c r="B3" s="2" t="s">
        <v>294</v>
      </c>
      <c r="C3" s="6"/>
      <c r="D3" s="6"/>
      <c r="E3" s="6"/>
      <c r="F3" s="6"/>
      <c r="G3" s="6"/>
      <c r="H3" s="6"/>
      <c r="I3" s="1"/>
    </row>
    <row r="4">
      <c r="A4" s="1"/>
      <c r="B4" s="1" t="s">
        <v>2</v>
      </c>
      <c r="C4" s="6"/>
      <c r="D4" s="6"/>
      <c r="E4" s="6"/>
      <c r="F4" s="6"/>
      <c r="G4" s="6"/>
      <c r="H4" s="6"/>
      <c r="I4" s="1"/>
    </row>
    <row r="5">
      <c r="A5" s="1"/>
      <c r="B5" s="29" t="s">
        <v>71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42" t="s">
        <v>4</v>
      </c>
    </row>
    <row r="6">
      <c r="A6" s="1"/>
      <c r="B6" s="19" t="s">
        <v>78</v>
      </c>
      <c r="C6" s="12">
        <v>45930</v>
      </c>
      <c r="D6" s="12">
        <v>46022</v>
      </c>
      <c r="E6" s="12">
        <v>46022</v>
      </c>
      <c r="F6" s="12">
        <v>46112</v>
      </c>
      <c r="G6" s="12">
        <v>46203</v>
      </c>
      <c r="H6" s="12">
        <v>46295</v>
      </c>
      <c r="I6" s="19"/>
    </row>
    <row r="7">
      <c r="A7" s="1"/>
      <c r="B7" s="27" t="s">
        <v>79</v>
      </c>
      <c r="C7" s="20">
        <v>92</v>
      </c>
      <c r="D7" s="20">
        <v>92</v>
      </c>
      <c r="E7" s="20">
        <v>365</v>
      </c>
      <c r="F7" s="20">
        <v>90</v>
      </c>
      <c r="G7" s="20">
        <v>91</v>
      </c>
      <c r="H7" s="20">
        <v>92</v>
      </c>
      <c r="I7" s="27"/>
    </row>
    <row r="8">
      <c r="A8" s="1"/>
      <c r="B8" s="1"/>
      <c r="C8" s="3"/>
      <c r="D8" s="3"/>
      <c r="E8" s="3"/>
      <c r="F8" s="3"/>
      <c r="G8" s="3"/>
      <c r="H8" s="37"/>
      <c r="I8" s="1"/>
    </row>
    <row r="9">
      <c r="A9" s="1"/>
      <c r="B9" s="2" t="s">
        <v>144</v>
      </c>
      <c r="C9" s="4"/>
      <c r="D9" s="4"/>
      <c r="E9" s="4"/>
      <c r="F9" s="4"/>
      <c r="G9" s="4"/>
      <c r="H9" s="33"/>
      <c r="I9" s="1"/>
    </row>
    <row r="10">
      <c r="A10" s="1"/>
      <c r="B10" s="31" t="s">
        <v>145</v>
      </c>
      <c r="C10" s="15">
        <f>Inputs!G220</f>
        <v>288931</v>
      </c>
      <c r="D10" s="4">
        <f>C26</f>
        <v>305193</v>
      </c>
      <c r="E10" s="15">
        <f>Inputs!D220</f>
        <v>264618</v>
      </c>
      <c r="F10" s="4">
        <f>D26</f>
        <v>315640</v>
      </c>
      <c r="G10" s="4">
        <f>F26</f>
        <v>313255</v>
      </c>
      <c r="H10" s="33">
        <f>G26</f>
        <v>318241</v>
      </c>
      <c r="I10" s="8" t="s">
        <v>146</v>
      </c>
    </row>
    <row r="11">
      <c r="A11" s="1"/>
      <c r="B11" s="43" t="s">
        <v>147</v>
      </c>
      <c r="C11" s="26">
        <v>23254</v>
      </c>
      <c r="D11" s="26">
        <v>24046</v>
      </c>
      <c r="E11" s="15">
        <f>Inputs!F222+Inputs!G222+C11+D11</f>
        <v>91521</v>
      </c>
      <c r="F11" s="26">
        <v>14712</v>
      </c>
      <c r="G11" s="26">
        <v>17225</v>
      </c>
      <c r="H11" s="60">
        <v>18000</v>
      </c>
      <c r="I11" s="8" t="s">
        <v>148</v>
      </c>
    </row>
    <row r="12">
      <c r="A12" s="1"/>
      <c r="B12" s="65" t="s">
        <v>82</v>
      </c>
      <c r="C12" s="55">
        <f>IF(Inputs!C222*C11&gt;0,C11/Inputs!C222-1,"n/m")</f>
        <v>0.49601132269686055</v>
      </c>
      <c r="D12" s="55">
        <f>IF(Inputs!D222*D11&gt;0,D11/Inputs!D222-1,"n/m")</f>
        <v>0.05132913606155998</v>
      </c>
      <c r="E12" s="55">
        <f>IF(Inputs!E222*E11&gt;0,E11/Inputs!E222-1,"n/m")</f>
        <v>0.27947714245771005</v>
      </c>
      <c r="F12" s="55">
        <f>IF(Inputs!F222*F11&gt;0,F11/Inputs!F222-1,"n/m")</f>
        <v>-0.2789649088414037</v>
      </c>
      <c r="G12" s="55">
        <f>IF(Inputs!G222*G11&gt;0,G11/Inputs!G222-1,"n/m")</f>
        <v>-0.2767770919931142</v>
      </c>
      <c r="H12" s="56">
        <f>IF(C11*H11&gt;0,H11/C11-1,"n/m")</f>
        <v>-0.22593962329061668</v>
      </c>
      <c r="I12" s="1"/>
    </row>
    <row r="13">
      <c r="A13" s="1"/>
      <c r="B13" s="66" t="s">
        <v>118</v>
      </c>
      <c r="C13" s="15">
        <f>C11-Inputs!G222</f>
        <v>-563</v>
      </c>
      <c r="D13" s="4">
        <f>D11-C11</f>
        <v>792</v>
      </c>
      <c r="E13" s="4"/>
      <c r="F13" s="4">
        <f>F11-D11</f>
        <v>-9334</v>
      </c>
      <c r="G13" s="4">
        <f>G11-F11</f>
        <v>2513</v>
      </c>
      <c r="H13" s="33">
        <f>H11-G11</f>
        <v>775</v>
      </c>
      <c r="I13" s="1"/>
    </row>
    <row r="14">
      <c r="A14" s="1"/>
      <c r="B14" s="43" t="s">
        <v>149</v>
      </c>
      <c r="C14" s="26">
        <v>-744</v>
      </c>
      <c r="D14" s="26">
        <v>-5452</v>
      </c>
      <c r="E14" s="15">
        <f>Inputs!F223+Inputs!G223+C14+D14</f>
        <v>-16999</v>
      </c>
      <c r="F14" s="26">
        <v>-7929</v>
      </c>
      <c r="G14" s="26">
        <v>-5256</v>
      </c>
      <c r="H14" s="33">
        <f>-H10*H34</f>
        <v>-5728.338</v>
      </c>
      <c r="I14" s="8" t="s">
        <v>150</v>
      </c>
    </row>
    <row r="15">
      <c r="A15" s="1"/>
      <c r="B15" s="65" t="s">
        <v>82</v>
      </c>
      <c r="C15" s="55" t="str">
        <f>IF(Inputs!C223*C14&gt;0,C14/Inputs!C223-1,"n/m")</f>
        <v>n/m</v>
      </c>
      <c r="D15" s="55">
        <f>IF(Inputs!D223*D14&gt;0,D14/Inputs!D223-1,"n/m")</f>
        <v>0.7307936507936508</v>
      </c>
      <c r="E15" s="55">
        <f>IF(Inputs!E223*E14&gt;0,E14/Inputs!E223-1,"n/m")</f>
        <v>1.6594180225281603</v>
      </c>
      <c r="F15" s="55">
        <f>IF(Inputs!F223*F14&gt;0,F14/Inputs!F223-1,"n/m")</f>
        <v>0.6083164300202839</v>
      </c>
      <c r="G15" s="55">
        <f>IF(Inputs!G223*G14&gt;0,G14/Inputs!G223-1,"n/m")</f>
        <v>-0.10505704069470456</v>
      </c>
      <c r="H15" s="56">
        <f>IF(C14*H14&gt;0,H14/C14-1,"n/m")</f>
        <v>6.699379032258064</v>
      </c>
      <c r="I15" s="1"/>
    </row>
    <row r="16">
      <c r="A16" s="1"/>
      <c r="B16" s="66" t="s">
        <v>118</v>
      </c>
      <c r="C16" s="15">
        <f>C14-Inputs!G223</f>
        <v>5129</v>
      </c>
      <c r="D16" s="4">
        <f>D14-C14</f>
        <v>-4708</v>
      </c>
      <c r="E16" s="4"/>
      <c r="F16" s="4">
        <f>F14-D14</f>
        <v>-2477</v>
      </c>
      <c r="G16" s="4">
        <f>G14-F14</f>
        <v>2673</v>
      </c>
      <c r="H16" s="33">
        <f>H14-G14</f>
        <v>-472.33799999999974</v>
      </c>
      <c r="I16" s="1"/>
    </row>
    <row r="17">
      <c r="A17" s="1"/>
      <c r="B17" s="73" t="s">
        <v>151</v>
      </c>
      <c r="C17" s="32">
        <f>C11+C14</f>
        <v>22510</v>
      </c>
      <c r="D17" s="32">
        <f>D11+D14</f>
        <v>18594</v>
      </c>
      <c r="E17" s="32">
        <f>E11+E14</f>
        <v>74522</v>
      </c>
      <c r="F17" s="32">
        <f>F11+F14</f>
        <v>6783</v>
      </c>
      <c r="G17" s="32">
        <f>G11+G14</f>
        <v>11969</v>
      </c>
      <c r="H17" s="44">
        <f>H11+H14</f>
        <v>12271.662</v>
      </c>
      <c r="I17" s="1"/>
    </row>
    <row r="18">
      <c r="A18" s="1"/>
      <c r="B18" s="65" t="s">
        <v>82</v>
      </c>
      <c r="C18" s="55">
        <f>IF(Inputs!C224*C17&gt;0,C17/Inputs!C224-1,"n/m")</f>
        <v>0.3460503498176164</v>
      </c>
      <c r="D18" s="55">
        <f>IF(Inputs!D224*D17&gt;0,D17/Inputs!D224-1,"n/m")</f>
        <v>-0.05719501064800725</v>
      </c>
      <c r="E18" s="55">
        <f>IF(Inputs!E224*E17&gt;0,E17/Inputs!E224-1,"n/m")</f>
        <v>0.1440633731462433</v>
      </c>
      <c r="F18" s="55">
        <f>IF(Inputs!F224*F17&gt;0,F17/Inputs!F224-1,"n/m")</f>
        <v>-0.5616518030244281</v>
      </c>
      <c r="G18" s="55">
        <f>IF(Inputs!G224*G17&gt;0,G17/Inputs!G224-1,"n/m")</f>
        <v>-0.3329803834150691</v>
      </c>
      <c r="H18" s="56">
        <f>IF(C17*H17&gt;0,H17/C17-1,"n/m")</f>
        <v>-0.4548350955131053</v>
      </c>
      <c r="I18" s="1"/>
    </row>
    <row r="19">
      <c r="A19" s="1"/>
      <c r="B19" s="66" t="s">
        <v>118</v>
      </c>
      <c r="C19" s="15">
        <f>C17-Inputs!G224</f>
        <v>4566</v>
      </c>
      <c r="D19" s="4">
        <f>D17-C17</f>
        <v>-3916</v>
      </c>
      <c r="E19" s="4"/>
      <c r="F19" s="4">
        <f>F17-D17</f>
        <v>-11811</v>
      </c>
      <c r="G19" s="4">
        <f>G17-F17</f>
        <v>5186</v>
      </c>
      <c r="H19" s="33">
        <f>H17-G17</f>
        <v>302.66200000000026</v>
      </c>
      <c r="I19" s="1"/>
    </row>
    <row r="20">
      <c r="A20" s="1"/>
      <c r="B20" s="43" t="s">
        <v>152</v>
      </c>
      <c r="C20" s="26">
        <v>-9119</v>
      </c>
      <c r="D20" s="26">
        <v>-9769</v>
      </c>
      <c r="E20" s="15">
        <f>Inputs!F225+Inputs!G225+C20+D20</f>
        <v>-33745</v>
      </c>
      <c r="F20" s="26">
        <v>-9189</v>
      </c>
      <c r="G20" s="26">
        <v>-8037</v>
      </c>
      <c r="H20" s="60">
        <v>-8800</v>
      </c>
      <c r="I20" s="8" t="s">
        <v>295</v>
      </c>
    </row>
    <row r="21">
      <c r="A21" s="1"/>
      <c r="B21" s="65" t="s">
        <v>82</v>
      </c>
      <c r="C21" s="55">
        <f>IF(Inputs!C225*C20&gt;0,C20/Inputs!C225-1,"n/m")</f>
        <v>0.26917188587334717</v>
      </c>
      <c r="D21" s="55">
        <f>IF(Inputs!D225*D20&gt;0,D20/Inputs!D225-1,"n/m")</f>
        <v>0.9747321609055994</v>
      </c>
      <c r="E21" s="55">
        <f>IF(Inputs!E225*E20&gt;0,E20/Inputs!E225-1,"n/m")</f>
        <v>0.4154781879194631</v>
      </c>
      <c r="F21" s="55">
        <f>IF(Inputs!F225*F20&gt;0,F20/Inputs!F225-1,"n/m")</f>
        <v>0.17042414978983578</v>
      </c>
      <c r="G21" s="55">
        <f>IF(Inputs!G225*G20&gt;0,G20/Inputs!G225-1,"n/m")</f>
        <v>0.14715957750499564</v>
      </c>
      <c r="H21" s="56">
        <f>IF(C20*H20&gt;0,H20/C20-1,"n/m")</f>
        <v>-0.0349819059107358</v>
      </c>
      <c r="I21" s="1"/>
    </row>
    <row r="22">
      <c r="A22" s="1"/>
      <c r="B22" s="66" t="s">
        <v>118</v>
      </c>
      <c r="C22" s="15">
        <f>C20-Inputs!G225</f>
        <v>-2113</v>
      </c>
      <c r="D22" s="4">
        <f>D20-C20</f>
        <v>-650</v>
      </c>
      <c r="E22" s="4"/>
      <c r="F22" s="4">
        <f>F20-D20</f>
        <v>580</v>
      </c>
      <c r="G22" s="4">
        <f>G20-F20</f>
        <v>1152</v>
      </c>
      <c r="H22" s="33">
        <f>H20-G20</f>
        <v>-763</v>
      </c>
      <c r="I22" s="1"/>
    </row>
    <row r="23">
      <c r="A23" s="1"/>
      <c r="B23" s="43" t="s">
        <v>154</v>
      </c>
      <c r="C23" s="26">
        <v>2871</v>
      </c>
      <c r="D23" s="26">
        <v>1622</v>
      </c>
      <c r="E23" s="15">
        <f>Inputs!F226+Inputs!G226+C23+D23</f>
        <v>10246</v>
      </c>
      <c r="F23" s="26">
        <v>21</v>
      </c>
      <c r="G23" s="26">
        <v>1054</v>
      </c>
      <c r="H23" s="60">
        <v>800</v>
      </c>
      <c r="I23" s="8" t="s">
        <v>155</v>
      </c>
    </row>
    <row r="24">
      <c r="A24" s="1"/>
      <c r="B24" s="65" t="s">
        <v>82</v>
      </c>
      <c r="C24" s="55">
        <f>IF(Inputs!C226*C23&gt;0,C23/Inputs!C226-1,"n/m")</f>
        <v>-0.394814502529511</v>
      </c>
      <c r="D24" s="55" t="str">
        <f>IF(Inputs!D226*D23&gt;0,D23/Inputs!D226-1,"n/m")</f>
        <v>n/m</v>
      </c>
      <c r="E24" s="55">
        <f>IF(Inputs!E226*E23&gt;0,E23/Inputs!E226-1,"n/m")</f>
        <v>0.9968816994737868</v>
      </c>
      <c r="F24" s="55">
        <f>IF(Inputs!F226*F23&gt;0,F23/Inputs!F226-1,"n/m")</f>
        <v>-0.9888297872340426</v>
      </c>
      <c r="G24" s="55">
        <f>IF(Inputs!G226*G23&gt;0,G23/Inputs!G226-1,"n/m")</f>
        <v>-0.7278595404079524</v>
      </c>
      <c r="H24" s="56">
        <f>IF(C23*H23&gt;0,H23/C23-1,"n/m")</f>
        <v>-0.7213514454893766</v>
      </c>
      <c r="I24" s="1"/>
    </row>
    <row r="25">
      <c r="A25" s="1"/>
      <c r="B25" s="66" t="s">
        <v>118</v>
      </c>
      <c r="C25" s="15">
        <f>C23-Inputs!G226</f>
        <v>-1002</v>
      </c>
      <c r="D25" s="4">
        <f>D23-C23</f>
        <v>-1249</v>
      </c>
      <c r="E25" s="4"/>
      <c r="F25" s="4">
        <f>F23-D23</f>
        <v>-1601</v>
      </c>
      <c r="G25" s="4">
        <f>G23-F23</f>
        <v>1033</v>
      </c>
      <c r="H25" s="33">
        <f>H23-G23</f>
        <v>-254</v>
      </c>
      <c r="I25" s="1"/>
    </row>
    <row r="26">
      <c r="A26" s="1"/>
      <c r="B26" s="54" t="s">
        <v>156</v>
      </c>
      <c r="C26" s="32">
        <f>C10+C17+C20+C23</f>
        <v>305193</v>
      </c>
      <c r="D26" s="32">
        <f>D10+D17+D20+D23</f>
        <v>315640</v>
      </c>
      <c r="E26" s="32">
        <f>E10+E17+E20+E23</f>
        <v>315641</v>
      </c>
      <c r="F26" s="32">
        <f>F10+F17+F20+F23</f>
        <v>313255</v>
      </c>
      <c r="G26" s="32">
        <f>G10+G17+G20+G23</f>
        <v>318241</v>
      </c>
      <c r="H26" s="44">
        <f>H10+H17+H20+H23</f>
        <v>322512.662</v>
      </c>
      <c r="I26" s="112" t="str">
        <f>"FY25 (E26) = derived annual rollforward (4Q24 closing + sum of four rounded quarterly flows), not reset to the 4Q25 quarterly-rollforward closing (D26); rounding residual E26-D26 = "&amp;TEXT(E26-D26,"+#,##0;-#,##0;0")&amp;"m; reported 12/31/25 stock in E29"</f>
        <v>FY25 (E26) = derived annual rollforward (4Q24 closing + sum of four rounded quarterly flows), not reset to the 4Q25 quarterly-rollforward closing (D26); rounding residual E26-D26 = +1m; reported 12/31/25 stock in E29</v>
      </c>
    </row>
    <row r="27">
      <c r="A27" s="1"/>
      <c r="B27" s="61" t="s">
        <v>82</v>
      </c>
      <c r="C27" s="55">
        <f>IF(Inputs!C220*C26&gt;0,C26/Inputs!C220-1,"n/m")</f>
        <v>0.2131678638295167</v>
      </c>
      <c r="D27" s="55">
        <f>IF(Inputs!D220*D26&gt;0,D26/Inputs!D220-1,"n/m")</f>
        <v>0.19281379195670745</v>
      </c>
      <c r="E27" s="55">
        <f>IF(Inputs!E220*E26&gt;0,E26/Inputs!E220-1,"n/m")</f>
        <v>0.192817570989124</v>
      </c>
      <c r="F27" s="55">
        <f>IF(Inputs!F220*F26&gt;0,F26/Inputs!F220-1,"n/m")</f>
        <v>0.1427659419232452</v>
      </c>
      <c r="G27" s="55">
        <f>IF(Inputs!G220*G26&gt;0,G26/Inputs!G220-1,"n/m")</f>
        <v>0.10144290505345577</v>
      </c>
      <c r="H27" s="56">
        <f>IF(C26*H26&gt;0,H26/C26-1,"n/m")</f>
        <v>0.056749866477933564</v>
      </c>
      <c r="I27" s="1"/>
    </row>
    <row r="28">
      <c r="A28" s="1"/>
      <c r="B28" s="43" t="s">
        <v>118</v>
      </c>
      <c r="C28" s="15">
        <f>C26-Inputs!G220</f>
        <v>16262</v>
      </c>
      <c r="D28" s="4">
        <f>D26-C26</f>
        <v>10447</v>
      </c>
      <c r="E28" s="4"/>
      <c r="F28" s="4">
        <f>F26-D26</f>
        <v>-2385</v>
      </c>
      <c r="G28" s="4">
        <f>G26-F26</f>
        <v>4986</v>
      </c>
      <c r="H28" s="33">
        <f>H26-G26</f>
        <v>4271.662000000011</v>
      </c>
      <c r="I28" s="1"/>
    </row>
    <row r="29">
      <c r="A29" s="1"/>
      <c r="B29" s="43" t="s">
        <v>157</v>
      </c>
      <c r="C29" s="26">
        <v>305193.225</v>
      </c>
      <c r="D29" s="26">
        <v>315640.583</v>
      </c>
      <c r="E29" s="4">
        <f>D29</f>
        <v>315640.583</v>
      </c>
      <c r="F29" s="26">
        <v>313255.195</v>
      </c>
      <c r="G29" s="26">
        <v>318240.694</v>
      </c>
      <c r="H29" s="33"/>
      <c r="I29" s="8" t="s">
        <v>158</v>
      </c>
    </row>
    <row r="30">
      <c r="A30" s="1"/>
      <c r="B30" s="43" t="s">
        <v>159</v>
      </c>
      <c r="C30" s="4">
        <f>IF(ABS(C26-C29)&lt;=5,0,C26-C29)</f>
        <v>0</v>
      </c>
      <c r="D30" s="4">
        <f>IF(ABS(D26-D29)&lt;=5,0,D26-D29)</f>
        <v>0</v>
      </c>
      <c r="E30" s="4">
        <f>IF(ABS(E26-E29)&lt;=5,0,E26-E29)</f>
        <v>0</v>
      </c>
      <c r="F30" s="4">
        <f>IF(ABS(F26-F29)&lt;=5,0,F26-F29)</f>
        <v>0</v>
      </c>
      <c r="G30" s="4">
        <f>IF(ABS(G26-G29)&lt;=5,0,G26-G29)</f>
        <v>0</v>
      </c>
      <c r="H30" s="33"/>
      <c r="I30" s="8" t="s">
        <v>160</v>
      </c>
    </row>
    <row r="31">
      <c r="A31" s="1"/>
      <c r="B31" s="31" t="s">
        <v>161</v>
      </c>
      <c r="C31" s="26">
        <v>297062.231</v>
      </c>
      <c r="D31" s="26">
        <v>310416.904</v>
      </c>
      <c r="E31" s="26">
        <v>289700.586</v>
      </c>
      <c r="F31" s="26">
        <v>314447.889</v>
      </c>
      <c r="G31" s="26">
        <v>315747.945</v>
      </c>
      <c r="H31" s="33">
        <f>AVERAGE(H10,H26)</f>
        <v>320376.831</v>
      </c>
      <c r="I31" s="8" t="s">
        <v>162</v>
      </c>
    </row>
    <row r="32">
      <c r="A32" s="1"/>
      <c r="B32" s="61" t="s">
        <v>82</v>
      </c>
      <c r="C32" s="55">
        <f>IF(Inputs!C227*C31&gt;0,C31/Inputs!C227-1,"n/m")</f>
        <v>0.21534385334152573</v>
      </c>
      <c r="D32" s="55">
        <f>IF(Inputs!D227*D31&gt;0,D31/Inputs!D227-1,"n/m")</f>
        <v>0.20273510471507517</v>
      </c>
      <c r="E32" s="55">
        <f>IF(Inputs!E227*E31&gt;0,E31/Inputs!E227-1,"n/m")</f>
        <v>0.2060701935429421</v>
      </c>
      <c r="F32" s="55">
        <f>IF(Inputs!F227*F31&gt;0,F31/Inputs!F227-1,"n/m")</f>
        <v>0.16735019820009467</v>
      </c>
      <c r="G32" s="55">
        <f>IF(Inputs!G227*G31&gt;0,G31/Inputs!G227-1,"n/m")</f>
        <v>0.12155960949096878</v>
      </c>
      <c r="H32" s="56">
        <f>IF(C31*H31&gt;0,H31/C31-1,"n/m")</f>
        <v>0.07848389181457405</v>
      </c>
      <c r="I32" s="1"/>
    </row>
    <row r="33">
      <c r="A33" s="1"/>
      <c r="B33" s="43" t="s">
        <v>118</v>
      </c>
      <c r="C33" s="15">
        <f>C31-Inputs!G227</f>
        <v>15536.450000000012</v>
      </c>
      <c r="D33" s="4">
        <f>D31-C31</f>
        <v>13354.672999999952</v>
      </c>
      <c r="E33" s="4"/>
      <c r="F33" s="4">
        <f>F31-D31</f>
        <v>4030.9850000000442</v>
      </c>
      <c r="G33" s="4">
        <f>G31-F31</f>
        <v>1300.0559999999823</v>
      </c>
      <c r="H33" s="33">
        <f>H31-G31</f>
        <v>4628.885999999999</v>
      </c>
      <c r="I33" s="1"/>
    </row>
    <row r="34">
      <c r="A34" s="1"/>
      <c r="B34" s="40" t="s">
        <v>163</v>
      </c>
      <c r="C34" s="58">
        <f>-C14/C10</f>
        <v>0.002575009258265814</v>
      </c>
      <c r="D34" s="58">
        <f>-D14/D10</f>
        <v>0.017864105664284567</v>
      </c>
      <c r="E34" s="58">
        <f>-E14/E10</f>
        <v>0.06423977204876463</v>
      </c>
      <c r="F34" s="58">
        <f>-F14/F10</f>
        <v>0.025120390318083892</v>
      </c>
      <c r="G34" s="58">
        <f>-G14/G10</f>
        <v>0.016778662750794083</v>
      </c>
      <c r="H34" s="71">
        <v>0.018</v>
      </c>
      <c r="I34" s="8" t="s">
        <v>164</v>
      </c>
    </row>
    <row r="35">
      <c r="A35" s="1"/>
      <c r="B35" s="43" t="s">
        <v>121</v>
      </c>
      <c r="C35" s="57">
        <f>IFERROR((C34-(-Inputs!G223/Inputs!G221))*10000,"n/m")</f>
        <v>-188.49914132949712</v>
      </c>
      <c r="D35" s="62">
        <f>IFERROR((D34-C34)*10000,"n/m")</f>
        <v>152.8909640601875</v>
      </c>
      <c r="E35" s="62"/>
      <c r="F35" s="62">
        <f>IFERROR((F34-D34)*10000,"n/m")</f>
        <v>72.56284653799325</v>
      </c>
      <c r="G35" s="62">
        <f>IFERROR((G34-F34)*10000,"n/m")</f>
        <v>-83.41727567289809</v>
      </c>
      <c r="H35" s="59">
        <f>IFERROR((H34-G34)*10000,"n/m")</f>
        <v>12.213372492059158</v>
      </c>
      <c r="I35" s="1"/>
    </row>
    <row r="36">
      <c r="A36" s="1"/>
      <c r="B36" s="43" t="s">
        <v>122</v>
      </c>
      <c r="C36" s="57">
        <f>IFERROR((C34-(-Inputs!C223/Inputs!C221))*10000,"n/m")</f>
        <v>75.43696833596849</v>
      </c>
      <c r="D36" s="57">
        <f>IFERROR((D34-(-Inputs!D223/Inputs!D221))*10000,"n/m")</f>
        <v>53.425905212014115</v>
      </c>
      <c r="E36" s="57">
        <f>IFERROR((E34-(-Inputs!E223/Inputs!E221))*10000,"n/m")</f>
        <v>349.44069698966973</v>
      </c>
      <c r="F36" s="57">
        <f>IFERROR((F34-(-Inputs!F223/Inputs!F221))*10000,"n/m")</f>
        <v>64.8976050454135</v>
      </c>
      <c r="G36" s="57">
        <f>IFERROR((G34-(-Inputs!G223/Inputs!G221))*10000,"n/m")</f>
        <v>-46.46260640421444</v>
      </c>
      <c r="H36" s="59">
        <f>IFERROR((H34-C34)*10000,"n/m")</f>
        <v>154.24990741734183</v>
      </c>
      <c r="I36" s="1"/>
    </row>
    <row r="37">
      <c r="A37" s="1"/>
      <c r="B37" s="40" t="s">
        <v>165</v>
      </c>
      <c r="C37" s="58">
        <f>C17/C10</f>
        <v>0.07790787419833801</v>
      </c>
      <c r="D37" s="58">
        <f>D17/D10</f>
        <v>0.060925381643746744</v>
      </c>
      <c r="E37" s="58">
        <f>E17/E10</f>
        <v>0.28162105374539903</v>
      </c>
      <c r="F37" s="58">
        <f>F17/F10</f>
        <v>0.02148967177797491</v>
      </c>
      <c r="G37" s="58">
        <f>G17/G10</f>
        <v>0.03820848829228584</v>
      </c>
      <c r="H37" s="56">
        <f>H17/H10</f>
        <v>0.038560908242495466</v>
      </c>
      <c r="I37" s="111" t="s">
        <v>166</v>
      </c>
    </row>
    <row r="38">
      <c r="A38" s="1"/>
      <c r="B38" s="43" t="s">
        <v>121</v>
      </c>
      <c r="C38" s="57">
        <f>IFERROR((C37-(Inputs!G224/Inputs!G221))*10000,"n/m")</f>
        <v>124.4749188402311</v>
      </c>
      <c r="D38" s="62">
        <f>IFERROR((D37-C37)*10000,"n/m")</f>
        <v>-169.8249255459127</v>
      </c>
      <c r="E38" s="62"/>
      <c r="F38" s="62">
        <f>IFERROR((F37-D37)*10000,"n/m")</f>
        <v>-394.3570986577184</v>
      </c>
      <c r="G38" s="62">
        <f>IFERROR((G37-F37)*10000,"n/m")</f>
        <v>167.1881651431093</v>
      </c>
      <c r="H38" s="59">
        <f>IFERROR((H37-G37)*10000,"n/m")</f>
        <v>3.524199502096259</v>
      </c>
      <c r="I38" s="1"/>
    </row>
    <row r="39">
      <c r="A39" s="1"/>
      <c r="B39" s="43" t="s">
        <v>122</v>
      </c>
      <c r="C39" s="57">
        <f>IFERROR((C37-(Inputs!C224/Inputs!C221))*10000,"n/m")</f>
        <v>74.31739913129454</v>
      </c>
      <c r="D39" s="57">
        <f>IFERROR((D37-(Inputs!D224/Inputs!D221))*10000,"n/m")</f>
        <v>-174.71228404471026</v>
      </c>
      <c r="E39" s="57">
        <f>IFERROR((E37-(Inputs!E224/Inputs!E221))*10000,"n/m")</f>
        <v>-169.18286001334326</v>
      </c>
      <c r="F39" s="57">
        <f>IFERROR((F37-(Inputs!F224/Inputs!F221))*10000,"n/m")</f>
        <v>-369.87075835566117</v>
      </c>
      <c r="G39" s="57">
        <f>IFERROR((G37-(Inputs!G224/Inputs!G221))*10000,"n/m")</f>
        <v>-272.51894022029063</v>
      </c>
      <c r="H39" s="59">
        <f>IFERROR((H37-C37)*10000,"n/m")</f>
        <v>-393.46965955842546</v>
      </c>
      <c r="I39" s="1"/>
    </row>
    <row r="40">
      <c r="A40" s="1"/>
      <c r="B40" s="1"/>
      <c r="C40" s="3"/>
      <c r="D40" s="3"/>
      <c r="E40" s="3"/>
      <c r="F40" s="3"/>
      <c r="G40" s="3"/>
      <c r="H40" s="37"/>
      <c r="I40" s="1"/>
    </row>
    <row r="41">
      <c r="A41" s="1"/>
      <c r="B41" s="2" t="s">
        <v>167</v>
      </c>
      <c r="C41" s="4"/>
      <c r="D41" s="4"/>
      <c r="E41" s="4"/>
      <c r="F41" s="4"/>
      <c r="G41" s="4"/>
      <c r="H41" s="33"/>
      <c r="I41" s="1"/>
    </row>
    <row r="42">
      <c r="A42" s="1"/>
      <c r="B42" s="31" t="s">
        <v>168</v>
      </c>
      <c r="C42" s="15">
        <f>Inputs!G228</f>
        <v>407296</v>
      </c>
      <c r="D42" s="4">
        <f>C58</f>
        <v>432316</v>
      </c>
      <c r="E42" s="15">
        <f>Inputs!D228</f>
        <v>375508</v>
      </c>
      <c r="F42" s="4">
        <f>D58</f>
        <v>442951</v>
      </c>
      <c r="G42" s="4">
        <f>F58</f>
        <v>457461</v>
      </c>
      <c r="H42" s="33">
        <f>G58</f>
        <v>469317</v>
      </c>
      <c r="I42" s="1"/>
    </row>
    <row r="43">
      <c r="A43" s="1"/>
      <c r="B43" s="43" t="s">
        <v>169</v>
      </c>
      <c r="C43" s="26">
        <v>35999</v>
      </c>
      <c r="D43" s="26">
        <v>38969</v>
      </c>
      <c r="E43" s="15">
        <f>Inputs!F230+Inputs!G230+C43+D43</f>
        <v>132135</v>
      </c>
      <c r="F43" s="26">
        <v>37019</v>
      </c>
      <c r="G43" s="26">
        <v>31012</v>
      </c>
      <c r="H43" s="60">
        <v>30000</v>
      </c>
      <c r="I43" s="1"/>
    </row>
    <row r="44">
      <c r="A44" s="1"/>
      <c r="B44" s="65" t="s">
        <v>82</v>
      </c>
      <c r="C44" s="55">
        <f>IF(Inputs!C230*C43&gt;0,C43/Inputs!C230-1,"n/m")</f>
        <v>0.6829827021972885</v>
      </c>
      <c r="D44" s="55">
        <f>IF(Inputs!D230*D43&gt;0,D43/Inputs!D230-1,"n/m")</f>
        <v>0.1400778210116731</v>
      </c>
      <c r="E44" s="55">
        <f>IF(Inputs!E230*E43&gt;0,E43/Inputs!E230-1,"n/m")</f>
        <v>0.44884868421052637</v>
      </c>
      <c r="F44" s="55">
        <f>IF(Inputs!F230*F43&gt;0,F43/Inputs!F230-1,"n/m")</f>
        <v>0.21977659889946954</v>
      </c>
      <c r="G44" s="55">
        <f>IF(Inputs!G230*G43&gt;0,G43/Inputs!G230-1,"n/m")</f>
        <v>0.15638750093220977</v>
      </c>
      <c r="H44" s="56">
        <f>IF(C43*H43&gt;0,H43/C43-1,"n/m")</f>
        <v>-0.16664351787549658</v>
      </c>
      <c r="I44" s="1"/>
    </row>
    <row r="45">
      <c r="A45" s="1"/>
      <c r="B45" s="66" t="s">
        <v>118</v>
      </c>
      <c r="C45" s="15">
        <f>C43-Inputs!G230</f>
        <v>9181</v>
      </c>
      <c r="D45" s="4">
        <f>D43-C43</f>
        <v>2970</v>
      </c>
      <c r="E45" s="4"/>
      <c r="F45" s="4">
        <f>F43-D43</f>
        <v>-1950</v>
      </c>
      <c r="G45" s="4">
        <f>G43-F43</f>
        <v>-6007</v>
      </c>
      <c r="H45" s="33">
        <f>H43-G43</f>
        <v>-1012</v>
      </c>
      <c r="I45" s="1"/>
    </row>
    <row r="46">
      <c r="A46" s="1"/>
      <c r="B46" s="43" t="s">
        <v>170</v>
      </c>
      <c r="C46" s="26">
        <v>-2727</v>
      </c>
      <c r="D46" s="26">
        <v>-5745</v>
      </c>
      <c r="E46" s="15">
        <f>Inputs!F231+Inputs!G231+C46+D46</f>
        <v>-20385</v>
      </c>
      <c r="F46" s="26">
        <v>-9350</v>
      </c>
      <c r="G46" s="26">
        <v>-7626</v>
      </c>
      <c r="H46" s="60">
        <v>-8000</v>
      </c>
      <c r="I46" s="1"/>
    </row>
    <row r="47">
      <c r="A47" s="1"/>
      <c r="B47" s="65" t="s">
        <v>82</v>
      </c>
      <c r="C47" s="55" t="str">
        <f>IF(Inputs!C231*C46&gt;0,C46/Inputs!C231-1,"n/m")</f>
        <v>n/m</v>
      </c>
      <c r="D47" s="55">
        <f>IF(Inputs!D231*D46&gt;0,D46/Inputs!D231-1,"n/m")</f>
        <v>0.47043767596621455</v>
      </c>
      <c r="E47" s="55">
        <f>IF(Inputs!E231*E46&gt;0,E46/Inputs!E231-1,"n/m")</f>
        <v>2.2112476370510397</v>
      </c>
      <c r="F47" s="55">
        <f>IF(Inputs!F231*F46&gt;0,F46/Inputs!F231-1,"n/m")</f>
        <v>0.41110775731964977</v>
      </c>
      <c r="G47" s="55">
        <f>IF(Inputs!G231*G46&gt;0,G46/Inputs!G231-1,"n/m")</f>
        <v>0.4424059012672592</v>
      </c>
      <c r="H47" s="56">
        <f>IF(C46*H46&gt;0,H46/C46-1,"n/m")</f>
        <v>1.9336266960029338</v>
      </c>
      <c r="I47" s="1"/>
    </row>
    <row r="48">
      <c r="A48" s="1"/>
      <c r="B48" s="66" t="s">
        <v>118</v>
      </c>
      <c r="C48" s="15">
        <f>C46-Inputs!G231</f>
        <v>2560</v>
      </c>
      <c r="D48" s="4">
        <f>D46-C46</f>
        <v>-3018</v>
      </c>
      <c r="E48" s="4"/>
      <c r="F48" s="4">
        <f>F46-D46</f>
        <v>-3605</v>
      </c>
      <c r="G48" s="4">
        <f>G46-F46</f>
        <v>1724</v>
      </c>
      <c r="H48" s="33">
        <f>H46-G46</f>
        <v>-374</v>
      </c>
      <c r="I48" s="1"/>
    </row>
    <row r="49">
      <c r="A49" s="1"/>
      <c r="B49" s="73" t="s">
        <v>151</v>
      </c>
      <c r="C49" s="32">
        <f>C43+C46</f>
        <v>33272</v>
      </c>
      <c r="D49" s="32">
        <f>D43+D46</f>
        <v>33224</v>
      </c>
      <c r="E49" s="32">
        <f>E43+E46</f>
        <v>111750</v>
      </c>
      <c r="F49" s="32">
        <f>F43+F46</f>
        <v>27669</v>
      </c>
      <c r="G49" s="32">
        <f>G43+G46</f>
        <v>23386</v>
      </c>
      <c r="H49" s="44">
        <f>H43+H46</f>
        <v>22000</v>
      </c>
      <c r="I49" s="1"/>
    </row>
    <row r="50">
      <c r="A50" s="1"/>
      <c r="B50" s="65" t="s">
        <v>82</v>
      </c>
      <c r="C50" s="55">
        <f>IF(Inputs!C232*C49&gt;0,C49/Inputs!C232-1,"n/m")</f>
        <v>0.19352871542848948</v>
      </c>
      <c r="D50" s="55">
        <f>IF(Inputs!D232*D49&gt;0,D49/Inputs!D232-1,"n/m")</f>
        <v>0.09744335072999943</v>
      </c>
      <c r="E50" s="55">
        <f>IF(Inputs!E232*E49&gt;0,E49/Inputs!E232-1,"n/m")</f>
        <v>0.3169990100410125</v>
      </c>
      <c r="F50" s="55">
        <f>IF(Inputs!F232*F49&gt;0,F49/Inputs!F232-1,"n/m")</f>
        <v>0.16633646672006064</v>
      </c>
      <c r="G50" s="55">
        <f>IF(Inputs!G232*G49&gt;0,G49/Inputs!G232-1,"n/m")</f>
        <v>0.08615484650039473</v>
      </c>
      <c r="H50" s="56">
        <f>IF(C49*H49&gt;0,H49/C49-1,"n/m")</f>
        <v>-0.33878336138494836</v>
      </c>
      <c r="I50" s="1"/>
    </row>
    <row r="51">
      <c r="A51" s="1"/>
      <c r="B51" s="66" t="s">
        <v>118</v>
      </c>
      <c r="C51" s="15">
        <f>C49-Inputs!G232</f>
        <v>11741</v>
      </c>
      <c r="D51" s="4">
        <f>D49-C49</f>
        <v>-48</v>
      </c>
      <c r="E51" s="4"/>
      <c r="F51" s="4">
        <f>F49-D49</f>
        <v>-5555</v>
      </c>
      <c r="G51" s="4">
        <f>G49-F49</f>
        <v>-4283</v>
      </c>
      <c r="H51" s="33">
        <f>H49-G49</f>
        <v>-1386</v>
      </c>
      <c r="I51" s="1"/>
    </row>
    <row r="52">
      <c r="A52" s="1"/>
      <c r="B52" s="43" t="s">
        <v>152</v>
      </c>
      <c r="C52" s="26">
        <v>-12961</v>
      </c>
      <c r="D52" s="26">
        <v>-25598</v>
      </c>
      <c r="E52" s="15">
        <f>Inputs!F233+Inputs!G233+C52+D52</f>
        <v>-62409</v>
      </c>
      <c r="F52" s="26">
        <v>-13667</v>
      </c>
      <c r="G52" s="26">
        <v>-13495</v>
      </c>
      <c r="H52" s="60">
        <v>-13000</v>
      </c>
      <c r="I52" s="1"/>
    </row>
    <row r="53">
      <c r="A53" s="1"/>
      <c r="B53" s="65" t="s">
        <v>82</v>
      </c>
      <c r="C53" s="55">
        <f>IF(Inputs!C233*C52&gt;0,C52/Inputs!C233-1,"n/m")</f>
        <v>0.3456187707641196</v>
      </c>
      <c r="D53" s="55">
        <f>IF(Inputs!D233*D52&gt;0,D52/Inputs!D233-1,"n/m")</f>
        <v>1.9429753966429062</v>
      </c>
      <c r="E53" s="55">
        <f>IF(Inputs!E233*E52&gt;0,E52/Inputs!E233-1,"n/m")</f>
        <v>0.8730754224316457</v>
      </c>
      <c r="F53" s="55">
        <f>IF(Inputs!F233*F52&gt;0,F52/Inputs!F233-1,"n/m")</f>
        <v>-0.015913018433179715</v>
      </c>
      <c r="G53" s="55">
        <f>IF(Inputs!G233*G52&gt;0,G52/Inputs!G233-1,"n/m")</f>
        <v>0.35464766111222645</v>
      </c>
      <c r="H53" s="56">
        <f>IF(C52*H52&gt;0,H52/C52-1,"n/m")</f>
        <v>0.0030090270812437314</v>
      </c>
      <c r="I53" s="1"/>
    </row>
    <row r="54">
      <c r="A54" s="1"/>
      <c r="B54" s="66" t="s">
        <v>118</v>
      </c>
      <c r="C54" s="15">
        <f>C52-Inputs!G233</f>
        <v>-2999</v>
      </c>
      <c r="D54" s="4">
        <f>D52-C52</f>
        <v>-12637</v>
      </c>
      <c r="E54" s="4"/>
      <c r="F54" s="4">
        <f>F52-D52</f>
        <v>11931</v>
      </c>
      <c r="G54" s="4">
        <f>G52-F52</f>
        <v>172</v>
      </c>
      <c r="H54" s="33">
        <f>H52-G52</f>
        <v>495</v>
      </c>
      <c r="I54" s="1"/>
    </row>
    <row r="55">
      <c r="A55" s="1"/>
      <c r="B55" s="43" t="s">
        <v>154</v>
      </c>
      <c r="C55" s="26">
        <v>4709</v>
      </c>
      <c r="D55" s="26">
        <v>3009</v>
      </c>
      <c r="E55" s="15">
        <f>Inputs!F234+Inputs!G234+C55+D55</f>
        <v>18102</v>
      </c>
      <c r="F55" s="26">
        <v>508</v>
      </c>
      <c r="G55" s="26">
        <v>1965</v>
      </c>
      <c r="H55" s="60">
        <v>2000</v>
      </c>
      <c r="I55" s="1"/>
    </row>
    <row r="56">
      <c r="A56" s="1"/>
      <c r="B56" s="65" t="s">
        <v>82</v>
      </c>
      <c r="C56" s="55">
        <f>IF(Inputs!C234*C55&gt;0,C55/Inputs!C234-1,"n/m")</f>
        <v>-0.2617965198306945</v>
      </c>
      <c r="D56" s="55" t="str">
        <f>IF(Inputs!D234*D55&gt;0,D55/Inputs!D234-1,"n/m")</f>
        <v>n/m</v>
      </c>
      <c r="E56" s="55">
        <f>IF(Inputs!E234*E55&gt;0,E55/Inputs!E234-1,"n/m")</f>
        <v>0.6019469026548672</v>
      </c>
      <c r="F56" s="55">
        <f>IF(Inputs!F234*F55&gt;0,F55/Inputs!F234-1,"n/m")</f>
        <v>-0.8495706248149245</v>
      </c>
      <c r="G56" s="55">
        <f>IF(Inputs!G234*G55&gt;0,G55/Inputs!G234-1,"n/m")</f>
        <v>-0.7195661481375767</v>
      </c>
      <c r="H56" s="56">
        <f>IF(C55*H55&gt;0,H55/C55-1,"n/m")</f>
        <v>-0.5752813760883415</v>
      </c>
      <c r="I56" s="1"/>
    </row>
    <row r="57">
      <c r="A57" s="1"/>
      <c r="B57" s="66" t="s">
        <v>118</v>
      </c>
      <c r="C57" s="15">
        <f>C55-Inputs!G234</f>
        <v>-2298</v>
      </c>
      <c r="D57" s="4">
        <f>D55-C55</f>
        <v>-1700</v>
      </c>
      <c r="E57" s="4"/>
      <c r="F57" s="4">
        <f>F55-D55</f>
        <v>-2501</v>
      </c>
      <c r="G57" s="4">
        <f>G55-F55</f>
        <v>1457</v>
      </c>
      <c r="H57" s="33">
        <f>H55-G55</f>
        <v>35</v>
      </c>
      <c r="I57" s="1"/>
    </row>
    <row r="58">
      <c r="A58" s="1"/>
      <c r="B58" s="54" t="s">
        <v>128</v>
      </c>
      <c r="C58" s="32">
        <f>C42+C49+C52+C55</f>
        <v>432316</v>
      </c>
      <c r="D58" s="32">
        <f>D42+D49+D52+D55</f>
        <v>442951</v>
      </c>
      <c r="E58" s="32">
        <f>E42+E49+E52+E55</f>
        <v>442951</v>
      </c>
      <c r="F58" s="32">
        <f>F42+F49+F52+F55</f>
        <v>457461</v>
      </c>
      <c r="G58" s="32">
        <f>G42+G49+G52+G55</f>
        <v>469317</v>
      </c>
      <c r="H58" s="44">
        <f>H42+H49+H52+H55</f>
        <v>480317</v>
      </c>
      <c r="I58" s="112" t="str">
        <f>"FY25 (E58) = derived annual rollforward (4Q24 closing + sum of four rounded quarterly flows), not reset to the 4Q25 quarterly-rollforward closing (D58); rounding residual E58-D58 = "&amp;TEXT(E58-D58,"+#,##0;-#,##0;0")&amp;"m; reported 12/31/25 stock in E61"</f>
        <v>FY25 (E58) = derived annual rollforward (4Q24 closing + sum of four rounded quarterly flows), not reset to the 4Q25 quarterly-rollforward closing (D58); rounding residual E58-D58 = 0m; reported 12/31/25 stock in E61</v>
      </c>
    </row>
    <row r="59">
      <c r="A59" s="1"/>
      <c r="B59" s="61" t="s">
        <v>82</v>
      </c>
      <c r="C59" s="55">
        <f>IF(Inputs!C228*C58&gt;0,C58/Inputs!C228-1,"n/m")</f>
        <v>0.21867723585027998</v>
      </c>
      <c r="D59" s="55">
        <f>IF(Inputs!D228*D58&gt;0,D58/Inputs!D228-1,"n/m")</f>
        <v>0.17960469550582148</v>
      </c>
      <c r="E59" s="55">
        <f>IF(Inputs!E228*E58&gt;0,E58/Inputs!E228-1,"n/m")</f>
        <v>0.17960469550582148</v>
      </c>
      <c r="F59" s="55">
        <f>IF(Inputs!F228*F58&gt;0,F58/Inputs!F228-1,"n/m")</f>
        <v>0.17683937024079022</v>
      </c>
      <c r="G59" s="55">
        <f>IF(Inputs!G228*G58&gt;0,G58/Inputs!G228-1,"n/m")</f>
        <v>0.15227500392834692</v>
      </c>
      <c r="H59" s="56">
        <f>IF(C58*H58&gt;0,H58/C58-1,"n/m")</f>
        <v>0.11103220792198298</v>
      </c>
      <c r="I59" s="1"/>
    </row>
    <row r="60">
      <c r="A60" s="1"/>
      <c r="B60" s="43" t="s">
        <v>118</v>
      </c>
      <c r="C60" s="15">
        <f>C58-Inputs!G228</f>
        <v>25020</v>
      </c>
      <c r="D60" s="4">
        <f>D58-C58</f>
        <v>10635</v>
      </c>
      <c r="E60" s="4"/>
      <c r="F60" s="4">
        <f>F58-D58</f>
        <v>14510</v>
      </c>
      <c r="G60" s="4">
        <f>G58-F58</f>
        <v>11856</v>
      </c>
      <c r="H60" s="33">
        <f>H58-G58</f>
        <v>11000</v>
      </c>
      <c r="I60" s="1"/>
    </row>
    <row r="61">
      <c r="A61" s="1"/>
      <c r="B61" s="43" t="s">
        <v>171</v>
      </c>
      <c r="C61" s="26">
        <v>432315.679</v>
      </c>
      <c r="D61" s="26">
        <v>442951.606</v>
      </c>
      <c r="E61" s="4">
        <f>D61</f>
        <v>442951.606</v>
      </c>
      <c r="F61" s="26">
        <v>457462.151</v>
      </c>
      <c r="G61" s="26">
        <v>469317.44</v>
      </c>
      <c r="H61" s="33"/>
      <c r="I61" s="1"/>
    </row>
    <row r="62">
      <c r="A62" s="1"/>
      <c r="B62" s="43" t="s">
        <v>159</v>
      </c>
      <c r="C62" s="4">
        <f>IF(ABS(C58-C61)&lt;=5,0,C58-C61)</f>
        <v>0</v>
      </c>
      <c r="D62" s="4">
        <f>IF(ABS(D58-D61)&lt;=5,0,D58-D61)</f>
        <v>0</v>
      </c>
      <c r="E62" s="4">
        <f>IF(ABS(E58-E61)&lt;=5,0,E58-E61)</f>
        <v>0</v>
      </c>
      <c r="F62" s="4">
        <f>IF(ABS(F58-F61)&lt;=5,0,F58-F61)</f>
        <v>0</v>
      </c>
      <c r="G62" s="4">
        <f>IF(ABS(G58-G61)&lt;=5,0,G58-G61)</f>
        <v>0</v>
      </c>
      <c r="H62" s="33"/>
      <c r="I62" s="8" t="s">
        <v>172</v>
      </c>
    </row>
    <row r="63">
      <c r="A63" s="1"/>
      <c r="B63" s="40" t="s">
        <v>173</v>
      </c>
      <c r="C63" s="58">
        <f>C26/C58</f>
        <v>0.7059488892384275</v>
      </c>
      <c r="D63" s="58">
        <f>D26/D58</f>
        <v>0.7125844619382279</v>
      </c>
      <c r="E63" s="58">
        <f>E26/E58</f>
        <v>0.7125867195242814</v>
      </c>
      <c r="F63" s="58">
        <f>F26/F58</f>
        <v>0.6847687562437017</v>
      </c>
      <c r="G63" s="58">
        <f>G26/G58</f>
        <v>0.6780939109386619</v>
      </c>
      <c r="H63" s="56">
        <f>H26/H58</f>
        <v>0.6714579371540046</v>
      </c>
      <c r="I63" s="1"/>
    </row>
    <row r="64">
      <c r="A64" s="1"/>
      <c r="B64" s="43" t="s">
        <v>121</v>
      </c>
      <c r="C64" s="57">
        <f>IFERROR((C63-(Inputs!G220/Inputs!G228))*10000,"n/m")</f>
        <v>-34.39368932534159</v>
      </c>
      <c r="D64" s="62">
        <f>IFERROR((D63-C63)*10000,"n/m")</f>
        <v>66.35572699800419</v>
      </c>
      <c r="E64" s="62"/>
      <c r="F64" s="62">
        <f>IFERROR((F63-D63)*10000,"n/m")</f>
        <v>-278.15705694526184</v>
      </c>
      <c r="G64" s="62">
        <f>IFERROR((G63-F63)*10000,"n/m")</f>
        <v>-66.74845305039811</v>
      </c>
      <c r="H64" s="59">
        <f>IFERROR((H63-G63)*10000,"n/m")</f>
        <v>-66.35973784657301</v>
      </c>
      <c r="I64" s="1"/>
    </row>
    <row r="65">
      <c r="A65" s="1"/>
      <c r="B65" s="43" t="s">
        <v>122</v>
      </c>
      <c r="C65" s="57">
        <f>IFERROR((C63-(Inputs!C220/Inputs!C228))*10000,"n/m")</f>
        <v>-32.05933139526107</v>
      </c>
      <c r="D65" s="57">
        <f>IFERROR((D63-(Inputs!D220/Inputs!D228))*10000,"n/m")</f>
        <v>78.91086564068117</v>
      </c>
      <c r="E65" s="57">
        <f>IFERROR((E63-(Inputs!E220/Inputs!E228))*10000,"n/m")</f>
        <v>78.93344150121662</v>
      </c>
      <c r="F65" s="57">
        <f>IFERROR((F63-(Inputs!F220/Inputs!F228))*10000,"n/m")</f>
        <v>-204.1749607158949</v>
      </c>
      <c r="G65" s="57">
        <f>IFERROR((G63-(Inputs!G220/Inputs!G228))*10000,"n/m")</f>
        <v>-312.94347232299737</v>
      </c>
      <c r="H65" s="59">
        <f>IFERROR((H63-C63)*10000,"n/m")</f>
        <v>-344.9095208442288</v>
      </c>
      <c r="I65" s="1"/>
    </row>
    <row r="66">
      <c r="A66" s="1"/>
      <c r="B66" s="1"/>
      <c r="C66" s="3"/>
      <c r="D66" s="3"/>
      <c r="E66" s="3"/>
      <c r="F66" s="3"/>
      <c r="G66" s="3"/>
      <c r="H66" s="37"/>
      <c r="I66" s="1"/>
    </row>
    <row r="67">
      <c r="A67" s="1"/>
      <c r="B67" s="2" t="s">
        <v>174</v>
      </c>
      <c r="C67" s="4"/>
      <c r="D67" s="4"/>
      <c r="E67" s="4"/>
      <c r="F67" s="4"/>
      <c r="G67" s="4"/>
      <c r="H67" s="33"/>
      <c r="I67" s="1"/>
    </row>
    <row r="68">
      <c r="A68" s="1"/>
      <c r="B68" s="31" t="s">
        <v>175</v>
      </c>
      <c r="C68" s="4">
        <f>C43</f>
        <v>35999</v>
      </c>
      <c r="D68" s="4">
        <f>D43</f>
        <v>38969</v>
      </c>
      <c r="E68" s="4">
        <f>E43</f>
        <v>132135</v>
      </c>
      <c r="F68" s="4">
        <f>F43</f>
        <v>37019</v>
      </c>
      <c r="G68" s="4">
        <f>G43</f>
        <v>31012</v>
      </c>
      <c r="H68" s="33">
        <f>H43</f>
        <v>30000</v>
      </c>
      <c r="I68" s="8" t="s">
        <v>176</v>
      </c>
    </row>
    <row r="69">
      <c r="A69" s="1"/>
      <c r="B69" s="31" t="s">
        <v>181</v>
      </c>
      <c r="C69" s="26">
        <v>16656.249</v>
      </c>
      <c r="D69" s="26">
        <v>22940.859</v>
      </c>
      <c r="E69" s="15">
        <f>Inputs!F235+Inputs!G235+C69+D69</f>
        <v>67693.443</v>
      </c>
      <c r="F69" s="26">
        <v>13034.989</v>
      </c>
      <c r="G69" s="26">
        <v>12733.118</v>
      </c>
      <c r="H69" s="60">
        <v>13000</v>
      </c>
      <c r="I69" s="8" t="s">
        <v>182</v>
      </c>
    </row>
    <row r="70">
      <c r="A70" s="1"/>
      <c r="B70" s="61" t="s">
        <v>82</v>
      </c>
      <c r="C70" s="55">
        <f>IF(Inputs!C235*C69&gt;0,C69/Inputs!C235-1,"n/m")</f>
        <v>-0.09558393530003251</v>
      </c>
      <c r="D70" s="55">
        <f>IF(Inputs!D235*D69&gt;0,D69/Inputs!D235-1,"n/m")</f>
        <v>0.060432349907754146</v>
      </c>
      <c r="E70" s="55">
        <f>IF(Inputs!E235*E69&gt;0,E69/Inputs!E235-1,"n/m")</f>
        <v>0.061301923738838804</v>
      </c>
      <c r="F70" s="55">
        <f>IF(Inputs!F235*F69&gt;0,F69/Inputs!F235-1,"n/m")</f>
        <v>-0.06881861307076875</v>
      </c>
      <c r="G70" s="55">
        <f>IF(Inputs!G235*G69&gt;0,G69/Inputs!G235-1,"n/m")</f>
        <v>-0.09681387430841248</v>
      </c>
      <c r="H70" s="56">
        <f>IF(C69*H69&gt;0,H69/C69-1,"n/m")</f>
        <v>-0.2195121482633935</v>
      </c>
      <c r="I70" s="1"/>
    </row>
    <row r="71">
      <c r="A71" s="1"/>
      <c r="B71" s="43" t="s">
        <v>118</v>
      </c>
      <c r="C71" s="15">
        <f>C69-Inputs!G235</f>
        <v>2558.249</v>
      </c>
      <c r="D71" s="4">
        <f>D69-C69</f>
        <v>6284.610000000001</v>
      </c>
      <c r="E71" s="4"/>
      <c r="F71" s="4">
        <f>F69-D69</f>
        <v>-9905.87</v>
      </c>
      <c r="G71" s="4">
        <f>G69-F69</f>
        <v>-301.8709999999992</v>
      </c>
      <c r="H71" s="33">
        <f>H69-G69</f>
        <v>266.8819999999996</v>
      </c>
      <c r="I71" s="1"/>
    </row>
    <row r="72">
      <c r="A72" s="1"/>
      <c r="B72" s="31" t="s">
        <v>186</v>
      </c>
      <c r="C72" s="4">
        <f>-C52</f>
        <v>12961</v>
      </c>
      <c r="D72" s="4">
        <f>-D52</f>
        <v>25598</v>
      </c>
      <c r="E72" s="4">
        <f>-E52</f>
        <v>62409</v>
      </c>
      <c r="F72" s="4">
        <f>-F52</f>
        <v>13667</v>
      </c>
      <c r="G72" s="4">
        <f>-G52</f>
        <v>13495</v>
      </c>
      <c r="H72" s="33">
        <f>-H52</f>
        <v>13000</v>
      </c>
      <c r="I72" s="8" t="s">
        <v>187</v>
      </c>
    </row>
    <row r="73">
      <c r="A73" s="1"/>
      <c r="B73" s="1"/>
      <c r="C73" s="3"/>
      <c r="D73" s="3"/>
      <c r="E73" s="3"/>
      <c r="F73" s="3"/>
      <c r="G73" s="3"/>
      <c r="H73" s="37"/>
      <c r="I73" s="1"/>
    </row>
    <row r="74">
      <c r="A74" s="1"/>
      <c r="B74" s="2" t="s">
        <v>191</v>
      </c>
      <c r="C74" s="4"/>
      <c r="D74" s="4"/>
      <c r="E74" s="4"/>
      <c r="F74" s="4"/>
      <c r="G74" s="4"/>
      <c r="H74" s="33"/>
      <c r="I74" s="1"/>
    </row>
    <row r="75">
      <c r="A75" s="1"/>
      <c r="B75" s="31" t="s">
        <v>103</v>
      </c>
      <c r="C75" s="26">
        <v>483.078</v>
      </c>
      <c r="D75" s="26">
        <v>515.189</v>
      </c>
      <c r="E75" s="15">
        <f>Inputs!F236+Inputs!G236+C75+D75</f>
        <v>1909.147</v>
      </c>
      <c r="F75" s="26">
        <v>509.847</v>
      </c>
      <c r="G75" s="26">
        <v>493.622</v>
      </c>
      <c r="H75" s="33">
        <f>H81/10000*H31*H7/365</f>
        <v>500.66560110246576</v>
      </c>
      <c r="I75" s="8" t="s">
        <v>192</v>
      </c>
    </row>
    <row r="76">
      <c r="A76" s="1"/>
      <c r="B76" s="61" t="s">
        <v>82</v>
      </c>
      <c r="C76" s="55">
        <f>IF(Inputs!C236*C75&gt;0,C75/Inputs!C236-1,"n/m")</f>
        <v>0.18416853169651937</v>
      </c>
      <c r="D76" s="55">
        <f>IF(Inputs!D236*D75&gt;0,D75/Inputs!D236-1,"n/m")</f>
        <v>0.25095061650454764</v>
      </c>
      <c r="E76" s="55">
        <f>IF(Inputs!E236*E75&gt;0,E75/Inputs!E236-1,"n/m")</f>
        <v>0.2225199132455502</v>
      </c>
      <c r="F76" s="55">
        <f>IF(Inputs!F236*F75&gt;0,F75/Inputs!F236-1,"n/m")</f>
        <v>0.15031710899479478</v>
      </c>
      <c r="G76" s="55">
        <f>IF(Inputs!G236*G75&gt;0,G75/Inputs!G236-1,"n/m")</f>
        <v>0.05552146124189328</v>
      </c>
      <c r="H76" s="56">
        <f>IF(C75*H75&gt;0,H75/C75-1,"n/m")</f>
        <v>0.036407373348539496</v>
      </c>
      <c r="I76" s="1"/>
    </row>
    <row r="77">
      <c r="A77" s="1"/>
      <c r="B77" s="43" t="s">
        <v>118</v>
      </c>
      <c r="C77" s="15">
        <f>C75-Inputs!G236</f>
        <v>15.420999999999992</v>
      </c>
      <c r="D77" s="4">
        <f>D75-C75</f>
        <v>32.11099999999999</v>
      </c>
      <c r="E77" s="4"/>
      <c r="F77" s="4">
        <f>F75-D75</f>
        <v>-5.3419999999999845</v>
      </c>
      <c r="G77" s="4">
        <f>G75-F75</f>
        <v>-16.224999999999966</v>
      </c>
      <c r="H77" s="33">
        <f>H75-G75</f>
        <v>7.043601102465743</v>
      </c>
      <c r="I77" s="1"/>
    </row>
    <row r="78">
      <c r="A78" s="1"/>
      <c r="B78" s="61" t="s">
        <v>85</v>
      </c>
      <c r="C78" s="58" t="s">
        <v>86</v>
      </c>
      <c r="D78" s="58" t="s">
        <v>86</v>
      </c>
      <c r="E78" s="58" t="s">
        <v>86</v>
      </c>
      <c r="F78" s="58" t="s">
        <v>86</v>
      </c>
      <c r="G78" s="58" t="s">
        <v>86</v>
      </c>
      <c r="H78" s="56" t="s">
        <v>86</v>
      </c>
      <c r="I78" s="8" t="s">
        <v>94</v>
      </c>
    </row>
    <row r="79">
      <c r="A79" s="1"/>
      <c r="B79" s="61" t="s">
        <v>88</v>
      </c>
      <c r="C79" s="58" t="s">
        <v>86</v>
      </c>
      <c r="D79" s="58" t="s">
        <v>86</v>
      </c>
      <c r="E79" s="58" t="s">
        <v>86</v>
      </c>
      <c r="F79" s="58" t="s">
        <v>86</v>
      </c>
      <c r="G79" s="58" t="s">
        <v>86</v>
      </c>
      <c r="H79" s="56" t="s">
        <v>86</v>
      </c>
      <c r="I79" s="8" t="s">
        <v>95</v>
      </c>
    </row>
    <row r="80">
      <c r="A80" s="1"/>
      <c r="B80" s="61" t="s">
        <v>89</v>
      </c>
      <c r="C80" s="58" t="s">
        <v>86</v>
      </c>
      <c r="D80" s="58" t="s">
        <v>86</v>
      </c>
      <c r="E80" s="58" t="s">
        <v>86</v>
      </c>
      <c r="F80" s="58" t="s">
        <v>86</v>
      </c>
      <c r="G80" s="58" t="s">
        <v>86</v>
      </c>
      <c r="H80" s="56" t="s">
        <v>86</v>
      </c>
      <c r="I80" s="8" t="s">
        <v>95</v>
      </c>
    </row>
    <row r="81">
      <c r="A81" s="1"/>
      <c r="B81" s="61" t="s">
        <v>193</v>
      </c>
      <c r="C81" s="72">
        <f>C75*365/C7/C31*10000</f>
        <v>64.51710303494418</v>
      </c>
      <c r="D81" s="72">
        <f>D75*365/D7/D31*10000</f>
        <v>65.84552362830254</v>
      </c>
      <c r="E81" s="72">
        <f>E75*365/E7/E31*10000</f>
        <v>65.90069514046479</v>
      </c>
      <c r="F81" s="72">
        <f>F75*365/F7/F31*10000</f>
        <v>65.75693161461591</v>
      </c>
      <c r="G81" s="72">
        <f>G75*365/G7/G31*10000</f>
        <v>62.70547279674038</v>
      </c>
      <c r="H81" s="70">
        <v>62</v>
      </c>
      <c r="I81" s="8" t="s">
        <v>194</v>
      </c>
    </row>
    <row r="82">
      <c r="A82" s="1"/>
      <c r="B82" s="66" t="s">
        <v>121</v>
      </c>
      <c r="C82" s="57">
        <f>IFERROR((C81-(Inputs!G236*365/Inputs!G114/Inputs!G227*10000))*1,"n/m")</f>
        <v>-2.1115048761759567</v>
      </c>
      <c r="D82" s="62">
        <f>IFERROR((D81-C81)*1,"n/m")</f>
        <v>1.3284205933583593</v>
      </c>
      <c r="E82" s="62"/>
      <c r="F82" s="62">
        <f>IFERROR((F81-D81)*1,"n/m")</f>
        <v>-0.08859201368663605</v>
      </c>
      <c r="G82" s="62">
        <f>IFERROR((G81-F81)*1,"n/m")</f>
        <v>-3.0514588178755275</v>
      </c>
      <c r="H82" s="59">
        <f>IFERROR((H81-G81)*1,"n/m")</f>
        <v>-0.7054727967403807</v>
      </c>
      <c r="I82" s="1"/>
    </row>
    <row r="83">
      <c r="A83" s="1"/>
      <c r="B83" s="66" t="s">
        <v>122</v>
      </c>
      <c r="C83" s="57">
        <f>IFERROR((C81-(Inputs!C236*365/Inputs!C114/Inputs!C227*10000))*1,"n/m")</f>
        <v>-1.698526337156423</v>
      </c>
      <c r="D83" s="57">
        <f>IFERROR((D81-(Inputs!D236*365/Inputs!D114/Inputs!D227*10000))*1,"n/m")</f>
        <v>2.537890448190126</v>
      </c>
      <c r="E83" s="57">
        <f>IFERROR((E81-(Inputs!E236*365/Inputs!E114/Inputs!E227*10000))*1,"n/m")</f>
        <v>1.0643661343757742</v>
      </c>
      <c r="F83" s="57">
        <f>IFERROR((F81-(Inputs!F236*365/Inputs!F114/Inputs!F227*10000))*1,"n/m")</f>
        <v>-0.9736825378849687</v>
      </c>
      <c r="G83" s="57">
        <f>IFERROR((G81-(Inputs!G236*365/Inputs!G114/Inputs!G227*10000))*1,"n/m")</f>
        <v>-3.923135114379761</v>
      </c>
      <c r="H83" s="59">
        <f>IFERROR((H81-C81)*1,"n/m")</f>
        <v>-2.517103034944185</v>
      </c>
      <c r="I83" s="1"/>
    </row>
    <row r="84">
      <c r="A84" s="1"/>
      <c r="B84" s="31" t="s">
        <v>104</v>
      </c>
      <c r="C84" s="26">
        <v>27.062</v>
      </c>
      <c r="D84" s="26">
        <v>17.593</v>
      </c>
      <c r="E84" s="15">
        <f>Inputs!F237+Inputs!G237+C84+D84</f>
        <v>74.11500000000001</v>
      </c>
      <c r="F84" s="26">
        <v>10.628</v>
      </c>
      <c r="G84" s="26">
        <v>91.769</v>
      </c>
      <c r="H84" s="60">
        <v>62</v>
      </c>
      <c r="I84" s="8" t="s">
        <v>155</v>
      </c>
    </row>
    <row r="85">
      <c r="A85" s="1"/>
      <c r="B85" s="61" t="s">
        <v>82</v>
      </c>
      <c r="C85" s="55">
        <f>IF(Inputs!C237*C84&gt;0,C84/Inputs!C237-1,"n/m")</f>
        <v>1.4240415621640992</v>
      </c>
      <c r="D85" s="55">
        <f>IF(Inputs!D237*D84&gt;0,D84/Inputs!D237-1,"n/m")</f>
        <v>0.33746388931123605</v>
      </c>
      <c r="E85" s="55">
        <f>IF(Inputs!E237*E84&gt;0,E84/Inputs!E237-1,"n/m")</f>
        <v>0.670987960499617</v>
      </c>
      <c r="F85" s="55">
        <f>IF(Inputs!F237*F84&gt;0,F84/Inputs!F237-1,"n/m")</f>
        <v>-0.31343669250646</v>
      </c>
      <c r="G85" s="55">
        <f>IF(Inputs!G237*G84&gt;0,G84/Inputs!G237-1,"n/m")</f>
        <v>5.564306151645208</v>
      </c>
      <c r="H85" s="56">
        <f>IF(C84*H84&gt;0,H84/C84-1,"n/m")</f>
        <v>1.2910354001921514</v>
      </c>
      <c r="I85" s="1"/>
    </row>
    <row r="86">
      <c r="A86" s="1"/>
      <c r="B86" s="43" t="s">
        <v>118</v>
      </c>
      <c r="C86" s="15">
        <f>C84-Inputs!G237</f>
        <v>13.082</v>
      </c>
      <c r="D86" s="4">
        <f>D84-C84</f>
        <v>-9.469000000000001</v>
      </c>
      <c r="E86" s="4"/>
      <c r="F86" s="4">
        <f>F84-D84</f>
        <v>-6.965</v>
      </c>
      <c r="G86" s="4">
        <f>G84-F84</f>
        <v>81.141</v>
      </c>
      <c r="H86" s="33">
        <f>H84-G84</f>
        <v>-29.769000000000005</v>
      </c>
      <c r="I86" s="1"/>
    </row>
    <row r="87">
      <c r="A87" s="1"/>
      <c r="B87" s="61" t="s">
        <v>85</v>
      </c>
      <c r="C87" s="58" t="s">
        <v>86</v>
      </c>
      <c r="D87" s="58" t="s">
        <v>86</v>
      </c>
      <c r="E87" s="58" t="s">
        <v>86</v>
      </c>
      <c r="F87" s="58" t="s">
        <v>86</v>
      </c>
      <c r="G87" s="58" t="s">
        <v>86</v>
      </c>
      <c r="H87" s="56" t="s">
        <v>86</v>
      </c>
      <c r="I87" s="8" t="s">
        <v>94</v>
      </c>
    </row>
    <row r="88">
      <c r="A88" s="1"/>
      <c r="B88" s="61" t="s">
        <v>88</v>
      </c>
      <c r="C88" s="58" t="s">
        <v>86</v>
      </c>
      <c r="D88" s="58" t="s">
        <v>86</v>
      </c>
      <c r="E88" s="58" t="s">
        <v>86</v>
      </c>
      <c r="F88" s="58" t="s">
        <v>86</v>
      </c>
      <c r="G88" s="58" t="s">
        <v>86</v>
      </c>
      <c r="H88" s="56" t="s">
        <v>86</v>
      </c>
      <c r="I88" s="8" t="s">
        <v>95</v>
      </c>
    </row>
    <row r="89">
      <c r="A89" s="1"/>
      <c r="B89" s="61" t="s">
        <v>89</v>
      </c>
      <c r="C89" s="58" t="s">
        <v>86</v>
      </c>
      <c r="D89" s="58" t="s">
        <v>86</v>
      </c>
      <c r="E89" s="58" t="s">
        <v>86</v>
      </c>
      <c r="F89" s="58" t="s">
        <v>86</v>
      </c>
      <c r="G89" s="58" t="s">
        <v>86</v>
      </c>
      <c r="H89" s="56" t="s">
        <v>86</v>
      </c>
      <c r="I89" s="8" t="s">
        <v>95</v>
      </c>
    </row>
    <row r="90">
      <c r="A90" s="1"/>
      <c r="B90" s="31" t="s">
        <v>105</v>
      </c>
      <c r="C90" s="26">
        <v>-12.965</v>
      </c>
      <c r="D90" s="26">
        <v>-18.036</v>
      </c>
      <c r="E90" s="15">
        <f>Inputs!F238+Inputs!G238+C90+D90</f>
        <v>-53.67</v>
      </c>
      <c r="F90" s="26">
        <v>-11.988</v>
      </c>
      <c r="G90" s="26">
        <v>-12.635</v>
      </c>
      <c r="H90" s="60">
        <v>-13</v>
      </c>
      <c r="I90" s="8" t="s">
        <v>155</v>
      </c>
    </row>
    <row r="91">
      <c r="A91" s="1"/>
      <c r="B91" s="61" t="s">
        <v>82</v>
      </c>
      <c r="C91" s="55">
        <f>IF(Inputs!C238*C90&gt;0,C90/Inputs!C238-1,"n/m")</f>
        <v>11.20809792843691</v>
      </c>
      <c r="D91" s="55">
        <f>IF(Inputs!D238*D90&gt;0,D90/Inputs!D238-1,"n/m")</f>
        <v>-0.1512071156289707</v>
      </c>
      <c r="E91" s="55">
        <f>IF(Inputs!E238*E90&gt;0,E90/Inputs!E238-1,"n/m")</f>
        <v>1.2181352289634648</v>
      </c>
      <c r="F91" s="55">
        <f>IF(Inputs!F238*F90&gt;0,F90/Inputs!F238-1,"n/m")</f>
        <v>0.028218543614375147</v>
      </c>
      <c r="G91" s="55">
        <f>IF(Inputs!G238*G90&gt;0,G90/Inputs!G238-1,"n/m")</f>
        <v>0.14759309718437774</v>
      </c>
      <c r="H91" s="56">
        <f>IF(C90*H90&gt;0,H90/C90-1,"n/m")</f>
        <v>0.002699575780948704</v>
      </c>
      <c r="I91" s="1"/>
    </row>
    <row r="92">
      <c r="A92" s="1"/>
      <c r="B92" s="43" t="s">
        <v>118</v>
      </c>
      <c r="C92" s="15">
        <f>C90-Inputs!G238</f>
        <v>-1.955</v>
      </c>
      <c r="D92" s="4">
        <f>D90-C90</f>
        <v>-5.0710000000000015</v>
      </c>
      <c r="E92" s="4"/>
      <c r="F92" s="4">
        <f>F90-D90</f>
        <v>6.048000000000002</v>
      </c>
      <c r="G92" s="4">
        <f>G90-F90</f>
        <v>-0.6470000000000002</v>
      </c>
      <c r="H92" s="33">
        <f>H90-G90</f>
        <v>-0.3650000000000002</v>
      </c>
      <c r="I92" s="1"/>
    </row>
    <row r="93">
      <c r="A93" s="1"/>
      <c r="B93" s="61" t="s">
        <v>85</v>
      </c>
      <c r="C93" s="58" t="s">
        <v>86</v>
      </c>
      <c r="D93" s="58" t="s">
        <v>86</v>
      </c>
      <c r="E93" s="58" t="s">
        <v>86</v>
      </c>
      <c r="F93" s="58" t="s">
        <v>86</v>
      </c>
      <c r="G93" s="58" t="s">
        <v>86</v>
      </c>
      <c r="H93" s="56" t="s">
        <v>86</v>
      </c>
      <c r="I93" s="8" t="s">
        <v>94</v>
      </c>
    </row>
    <row r="94">
      <c r="A94" s="1"/>
      <c r="B94" s="61" t="s">
        <v>88</v>
      </c>
      <c r="C94" s="58" t="s">
        <v>86</v>
      </c>
      <c r="D94" s="58" t="s">
        <v>86</v>
      </c>
      <c r="E94" s="58" t="s">
        <v>86</v>
      </c>
      <c r="F94" s="58" t="s">
        <v>86</v>
      </c>
      <c r="G94" s="58" t="s">
        <v>86</v>
      </c>
      <c r="H94" s="56" t="s">
        <v>86</v>
      </c>
      <c r="I94" s="8" t="s">
        <v>95</v>
      </c>
    </row>
    <row r="95">
      <c r="A95" s="1"/>
      <c r="B95" s="61" t="s">
        <v>89</v>
      </c>
      <c r="C95" s="58" t="s">
        <v>86</v>
      </c>
      <c r="D95" s="58" t="s">
        <v>86</v>
      </c>
      <c r="E95" s="58" t="s">
        <v>86</v>
      </c>
      <c r="F95" s="58" t="s">
        <v>86</v>
      </c>
      <c r="G95" s="58" t="s">
        <v>86</v>
      </c>
      <c r="H95" s="56" t="s">
        <v>86</v>
      </c>
      <c r="I95" s="8" t="s">
        <v>95</v>
      </c>
    </row>
    <row r="96">
      <c r="A96" s="1"/>
      <c r="B96" s="54" t="s">
        <v>106</v>
      </c>
      <c r="C96" s="32">
        <f>C75+C84+C90</f>
        <v>497.175</v>
      </c>
      <c r="D96" s="32">
        <f>D75+D84+D90</f>
        <v>514.7459999999999</v>
      </c>
      <c r="E96" s="64">
        <f>Inputs!F239+Inputs!G239+C96+D96</f>
        <v>1929.5919999999999</v>
      </c>
      <c r="F96" s="32">
        <f>F75+F84+F90</f>
        <v>508.487</v>
      </c>
      <c r="G96" s="32">
        <f>G75+G84+G90</f>
        <v>572.7560000000001</v>
      </c>
      <c r="H96" s="44">
        <f>H75+H84+H90</f>
        <v>549.6656011024658</v>
      </c>
      <c r="I96" s="1"/>
    </row>
    <row r="97">
      <c r="A97" s="1"/>
      <c r="B97" s="61" t="s">
        <v>82</v>
      </c>
      <c r="C97" s="55">
        <f>IF(Inputs!C239*C96&gt;0,C96/Inputs!C239-1,"n/m")</f>
        <v>0.18927446304141382</v>
      </c>
      <c r="D97" s="55">
        <f>IF(Inputs!D239*D96&gt;0,D96/Inputs!D239-1,"n/m")</f>
        <v>0.274934797631166</v>
      </c>
      <c r="E97" s="55">
        <f>IF(Inputs!E239*E96&gt;0,E96/Inputs!E239-1,"n/m")</f>
        <v>0.21986563468235998</v>
      </c>
      <c r="F97" s="55">
        <f>IF(Inputs!F239*F96&gt;0,F96/Inputs!F239-1,"n/m")</f>
        <v>0.13744284678913044</v>
      </c>
      <c r="G97" s="55">
        <f>IF(Inputs!G239*G96&gt;0,G96/Inputs!G239-1,"n/m")</f>
        <v>0.2170062491102298</v>
      </c>
      <c r="H97" s="56">
        <f>IF(C96*H96&gt;0,H96/C96-1,"n/m")</f>
        <v>0.10557771630203794</v>
      </c>
      <c r="I97" s="1"/>
    </row>
    <row r="98">
      <c r="A98" s="1"/>
      <c r="B98" s="43" t="s">
        <v>118</v>
      </c>
      <c r="C98" s="15">
        <f>C96-Inputs!G239</f>
        <v>26.548000000000002</v>
      </c>
      <c r="D98" s="4">
        <f>D96-C96</f>
        <v>17.570999999999856</v>
      </c>
      <c r="E98" s="4"/>
      <c r="F98" s="4">
        <f>F96-D96</f>
        <v>-6.258999999999844</v>
      </c>
      <c r="G98" s="4">
        <f>G96-F96</f>
        <v>64.26900000000006</v>
      </c>
      <c r="H98" s="33">
        <f>H96-G96</f>
        <v>-23.090398897534328</v>
      </c>
      <c r="I98" s="1"/>
    </row>
    <row r="99">
      <c r="A99" s="1"/>
      <c r="B99" s="61" t="s">
        <v>85</v>
      </c>
      <c r="C99" s="58" t="s">
        <v>86</v>
      </c>
      <c r="D99" s="58" t="s">
        <v>86</v>
      </c>
      <c r="E99" s="58" t="s">
        <v>86</v>
      </c>
      <c r="F99" s="58" t="s">
        <v>86</v>
      </c>
      <c r="G99" s="58" t="s">
        <v>86</v>
      </c>
      <c r="H99" s="56" t="s">
        <v>86</v>
      </c>
      <c r="I99" s="8" t="s">
        <v>94</v>
      </c>
    </row>
    <row r="100">
      <c r="A100" s="1"/>
      <c r="B100" s="61" t="s">
        <v>88</v>
      </c>
      <c r="C100" s="58" t="s">
        <v>86</v>
      </c>
      <c r="D100" s="58" t="s">
        <v>86</v>
      </c>
      <c r="E100" s="58" t="s">
        <v>86</v>
      </c>
      <c r="F100" s="58" t="s">
        <v>86</v>
      </c>
      <c r="G100" s="58" t="s">
        <v>86</v>
      </c>
      <c r="H100" s="56" t="s">
        <v>86</v>
      </c>
      <c r="I100" s="8" t="s">
        <v>95</v>
      </c>
    </row>
    <row r="101">
      <c r="A101" s="1"/>
      <c r="B101" s="61" t="s">
        <v>89</v>
      </c>
      <c r="C101" s="58" t="s">
        <v>86</v>
      </c>
      <c r="D101" s="58" t="s">
        <v>86</v>
      </c>
      <c r="E101" s="58" t="s">
        <v>86</v>
      </c>
      <c r="F101" s="58" t="s">
        <v>86</v>
      </c>
      <c r="G101" s="58" t="s">
        <v>86</v>
      </c>
      <c r="H101" s="56" t="s">
        <v>86</v>
      </c>
      <c r="I101" s="8" t="s">
        <v>95</v>
      </c>
    </row>
    <row r="102">
      <c r="A102" s="1"/>
      <c r="B102" s="31" t="s">
        <v>107</v>
      </c>
      <c r="C102" s="26">
        <v>201.719</v>
      </c>
      <c r="D102" s="26">
        <v>200.739</v>
      </c>
      <c r="E102" s="15">
        <f>Inputs!F240+Inputs!G240+C102+D102</f>
        <v>787.7950000000001</v>
      </c>
      <c r="F102" s="26">
        <v>164.403</v>
      </c>
      <c r="G102" s="26">
        <v>159.286</v>
      </c>
      <c r="H102" s="60">
        <v>154</v>
      </c>
      <c r="I102" s="8" t="s">
        <v>296</v>
      </c>
    </row>
    <row r="103">
      <c r="A103" s="1"/>
      <c r="B103" s="61" t="s">
        <v>82</v>
      </c>
      <c r="C103" s="55">
        <f>IF(Inputs!C240*C102&gt;0,C102/Inputs!C240-1,"n/m")</f>
        <v>0.08564893302117804</v>
      </c>
      <c r="D103" s="55">
        <f>IF(Inputs!D240*D102&gt;0,D102/Inputs!D240-1,"n/m")</f>
        <v>-0.11951172440413005</v>
      </c>
      <c r="E103" s="55">
        <f>IF(Inputs!E240*E102&gt;0,E102/Inputs!E240-1,"n/m")</f>
        <v>0.05448191119701473</v>
      </c>
      <c r="F103" s="55">
        <f>IF(Inputs!F240*F102&gt;0,F102/Inputs!F240-1,"n/m")</f>
        <v>-0.1578060325396501</v>
      </c>
      <c r="G103" s="55">
        <f>IF(Inputs!G240*G102&gt;0,G102/Inputs!G240-1,"n/m")</f>
        <v>-0.16222143912817077</v>
      </c>
      <c r="H103" s="56">
        <f>IF(C102*H102&gt;0,H102/C102-1,"n/m")</f>
        <v>-0.23656175174376237</v>
      </c>
      <c r="I103" s="1"/>
    </row>
    <row r="104">
      <c r="A104" s="1"/>
      <c r="B104" s="43" t="s">
        <v>118</v>
      </c>
      <c r="C104" s="15">
        <f>C102-Inputs!G240</f>
        <v>11.590000000000003</v>
      </c>
      <c r="D104" s="4">
        <f>D102-C102</f>
        <v>-0.9799999999999898</v>
      </c>
      <c r="E104" s="4"/>
      <c r="F104" s="4">
        <f>F102-D102</f>
        <v>-36.33600000000001</v>
      </c>
      <c r="G104" s="4">
        <f>G102-F102</f>
        <v>-5.11699999999999</v>
      </c>
      <c r="H104" s="33">
        <f>H102-G102</f>
        <v>-5.286000000000001</v>
      </c>
      <c r="I104" s="1"/>
    </row>
    <row r="105">
      <c r="A105" s="1"/>
      <c r="B105" s="61" t="s">
        <v>85</v>
      </c>
      <c r="C105" s="58" t="s">
        <v>86</v>
      </c>
      <c r="D105" s="58" t="s">
        <v>86</v>
      </c>
      <c r="E105" s="58" t="s">
        <v>86</v>
      </c>
      <c r="F105" s="58" t="s">
        <v>86</v>
      </c>
      <c r="G105" s="58" t="s">
        <v>86</v>
      </c>
      <c r="H105" s="56" t="s">
        <v>86</v>
      </c>
      <c r="I105" s="8" t="s">
        <v>94</v>
      </c>
    </row>
    <row r="106">
      <c r="A106" s="1"/>
      <c r="B106" s="61" t="s">
        <v>88</v>
      </c>
      <c r="C106" s="58" t="s">
        <v>86</v>
      </c>
      <c r="D106" s="58" t="s">
        <v>86</v>
      </c>
      <c r="E106" s="58" t="s">
        <v>86</v>
      </c>
      <c r="F106" s="58" t="s">
        <v>86</v>
      </c>
      <c r="G106" s="58" t="s">
        <v>86</v>
      </c>
      <c r="H106" s="56" t="s">
        <v>86</v>
      </c>
      <c r="I106" s="8" t="s">
        <v>95</v>
      </c>
    </row>
    <row r="107">
      <c r="A107" s="1"/>
      <c r="B107" s="61" t="s">
        <v>89</v>
      </c>
      <c r="C107" s="58" t="s">
        <v>86</v>
      </c>
      <c r="D107" s="58" t="s">
        <v>86</v>
      </c>
      <c r="E107" s="58" t="s">
        <v>86</v>
      </c>
      <c r="F107" s="58" t="s">
        <v>86</v>
      </c>
      <c r="G107" s="58" t="s">
        <v>86</v>
      </c>
      <c r="H107" s="56" t="s">
        <v>86</v>
      </c>
      <c r="I107" s="8" t="s">
        <v>95</v>
      </c>
    </row>
    <row r="108">
      <c r="A108" s="1"/>
      <c r="B108" s="54" t="s">
        <v>108</v>
      </c>
      <c r="C108" s="32">
        <f>C96+C102</f>
        <v>698.894</v>
      </c>
      <c r="D108" s="32">
        <f>D96+D102</f>
        <v>715.4849999999999</v>
      </c>
      <c r="E108" s="32">
        <f>E96+E102</f>
        <v>2717.3869999999997</v>
      </c>
      <c r="F108" s="32">
        <f>F96+F102</f>
        <v>672.89</v>
      </c>
      <c r="G108" s="32">
        <f>G96+G102</f>
        <v>732.0420000000001</v>
      </c>
      <c r="H108" s="44">
        <f>H96+H102</f>
        <v>703.6656011024658</v>
      </c>
      <c r="I108" s="1"/>
    </row>
    <row r="109">
      <c r="A109" s="1"/>
      <c r="B109" s="61" t="s">
        <v>82</v>
      </c>
      <c r="C109" s="55">
        <f>IF(Inputs!C250*C108&gt;0,C108/Inputs!C250-1,"n/m")</f>
        <v>0.15738903774753488</v>
      </c>
      <c r="D109" s="55">
        <f>IF(Inputs!D250*D108&gt;0,D108/Inputs!D250-1,"n/m")</f>
        <v>0.132582167353406</v>
      </c>
      <c r="E109" s="55">
        <f>IF(Inputs!E250*E108&gt;0,E108/Inputs!E250-1,"n/m")</f>
        <v>0.16681187118891794</v>
      </c>
      <c r="F109" s="55">
        <f>IF(Inputs!F250*F108&gt;0,F108/Inputs!F250-1,"n/m")</f>
        <v>0.04770401649196887</v>
      </c>
      <c r="G109" s="55">
        <f>IF(Inputs!G250*G108&gt;0,G108/Inputs!G250-1,"n/m")</f>
        <v>0.10788551295788484</v>
      </c>
      <c r="H109" s="56">
        <f>IF(C108*H108&gt;0,H108/C108-1,"n/m")</f>
        <v>0.0068273602326902605</v>
      </c>
      <c r="I109" s="1"/>
    </row>
    <row r="110">
      <c r="A110" s="1"/>
      <c r="B110" s="43" t="s">
        <v>118</v>
      </c>
      <c r="C110" s="15">
        <f>C108-Inputs!G250</f>
        <v>38.138000000000034</v>
      </c>
      <c r="D110" s="4">
        <f>D108-C108</f>
        <v>16.590999999999894</v>
      </c>
      <c r="E110" s="4"/>
      <c r="F110" s="4">
        <f>F108-D108</f>
        <v>-42.594999999999914</v>
      </c>
      <c r="G110" s="4">
        <f>G108-F108</f>
        <v>59.15200000000016</v>
      </c>
      <c r="H110" s="33">
        <f>H108-G108</f>
        <v>-28.376398897534386</v>
      </c>
      <c r="I110" s="1"/>
    </row>
    <row r="111">
      <c r="A111" s="1"/>
      <c r="B111" s="61" t="s">
        <v>85</v>
      </c>
      <c r="C111" s="58" t="s">
        <v>86</v>
      </c>
      <c r="D111" s="58" t="s">
        <v>86</v>
      </c>
      <c r="E111" s="58" t="s">
        <v>86</v>
      </c>
      <c r="F111" s="58" t="s">
        <v>86</v>
      </c>
      <c r="G111" s="58" t="s">
        <v>86</v>
      </c>
      <c r="H111" s="56" t="s">
        <v>86</v>
      </c>
      <c r="I111" s="8" t="s">
        <v>94</v>
      </c>
    </row>
    <row r="112">
      <c r="A112" s="1"/>
      <c r="B112" s="61" t="s">
        <v>88</v>
      </c>
      <c r="C112" s="58" t="s">
        <v>86</v>
      </c>
      <c r="D112" s="58" t="s">
        <v>86</v>
      </c>
      <c r="E112" s="58" t="s">
        <v>86</v>
      </c>
      <c r="F112" s="58" t="s">
        <v>86</v>
      </c>
      <c r="G112" s="58" t="s">
        <v>86</v>
      </c>
      <c r="H112" s="56" t="s">
        <v>86</v>
      </c>
      <c r="I112" s="8" t="s">
        <v>95</v>
      </c>
    </row>
    <row r="113">
      <c r="A113" s="1"/>
      <c r="B113" s="61" t="s">
        <v>89</v>
      </c>
      <c r="C113" s="58" t="s">
        <v>86</v>
      </c>
      <c r="D113" s="58" t="s">
        <v>86</v>
      </c>
      <c r="E113" s="58" t="s">
        <v>86</v>
      </c>
      <c r="F113" s="58" t="s">
        <v>86</v>
      </c>
      <c r="G113" s="58" t="s">
        <v>86</v>
      </c>
      <c r="H113" s="56" t="s">
        <v>86</v>
      </c>
      <c r="I113" s="8" t="s">
        <v>95</v>
      </c>
    </row>
    <row r="114">
      <c r="A114" s="1"/>
      <c r="B114" s="31" t="s">
        <v>109</v>
      </c>
      <c r="C114" s="26">
        <v>40.124</v>
      </c>
      <c r="D114" s="26">
        <v>167.615</v>
      </c>
      <c r="E114" s="15">
        <f>Inputs!F241+Inputs!G241+C114+D114</f>
        <v>386.72900000000004</v>
      </c>
      <c r="F114" s="26">
        <v>78.126</v>
      </c>
      <c r="G114" s="26">
        <v>11.54</v>
      </c>
      <c r="H114" s="36">
        <f>'Revenue summary'!H117*H120</f>
        <v>50.36088719475196</v>
      </c>
      <c r="I114" s="8" t="s">
        <v>211</v>
      </c>
    </row>
    <row r="115">
      <c r="A115" s="1"/>
      <c r="B115" s="61" t="s">
        <v>82</v>
      </c>
      <c r="C115" s="55">
        <f>IF(Inputs!C241*C114&gt;0,C114/Inputs!C241-1,"n/m")</f>
        <v>-0.06527512463308949</v>
      </c>
      <c r="D115" s="55">
        <f>IF(Inputs!D241*D114&gt;0,D114/Inputs!D241-1,"n/m")</f>
        <v>0.023296845524087395</v>
      </c>
      <c r="E115" s="55">
        <f>IF(Inputs!E241*E114&gt;0,E114/Inputs!E241-1,"n/m")</f>
        <v>0.23519285066370288</v>
      </c>
      <c r="F115" s="55">
        <f>IF(Inputs!F241*F114&gt;0,F114/Inputs!F241-1,"n/m")</f>
        <v>-0.1470681354192822</v>
      </c>
      <c r="G115" s="55">
        <f>IF(Inputs!G241*G114&gt;0,G114/Inputs!G241-1,"n/m")</f>
        <v>-0.8679528108658588</v>
      </c>
      <c r="H115" s="56">
        <f>IF(C114*H114&gt;0,H114/C114-1,"n/m")</f>
        <v>0.2551312729227384</v>
      </c>
      <c r="I115" s="1"/>
    </row>
    <row r="116">
      <c r="A116" s="1"/>
      <c r="B116" s="43" t="s">
        <v>118</v>
      </c>
      <c r="C116" s="15">
        <f>C114-Inputs!G241</f>
        <v>-47.269</v>
      </c>
      <c r="D116" s="4">
        <f>D114-C114</f>
        <v>127.49100000000001</v>
      </c>
      <c r="E116" s="4"/>
      <c r="F116" s="4">
        <f>F114-D114</f>
        <v>-89.489</v>
      </c>
      <c r="G116" s="4">
        <f>G114-F114</f>
        <v>-66.58600000000001</v>
      </c>
      <c r="H116" s="33">
        <f>H114-G114</f>
        <v>38.82088719475196</v>
      </c>
      <c r="I116" s="1"/>
    </row>
    <row r="117">
      <c r="A117" s="1"/>
      <c r="B117" s="61" t="s">
        <v>85</v>
      </c>
      <c r="C117" s="58" t="s">
        <v>86</v>
      </c>
      <c r="D117" s="58" t="s">
        <v>86</v>
      </c>
      <c r="E117" s="58" t="s">
        <v>86</v>
      </c>
      <c r="F117" s="58" t="s">
        <v>86</v>
      </c>
      <c r="G117" s="58" t="s">
        <v>86</v>
      </c>
      <c r="H117" s="56" t="s">
        <v>86</v>
      </c>
      <c r="I117" s="8" t="s">
        <v>94</v>
      </c>
    </row>
    <row r="118">
      <c r="A118" s="1"/>
      <c r="B118" s="61" t="s">
        <v>88</v>
      </c>
      <c r="C118" s="58" t="s">
        <v>86</v>
      </c>
      <c r="D118" s="58" t="s">
        <v>86</v>
      </c>
      <c r="E118" s="58" t="s">
        <v>86</v>
      </c>
      <c r="F118" s="58" t="s">
        <v>86</v>
      </c>
      <c r="G118" s="58" t="s">
        <v>86</v>
      </c>
      <c r="H118" s="56" t="s">
        <v>86</v>
      </c>
      <c r="I118" s="8" t="s">
        <v>95</v>
      </c>
    </row>
    <row r="119">
      <c r="A119" s="1"/>
      <c r="B119" s="61" t="s">
        <v>89</v>
      </c>
      <c r="C119" s="58" t="s">
        <v>86</v>
      </c>
      <c r="D119" s="58" t="s">
        <v>86</v>
      </c>
      <c r="E119" s="58" t="s">
        <v>86</v>
      </c>
      <c r="F119" s="58" t="s">
        <v>86</v>
      </c>
      <c r="G119" s="58" t="s">
        <v>86</v>
      </c>
      <c r="H119" s="56" t="s">
        <v>86</v>
      </c>
      <c r="I119" s="8" t="s">
        <v>95</v>
      </c>
    </row>
    <row r="120">
      <c r="A120" s="1"/>
      <c r="B120" s="61" t="s">
        <v>212</v>
      </c>
      <c r="C120" s="55">
        <f>C114/'Revenue summary'!C92</f>
        <v>0.05386111607040981</v>
      </c>
      <c r="D120" s="55">
        <f>D114/'Revenue summary'!D92</f>
        <v>0.15851137472669638</v>
      </c>
      <c r="E120" s="55">
        <f>E114/'Revenue summary'!E92</f>
        <v>0.13735571539131722</v>
      </c>
      <c r="F120" s="55">
        <f>F114/'Revenue summary'!F92</f>
        <v>0.10009814297099018</v>
      </c>
      <c r="G120" s="55">
        <f>G114/'Revenue summary'!G92</f>
        <v>0.015789077625070976</v>
      </c>
      <c r="H120" s="71">
        <v>0.12</v>
      </c>
      <c r="I120" s="1"/>
    </row>
    <row r="121">
      <c r="A121" s="1"/>
      <c r="B121" s="66" t="s">
        <v>121</v>
      </c>
      <c r="C121" s="57">
        <f>IFERROR((C120-(Inputs!G241/Inputs!G115))*10000,"n/m")</f>
        <v>-1041.386705947141</v>
      </c>
      <c r="D121" s="62">
        <f>IFERROR((D120-C120)*10000,"n/m")</f>
        <v>1046.5025865628659</v>
      </c>
      <c r="E121" s="62"/>
      <c r="F121" s="62">
        <f>IFERROR((F120-D120)*10000,"n/m")</f>
        <v>-584.132317557062</v>
      </c>
      <c r="G121" s="62">
        <f>IFERROR((G120-F120)*10000,"n/m")</f>
        <v>-843.090653459192</v>
      </c>
      <c r="H121" s="59">
        <f>IFERROR((H120-G120)*10000,"n/m")</f>
        <v>1042.10922374929</v>
      </c>
      <c r="I121" s="1"/>
    </row>
    <row r="122">
      <c r="A122" s="1"/>
      <c r="B122" s="66" t="s">
        <v>122</v>
      </c>
      <c r="C122" s="57">
        <f>IFERROR((C120-(Inputs!C241/Inputs!C115))*10000,"n/m")</f>
        <v>-714.084589422117</v>
      </c>
      <c r="D122" s="57">
        <f>IFERROR((D120-(Inputs!D241/Inputs!D115))*10000,"n/m")</f>
        <v>-308.34119331656615</v>
      </c>
      <c r="E122" s="57">
        <f>IFERROR((E120-(Inputs!E241/Inputs!E115))*10000,"n/m")</f>
        <v>4.568277068039695</v>
      </c>
      <c r="F122" s="57">
        <f>IFERROR((F120-(Inputs!F241/Inputs!F115))*10000,"n/m")</f>
        <v>-990.1581437462079</v>
      </c>
      <c r="G122" s="57">
        <f>IFERROR((G120-(Inputs!G241/Inputs!G115))*10000,"n/m")</f>
        <v>-1422.1070904005292</v>
      </c>
      <c r="H122" s="59">
        <f>IFERROR((H120-C120)*10000,"n/m")</f>
        <v>661.3888392959019</v>
      </c>
      <c r="I122" s="1"/>
    </row>
    <row r="123">
      <c r="A123" s="1"/>
      <c r="B123" s="31" t="s">
        <v>110</v>
      </c>
      <c r="C123" s="26">
        <v>29.855</v>
      </c>
      <c r="D123" s="26">
        <v>192.312</v>
      </c>
      <c r="E123" s="15">
        <f>Inputs!F242+Inputs!G242+C123+D123</f>
        <v>335.87</v>
      </c>
      <c r="F123" s="26">
        <v>-5.705</v>
      </c>
      <c r="G123" s="26">
        <v>-4.622</v>
      </c>
      <c r="H123" s="36">
        <f>'Revenue summary'!H118*H129</f>
        <v>21.74674674318835</v>
      </c>
      <c r="I123" s="8" t="s">
        <v>213</v>
      </c>
    </row>
    <row r="124">
      <c r="A124" s="1"/>
      <c r="B124" s="61" t="s">
        <v>82</v>
      </c>
      <c r="C124" s="55">
        <f>IF(Inputs!C242*C123&gt;0,C123/Inputs!C242-1,"n/m")</f>
        <v>0.23169272659763185</v>
      </c>
      <c r="D124" s="55" t="str">
        <f>IF(Inputs!D242*D123&gt;0,IF(ABS(Inputs!D242)&lt;0.05*ABS(D123),"n/m",D123/Inputs!D242-1),"n/m")</f>
        <v>n/m</v>
      </c>
      <c r="E124" s="55">
        <f>IF(Inputs!E242*E123&gt;0,E123/Inputs!E242-1,"n/m")</f>
        <v>7.42729895872538</v>
      </c>
      <c r="F124" s="55" t="str">
        <f>IF(Inputs!F242*F123&gt;0,F123/Inputs!F242-1,"n/m")</f>
        <v>n/m</v>
      </c>
      <c r="G124" s="55" t="str">
        <f>IF(Inputs!G242*G123&gt;0,G123/Inputs!G242-1,"n/m")</f>
        <v>n/m</v>
      </c>
      <c r="H124" s="56">
        <f>IF(C123*H123&gt;0,H123/C123-1,"n/m")</f>
        <v>-0.271587782844135</v>
      </c>
      <c r="I124" s="102" t="s">
        <v>210</v>
      </c>
    </row>
    <row r="125">
      <c r="A125" s="1"/>
      <c r="B125" s="43" t="s">
        <v>118</v>
      </c>
      <c r="C125" s="15">
        <f>C123-Inputs!G242</f>
        <v>24.055</v>
      </c>
      <c r="D125" s="4">
        <f>D123-C123</f>
        <v>162.45700000000002</v>
      </c>
      <c r="E125" s="4"/>
      <c r="F125" s="4">
        <f>F123-D123</f>
        <v>-198.01700000000002</v>
      </c>
      <c r="G125" s="4">
        <f>G123-F123</f>
        <v>1.0830000000000002</v>
      </c>
      <c r="H125" s="33">
        <f>H123-G123</f>
        <v>26.36874674318835</v>
      </c>
      <c r="I125" s="1"/>
    </row>
    <row r="126">
      <c r="A126" s="1"/>
      <c r="B126" s="61" t="s">
        <v>85</v>
      </c>
      <c r="C126" s="58" t="s">
        <v>86</v>
      </c>
      <c r="D126" s="58" t="s">
        <v>86</v>
      </c>
      <c r="E126" s="58" t="s">
        <v>86</v>
      </c>
      <c r="F126" s="58" t="s">
        <v>86</v>
      </c>
      <c r="G126" s="58" t="s">
        <v>86</v>
      </c>
      <c r="H126" s="56" t="s">
        <v>86</v>
      </c>
      <c r="I126" s="8" t="s">
        <v>94</v>
      </c>
    </row>
    <row r="127">
      <c r="A127" s="1"/>
      <c r="B127" s="61" t="s">
        <v>88</v>
      </c>
      <c r="C127" s="58" t="s">
        <v>86</v>
      </c>
      <c r="D127" s="58" t="s">
        <v>86</v>
      </c>
      <c r="E127" s="58" t="s">
        <v>86</v>
      </c>
      <c r="F127" s="58" t="s">
        <v>86</v>
      </c>
      <c r="G127" s="58" t="s">
        <v>86</v>
      </c>
      <c r="H127" s="56" t="s">
        <v>86</v>
      </c>
      <c r="I127" s="8" t="s">
        <v>95</v>
      </c>
    </row>
    <row r="128">
      <c r="A128" s="1"/>
      <c r="B128" s="61" t="s">
        <v>89</v>
      </c>
      <c r="C128" s="58" t="s">
        <v>86</v>
      </c>
      <c r="D128" s="58" t="s">
        <v>86</v>
      </c>
      <c r="E128" s="58" t="s">
        <v>86</v>
      </c>
      <c r="F128" s="58" t="s">
        <v>86</v>
      </c>
      <c r="G128" s="58" t="s">
        <v>86</v>
      </c>
      <c r="H128" s="56" t="s">
        <v>86</v>
      </c>
      <c r="I128" s="8" t="s">
        <v>95</v>
      </c>
    </row>
    <row r="129">
      <c r="A129" s="1"/>
      <c r="B129" s="61" t="s">
        <v>214</v>
      </c>
      <c r="C129" s="55">
        <f>C123/'Revenue summary'!C99</f>
        <v>0.4774126489166067</v>
      </c>
      <c r="D129" s="55">
        <f>D123/'Revenue summary'!D99</f>
        <v>0.9163081233293786</v>
      </c>
      <c r="E129" s="55">
        <f>E123/'Revenue summary'!E99</f>
        <v>0.8001801102102953</v>
      </c>
      <c r="F129" s="55">
        <f>F123/'Revenue summary'!F99</f>
        <v>-0.17843180183279642</v>
      </c>
      <c r="G129" s="55">
        <f>G123/'Revenue summary'!G99</f>
        <v>-0.16807883923051745</v>
      </c>
      <c r="H129" s="71">
        <v>0.38</v>
      </c>
      <c r="I129" s="1"/>
    </row>
    <row r="130">
      <c r="A130" s="1"/>
      <c r="B130" s="66" t="s">
        <v>121</v>
      </c>
      <c r="C130" s="57">
        <f>IFERROR((C129-(Inputs!G242/Inputs!G116))*10000,"n/m")</f>
        <v>2802.745502795787</v>
      </c>
      <c r="D130" s="62">
        <f>IFERROR((D129-C129)*10000,"n/m")</f>
        <v>4388.954744127719</v>
      </c>
      <c r="E130" s="62"/>
      <c r="F130" s="62">
        <f>IFERROR((F129-D129)*10000,"n/m")</f>
        <v>-10947.39925162175</v>
      </c>
      <c r="G130" s="62">
        <f>IFERROR((G129-F129)*10000,"n/m")</f>
        <v>103.5296260227897</v>
      </c>
      <c r="H130" s="59">
        <f>IFERROR((H129-G129)*10000,"n/m")</f>
        <v>5480.788392305175</v>
      </c>
      <c r="I130" s="1"/>
    </row>
    <row r="131">
      <c r="A131" s="1"/>
      <c r="B131" s="66" t="s">
        <v>122</v>
      </c>
      <c r="C131" s="57">
        <f>IFERROR((C129-(Inputs!C242/Inputs!C116))*10000,"n/m")</f>
        <v>-1225.180492988724</v>
      </c>
      <c r="D131" s="57">
        <f>IFERROR((D129-(Inputs!D242/Inputs!D116))*10000,"n/m")</f>
        <v>5827.275197296441</v>
      </c>
      <c r="E131" s="57">
        <f>IFERROR((E129-(Inputs!E242/Inputs!E116))*10000,"n/m")</f>
        <v>3694.363192758553</v>
      </c>
      <c r="F131" s="57">
        <f>IFERROR((F129-(Inputs!F242/Inputs!F116))*10000,"n/m")</f>
        <v>-10935.619858714701</v>
      </c>
      <c r="G131" s="57">
        <f>IFERROR((G129-(Inputs!G242/Inputs!G116))*10000,"n/m")</f>
        <v>-3652.169378675454</v>
      </c>
      <c r="H131" s="59">
        <f>IFERROR((H129-C129)*10000,"n/m")</f>
        <v>-974.1264891660667</v>
      </c>
      <c r="I131" s="1"/>
    </row>
    <row r="132">
      <c r="A132" s="1"/>
      <c r="B132" s="54" t="s">
        <v>215</v>
      </c>
      <c r="C132" s="32">
        <f>C108+C114+C123</f>
        <v>768.873</v>
      </c>
      <c r="D132" s="32">
        <f>D108+D114+D123</f>
        <v>1075.4119999999998</v>
      </c>
      <c r="E132" s="64">
        <f>Inputs!F243+Inputs!G243+C132+D132</f>
        <v>3439.986</v>
      </c>
      <c r="F132" s="32">
        <f>F108+F114+F123</f>
        <v>745.3109999999999</v>
      </c>
      <c r="G132" s="32">
        <f>G108+G114+G123</f>
        <v>738.9600000000002</v>
      </c>
      <c r="H132" s="44">
        <f>H108+H114+H123</f>
        <v>775.7732350404061</v>
      </c>
      <c r="I132" s="1"/>
    </row>
    <row r="133">
      <c r="A133" s="1"/>
      <c r="B133" s="61" t="s">
        <v>82</v>
      </c>
      <c r="C133" s="55">
        <f>IF(Inputs!C243*C132&gt;0,C132/Inputs!C243-1,"n/m")</f>
        <v>0.1458289556629544</v>
      </c>
      <c r="D133" s="55">
        <f>IF(Inputs!D243*D132&gt;0,D132/Inputs!D243-1,"n/m")</f>
        <v>0.3374573421285654</v>
      </c>
      <c r="E133" s="55">
        <f>IF(Inputs!E243*E132&gt;0,E132/Inputs!E243-1,"n/m")</f>
        <v>0.2826933388419768</v>
      </c>
      <c r="F133" s="55">
        <f>IF(Inputs!F243*F132&gt;0,F132/Inputs!F243-1,"n/m")</f>
        <v>-0.11457175034927158</v>
      </c>
      <c r="G133" s="55">
        <f>IF(Inputs!G243*G132&gt;0,G132/Inputs!G243-1,"n/m")</f>
        <v>-0.019880655057569974</v>
      </c>
      <c r="H133" s="56">
        <f>IF(C132*H132&gt;0,H132/C132-1,"n/m")</f>
        <v>0.008974479582982031</v>
      </c>
      <c r="I133" s="1"/>
    </row>
    <row r="134">
      <c r="A134" s="1"/>
      <c r="B134" s="43" t="s">
        <v>118</v>
      </c>
      <c r="C134" s="15">
        <f>C132-Inputs!G243</f>
        <v>14.924000000000092</v>
      </c>
      <c r="D134" s="4">
        <f>D132-C132</f>
        <v>306.53899999999976</v>
      </c>
      <c r="E134" s="4"/>
      <c r="F134" s="4">
        <f>F132-D132</f>
        <v>-330.1009999999999</v>
      </c>
      <c r="G134" s="4">
        <f>G132-F132</f>
        <v>-6.350999999999772</v>
      </c>
      <c r="H134" s="33">
        <f>H132-G132</f>
        <v>36.81323504040597</v>
      </c>
      <c r="I134" s="1"/>
    </row>
    <row r="135">
      <c r="A135" s="1"/>
      <c r="B135" s="61" t="s">
        <v>85</v>
      </c>
      <c r="C135" s="58" t="s">
        <v>86</v>
      </c>
      <c r="D135" s="58" t="s">
        <v>86</v>
      </c>
      <c r="E135" s="58" t="s">
        <v>86</v>
      </c>
      <c r="F135" s="58" t="s">
        <v>86</v>
      </c>
      <c r="G135" s="58" t="s">
        <v>86</v>
      </c>
      <c r="H135" s="56" t="s">
        <v>86</v>
      </c>
      <c r="I135" s="8" t="s">
        <v>94</v>
      </c>
    </row>
    <row r="136">
      <c r="A136" s="1"/>
      <c r="B136" s="61" t="s">
        <v>88</v>
      </c>
      <c r="C136" s="58" t="s">
        <v>86</v>
      </c>
      <c r="D136" s="58" t="s">
        <v>86</v>
      </c>
      <c r="E136" s="58" t="s">
        <v>86</v>
      </c>
      <c r="F136" s="58" t="s">
        <v>86</v>
      </c>
      <c r="G136" s="58" t="s">
        <v>86</v>
      </c>
      <c r="H136" s="56" t="s">
        <v>86</v>
      </c>
      <c r="I136" s="8" t="s">
        <v>95</v>
      </c>
    </row>
    <row r="137">
      <c r="A137" s="1"/>
      <c r="B137" s="61" t="s">
        <v>89</v>
      </c>
      <c r="C137" s="58" t="s">
        <v>86</v>
      </c>
      <c r="D137" s="58" t="s">
        <v>86</v>
      </c>
      <c r="E137" s="58" t="s">
        <v>86</v>
      </c>
      <c r="F137" s="58" t="s">
        <v>86</v>
      </c>
      <c r="G137" s="58" t="s">
        <v>86</v>
      </c>
      <c r="H137" s="56" t="s">
        <v>86</v>
      </c>
      <c r="I137" s="8" t="s">
        <v>95</v>
      </c>
    </row>
    <row r="138">
      <c r="A138" s="1"/>
      <c r="B138" s="43" t="s">
        <v>216</v>
      </c>
      <c r="C138" s="26">
        <v>768.873</v>
      </c>
      <c r="D138" s="26">
        <v>1075.412</v>
      </c>
      <c r="E138" s="26">
        <v>3439.986</v>
      </c>
      <c r="F138" s="26">
        <v>745.311</v>
      </c>
      <c r="G138" s="26">
        <v>738.96</v>
      </c>
      <c r="H138" s="33"/>
      <c r="I138" s="8" t="s">
        <v>217</v>
      </c>
    </row>
    <row r="139">
      <c r="A139" s="1"/>
      <c r="B139" s="43" t="s">
        <v>218</v>
      </c>
      <c r="C139" s="4">
        <f>C132-C138</f>
        <v>0</v>
      </c>
      <c r="D139" s="4">
        <f>D132-D138</f>
        <v>0</v>
      </c>
      <c r="E139" s="4">
        <f>E132-E138</f>
        <v>0</v>
      </c>
      <c r="F139" s="4">
        <f>F132-F138</f>
        <v>0</v>
      </c>
      <c r="G139" s="4">
        <f>G132-G138</f>
        <v>0</v>
      </c>
      <c r="H139" s="33"/>
      <c r="I139" s="1"/>
    </row>
    <row r="140">
      <c r="A140" s="1"/>
      <c r="B140" s="1"/>
      <c r="C140" s="3"/>
      <c r="D140" s="3"/>
      <c r="E140" s="3"/>
      <c r="F140" s="3"/>
      <c r="G140" s="3"/>
      <c r="H140" s="37"/>
      <c r="I140" s="1"/>
    </row>
    <row r="141">
      <c r="A141" s="1"/>
      <c r="B141" s="2" t="s">
        <v>219</v>
      </c>
      <c r="C141" s="4"/>
      <c r="D141" s="4"/>
      <c r="E141" s="4"/>
      <c r="F141" s="4"/>
      <c r="G141" s="4"/>
      <c r="H141" s="33"/>
      <c r="I141" s="1"/>
    </row>
    <row r="142">
      <c r="A142" s="1"/>
      <c r="B142" s="31" t="s">
        <v>220</v>
      </c>
      <c r="C142" s="26">
        <v>-218.425</v>
      </c>
      <c r="D142" s="26">
        <v>-229.288</v>
      </c>
      <c r="E142" s="15">
        <f>Inputs!F244+Inputs!G244+C142+D142</f>
        <v>-869.636</v>
      </c>
      <c r="F142" s="26">
        <v>-226.493</v>
      </c>
      <c r="G142" s="26">
        <v>-237.568</v>
      </c>
      <c r="H142" s="33">
        <f>-H145*H108</f>
        <v>-232.2096483638137</v>
      </c>
      <c r="I142" s="8" t="s">
        <v>221</v>
      </c>
    </row>
    <row r="143">
      <c r="A143" s="1"/>
      <c r="B143" s="61" t="s">
        <v>82</v>
      </c>
      <c r="C143" s="55">
        <f>IF(Inputs!C244*C142&gt;0,C142/Inputs!C244-1,"n/m")</f>
        <v>0.20287356954831326</v>
      </c>
      <c r="D143" s="55">
        <f>IF(Inputs!D244*D142&gt;0,D142/Inputs!D244-1,"n/m")</f>
        <v>0.028372547788412472</v>
      </c>
      <c r="E143" s="55">
        <f>IF(Inputs!E244*E142&gt;0,E142/Inputs!E244-1,"n/m")</f>
        <v>0.15089065932611634</v>
      </c>
      <c r="F143" s="55">
        <f>IF(Inputs!F244*F142&gt;0,F142/Inputs!F244-1,"n/m")</f>
        <v>0.1233768810324476</v>
      </c>
      <c r="G143" s="55">
        <f>IF(Inputs!G244*G142&gt;0,G142/Inputs!G244-1,"n/m")</f>
        <v>0.07835954699167069</v>
      </c>
      <c r="H143" s="56">
        <f>IF(C142*H142&gt;0,H142/C142-1,"n/m")</f>
        <v>0.06310929776268148</v>
      </c>
      <c r="I143" s="1"/>
    </row>
    <row r="144">
      <c r="A144" s="1"/>
      <c r="B144" s="43" t="s">
        <v>118</v>
      </c>
      <c r="C144" s="15">
        <f>C142-Inputs!G244</f>
        <v>1.8799999999999955</v>
      </c>
      <c r="D144" s="4">
        <f>D142-C142</f>
        <v>-10.863</v>
      </c>
      <c r="E144" s="4"/>
      <c r="F144" s="4">
        <f>F142-D142</f>
        <v>2.795000000000016</v>
      </c>
      <c r="G144" s="4">
        <f>G142-F142</f>
        <v>-11.075000000000017</v>
      </c>
      <c r="H144" s="33">
        <f>H142-G142</f>
        <v>5.358351636186313</v>
      </c>
      <c r="I144" s="1"/>
    </row>
    <row r="145">
      <c r="A145" s="1"/>
      <c r="B145" s="61" t="s">
        <v>222</v>
      </c>
      <c r="C145" s="58">
        <f>-C142/C108</f>
        <v>0.3125295109129568</v>
      </c>
      <c r="D145" s="58">
        <f>-D142/D108</f>
        <v>0.32046513903156604</v>
      </c>
      <c r="E145" s="58">
        <f>-E142/E108</f>
        <v>0.320026554922063</v>
      </c>
      <c r="F145" s="58">
        <f>-F142/F108</f>
        <v>0.33659736361069414</v>
      </c>
      <c r="G145" s="58">
        <f>-G142/G108</f>
        <v>0.32452782763830484</v>
      </c>
      <c r="H145" s="71">
        <v>0.33</v>
      </c>
      <c r="I145" s="1"/>
    </row>
    <row r="146">
      <c r="A146" s="1"/>
      <c r="B146" s="66" t="s">
        <v>121</v>
      </c>
      <c r="C146" s="57">
        <f>IFERROR((C145-(-Inputs!G244/Inputs!G250))*10000,"n/m")</f>
        <v>-208.8403357245089</v>
      </c>
      <c r="D146" s="62">
        <f>IFERROR((D145-C145)*10000,"n/m")</f>
        <v>79.35628118609262</v>
      </c>
      <c r="E146" s="62"/>
      <c r="F146" s="62">
        <f>IFERROR((F145-D145)*10000,"n/m")</f>
        <v>161.32224579128106</v>
      </c>
      <c r="G146" s="62">
        <f>IFERROR((G145-F145)*10000,"n/m")</f>
        <v>-120.695359723893</v>
      </c>
      <c r="H146" s="59">
        <f>IFERROR((H145-G145)*10000,"n/m")</f>
        <v>54.721723616951714</v>
      </c>
      <c r="I146" s="1"/>
    </row>
    <row r="147">
      <c r="A147" s="1"/>
      <c r="B147" s="66" t="s">
        <v>122</v>
      </c>
      <c r="C147" s="57">
        <f>IFERROR((C145-(-Inputs!C244/Inputs!C250))*10000,"n/m")</f>
        <v>118.17749460685201</v>
      </c>
      <c r="D147" s="57">
        <f>IFERROR((D145-(-Inputs!D244/Inputs!D250))*10000,"n/m")</f>
        <v>-324.7417513637618</v>
      </c>
      <c r="E147" s="57">
        <f>IFERROR((E145-(-Inputs!E244/Inputs!E250))*10000,"n/m")</f>
        <v>-44.27189100327023</v>
      </c>
      <c r="F147" s="57">
        <f>IFERROR((F145-(-Inputs!F244/Inputs!F250))*10000,"n/m")</f>
        <v>226.7385694975732</v>
      </c>
      <c r="G147" s="57">
        <f>IFERROR((G145-(-Inputs!G244/Inputs!G250))*10000,"n/m")</f>
        <v>-88.8571684710282</v>
      </c>
      <c r="H147" s="59">
        <f>IFERROR((H145-C145)*10000,"n/m")</f>
        <v>174.7048908704324</v>
      </c>
      <c r="I147" s="1"/>
    </row>
    <row r="148">
      <c r="A148" s="1"/>
      <c r="B148" s="31" t="s">
        <v>223</v>
      </c>
      <c r="C148" s="26">
        <v>-113.12</v>
      </c>
      <c r="D148" s="26">
        <v>-133.577</v>
      </c>
      <c r="E148" s="15">
        <f>Inputs!F245+Inputs!G245+C148+D148</f>
        <v>-450.401</v>
      </c>
      <c r="F148" s="26">
        <v>-114.563</v>
      </c>
      <c r="G148" s="26">
        <v>-124.404</v>
      </c>
      <c r="H148" s="60">
        <v>-124</v>
      </c>
      <c r="I148" s="8" t="s">
        <v>155</v>
      </c>
    </row>
    <row r="149">
      <c r="A149" s="1"/>
      <c r="B149" s="61" t="s">
        <v>82</v>
      </c>
      <c r="C149" s="55">
        <f>IF(Inputs!C245*C148&gt;0,C148/Inputs!C245-1,"n/m")</f>
        <v>0.15716682351978406</v>
      </c>
      <c r="D149" s="55">
        <f>IF(Inputs!D245*D148&gt;0,D148/Inputs!D245-1,"n/m")</f>
        <v>0.3268271847746189</v>
      </c>
      <c r="E149" s="55">
        <f>IF(Inputs!E245*E148&gt;0,E148/Inputs!E245-1,"n/m")</f>
        <v>0.21286158220996687</v>
      </c>
      <c r="F149" s="55">
        <f>IF(Inputs!F245*F148&gt;0,F148/Inputs!F245-1,"n/m")</f>
        <v>0.18991877687529857</v>
      </c>
      <c r="G149" s="55">
        <f>IF(Inputs!G245*G148&gt;0,G148/Inputs!G245-1,"n/m")</f>
        <v>0.15804367657736473</v>
      </c>
      <c r="H149" s="56">
        <f>IF(C148*H148&gt;0,H148/C148-1,"n/m")</f>
        <v>0.09618104667609617</v>
      </c>
      <c r="I149" s="1"/>
    </row>
    <row r="150">
      <c r="A150" s="1"/>
      <c r="B150" s="43" t="s">
        <v>118</v>
      </c>
      <c r="C150" s="15">
        <f>C148-Inputs!G245</f>
        <v>-5.694000000000003</v>
      </c>
      <c r="D150" s="4">
        <f>D148-C148</f>
        <v>-20.456999999999994</v>
      </c>
      <c r="E150" s="4"/>
      <c r="F150" s="4">
        <f>F148-D148</f>
        <v>19.013999999999996</v>
      </c>
      <c r="G150" s="4">
        <f>G148-F148</f>
        <v>-9.840999999999994</v>
      </c>
      <c r="H150" s="33">
        <f>H148-G148</f>
        <v>0.40399999999999636</v>
      </c>
      <c r="I150" s="1"/>
    </row>
    <row r="151">
      <c r="A151" s="1"/>
      <c r="B151" s="54" t="s">
        <v>224</v>
      </c>
      <c r="C151" s="32">
        <f>C108+C142+C148</f>
        <v>367.349</v>
      </c>
      <c r="D151" s="32">
        <f>D108+D142+D148</f>
        <v>352.6199999999999</v>
      </c>
      <c r="E151" s="64">
        <f>Inputs!F246+Inputs!G246+C151+D151</f>
        <v>1397.35</v>
      </c>
      <c r="F151" s="32">
        <f>F108+F142+F148</f>
        <v>331.834</v>
      </c>
      <c r="G151" s="32">
        <f>G108+G142+G148</f>
        <v>370.07000000000016</v>
      </c>
      <c r="H151" s="44">
        <f>H108+H142+H148</f>
        <v>347.45595273865206</v>
      </c>
      <c r="I151" s="1"/>
    </row>
    <row r="152">
      <c r="A152" s="1"/>
      <c r="B152" s="61" t="s">
        <v>82</v>
      </c>
      <c r="C152" s="55">
        <f>IF(Inputs!C246*C151&gt;0,C151/Inputs!C246-1,"n/m")</f>
        <v>0.13200436347500233</v>
      </c>
      <c r="D152" s="55">
        <f>IF(Inputs!D246*D151&gt;0,D151/Inputs!D246-1,"n/m")</f>
        <v>0.14452454291398986</v>
      </c>
      <c r="E152" s="55">
        <f>IF(Inputs!E246*E151&gt;0,E151/Inputs!E246-1,"n/m")</f>
        <v>0.16259333985065627</v>
      </c>
      <c r="F152" s="55">
        <f>IF(Inputs!F246*F151&gt;0,F151/Inputs!F246-1,"n/m")</f>
        <v>-0.03636353076467369</v>
      </c>
      <c r="G152" s="55">
        <f>IF(Inputs!G246*G151&gt;0,G151/Inputs!G246-1,"n/m")</f>
        <v>0.11123789505292447</v>
      </c>
      <c r="H152" s="56">
        <f>IF(C151*H151&gt;0,H151/C151-1,"n/m")</f>
        <v>-0.054152991464106126</v>
      </c>
      <c r="I152" s="1"/>
    </row>
    <row r="153">
      <c r="A153" s="1"/>
      <c r="B153" s="43" t="s">
        <v>118</v>
      </c>
      <c r="C153" s="15">
        <f>C151-Inputs!G246</f>
        <v>34.32400000000001</v>
      </c>
      <c r="D153" s="4">
        <f>D151-C151</f>
        <v>-14.729000000000099</v>
      </c>
      <c r="E153" s="4"/>
      <c r="F153" s="4">
        <f>F151-D151</f>
        <v>-20.785999999999888</v>
      </c>
      <c r="G153" s="4">
        <f>G151-F151</f>
        <v>38.23600000000016</v>
      </c>
      <c r="H153" s="33">
        <f>H151-G151</f>
        <v>-22.614047261348105</v>
      </c>
      <c r="I153" s="1"/>
    </row>
    <row r="154">
      <c r="A154" s="1"/>
      <c r="B154" s="61" t="s">
        <v>225</v>
      </c>
      <c r="C154" s="58">
        <f>C151/C108</f>
        <v>0.5256147570303937</v>
      </c>
      <c r="D154" s="58">
        <f>D151/D108</f>
        <v>0.4928405207656344</v>
      </c>
      <c r="E154" s="58">
        <f>E151/E108</f>
        <v>0.5142256145333735</v>
      </c>
      <c r="F154" s="58">
        <f>F151/F108</f>
        <v>0.493147468382648</v>
      </c>
      <c r="G154" s="58">
        <f>G151/G108</f>
        <v>0.5055311034066353</v>
      </c>
      <c r="H154" s="56">
        <f>H151/H108</f>
        <v>0.49377993210734844</v>
      </c>
      <c r="I154" s="1"/>
    </row>
    <row r="155">
      <c r="A155" s="1"/>
      <c r="B155" s="66" t="s">
        <v>121</v>
      </c>
      <c r="C155" s="57">
        <f>IFERROR((C154-(Inputs!G246/Inputs!G250))*10000,"n/m")</f>
        <v>216.08739680570199</v>
      </c>
      <c r="D155" s="62">
        <f>IFERROR((D154-C154)*10000,"n/m")</f>
        <v>-327.7423626475934</v>
      </c>
      <c r="E155" s="62"/>
      <c r="F155" s="62">
        <f>IFERROR((F154-D154)*10000,"n/m")</f>
        <v>3.0694761701360873</v>
      </c>
      <c r="G155" s="62">
        <f>IFERROR((G154-F154)*10000,"n/m")</f>
        <v>123.83635023987316</v>
      </c>
      <c r="H155" s="59">
        <f>IFERROR((H154-G154)*10000,"n/m")</f>
        <v>-117.51171299286878</v>
      </c>
      <c r="I155" s="1"/>
    </row>
    <row r="156">
      <c r="A156" s="1"/>
      <c r="B156" s="66" t="s">
        <v>122</v>
      </c>
      <c r="C156" s="57">
        <f>IFERROR((C154-(Inputs!C246/Inputs!C250))*10000,"n/m")</f>
        <v>-117.86667817334285</v>
      </c>
      <c r="D156" s="57">
        <f>IFERROR((D154-(Inputs!D246/Inputs!D250))*10000,"n/m")</f>
        <v>51.42473026809702</v>
      </c>
      <c r="E156" s="57">
        <f>IFERROR((E154-(Inputs!E246/Inputs!E250))*10000,"n/m")</f>
        <v>-18.658948021538222</v>
      </c>
      <c r="F156" s="57">
        <f>IFERROR((F154-(Inputs!F246/Inputs!F250))*10000,"n/m")</f>
        <v>-430.2213482606143</v>
      </c>
      <c r="G156" s="57">
        <f>IFERROR((G154-(Inputs!G246/Inputs!G250))*10000,"n/m")</f>
        <v>15.250860568117863</v>
      </c>
      <c r="H156" s="59">
        <f>IFERROR((H154-C154)*10000,"n/m")</f>
        <v>-318.3482492304529</v>
      </c>
      <c r="I156" s="1"/>
    </row>
    <row r="157">
      <c r="A157" s="1"/>
      <c r="B157" s="31" t="s">
        <v>226</v>
      </c>
      <c r="C157" s="26">
        <v>-21.123</v>
      </c>
      <c r="D157" s="26">
        <v>-69.442</v>
      </c>
      <c r="E157" s="15">
        <f>Inputs!F247+Inputs!G247+C157+D157</f>
        <v>-161.493</v>
      </c>
      <c r="F157" s="26">
        <v>-31.197</v>
      </c>
      <c r="G157" s="26">
        <v>-3.746</v>
      </c>
      <c r="H157" s="33">
        <f>-H160*H114</f>
        <v>-21.15157262179582</v>
      </c>
      <c r="I157" s="8" t="s">
        <v>227</v>
      </c>
    </row>
    <row r="158">
      <c r="A158" s="1"/>
      <c r="B158" s="61" t="s">
        <v>82</v>
      </c>
      <c r="C158" s="55">
        <f>IF(Inputs!C247*C157&gt;0,C157/Inputs!C247-1,"n/m")</f>
        <v>0.281035842076536</v>
      </c>
      <c r="D158" s="55">
        <f>IF(Inputs!D247*D157&gt;0,D157/Inputs!D247-1,"n/m")</f>
        <v>-0.011726866478809272</v>
      </c>
      <c r="E158" s="55">
        <f>IF(Inputs!E247*E157&gt;0,E157/Inputs!E247-1,"n/m")</f>
        <v>0.24403377139599747</v>
      </c>
      <c r="F158" s="55">
        <f>IF(Inputs!F247*F157&gt;0,F157/Inputs!F247-1,"n/m")</f>
        <v>-0.22960859365353747</v>
      </c>
      <c r="G158" s="55">
        <f>IF(Inputs!G247*G157&gt;0,G157/Inputs!G247-1,"n/m")</f>
        <v>-0.876909933296093</v>
      </c>
      <c r="H158" s="56">
        <f>IF(C157*H157&gt;0,H157/C157-1,"n/m")</f>
        <v>0.0013526782083899125</v>
      </c>
      <c r="I158" s="1"/>
    </row>
    <row r="159">
      <c r="A159" s="1"/>
      <c r="B159" s="43" t="s">
        <v>118</v>
      </c>
      <c r="C159" s="15">
        <f>C157-Inputs!G247</f>
        <v>9.309999999999999</v>
      </c>
      <c r="D159" s="4">
        <f>D157-C157</f>
        <v>-48.31899999999999</v>
      </c>
      <c r="E159" s="4"/>
      <c r="F159" s="4">
        <f>F157-D157</f>
        <v>38.24499999999999</v>
      </c>
      <c r="G159" s="4">
        <f>G157-F157</f>
        <v>27.451</v>
      </c>
      <c r="H159" s="33">
        <f>H157-G157</f>
        <v>-17.405572621795823</v>
      </c>
      <c r="I159" s="1"/>
    </row>
    <row r="160">
      <c r="A160" s="1"/>
      <c r="B160" s="61" t="s">
        <v>228</v>
      </c>
      <c r="C160" s="58">
        <f>IFERROR(-C157/C114,0)</f>
        <v>0.5264430266174858</v>
      </c>
      <c r="D160" s="58">
        <f>IFERROR(-D157/D114,0)</f>
        <v>0.4142946633654505</v>
      </c>
      <c r="E160" s="58">
        <f>IFERROR(-E157/E114,0)</f>
        <v>0.41758699244173564</v>
      </c>
      <c r="F160" s="58">
        <f>IFERROR(-F157/F114,0)</f>
        <v>0.399316488748944</v>
      </c>
      <c r="G160" s="58">
        <f>IFERROR(-G157/G114,0)</f>
        <v>0.32461005199306764</v>
      </c>
      <c r="H160" s="71">
        <v>0.42</v>
      </c>
      <c r="I160" s="1"/>
    </row>
    <row r="161">
      <c r="A161" s="1"/>
      <c r="B161" s="66" t="s">
        <v>121</v>
      </c>
      <c r="C161" s="57">
        <f>IFERROR((C160-(IFERROR(-Inputs!G247/Inputs!G241,0)))*10000,"n/m")</f>
        <v>1782.1147489137502</v>
      </c>
      <c r="D161" s="62">
        <f>IFERROR((D160-C160)*10000,"n/m")</f>
        <v>-1121.4836325203526</v>
      </c>
      <c r="E161" s="62"/>
      <c r="F161" s="62">
        <f>IFERROR((F160-D160)*10000,"n/m")</f>
        <v>-149.78174616506524</v>
      </c>
      <c r="G161" s="62">
        <f>IFERROR((G160-F160)*10000,"n/m")</f>
        <v>-747.0643675587635</v>
      </c>
      <c r="H161" s="59">
        <f>IFERROR((H160-G160)*10000,"n/m")</f>
        <v>953.8994800693234</v>
      </c>
      <c r="I161" s="1"/>
    </row>
    <row r="162">
      <c r="A162" s="1"/>
      <c r="B162" s="66" t="s">
        <v>122</v>
      </c>
      <c r="C162" s="57">
        <f>IFERROR((C160-(IFERROR(-Inputs!C247/Inputs!C241,0)))*10000,"n/m")</f>
        <v>1423.1685599828065</v>
      </c>
      <c r="D162" s="57">
        <f>IFERROR((D160-(IFERROR(-Inputs!D247/Inputs!D241,0)))*10000,"n/m")</f>
        <v>-146.82314515977345</v>
      </c>
      <c r="E162" s="57">
        <f>IFERROR((E160-(IFERROR(-Inputs!E247/Inputs!E241,0)))*10000,"n/m")</f>
        <v>29.676473291169735</v>
      </c>
      <c r="F162" s="57">
        <f>IFERROR((F160-(IFERROR(-Inputs!F247/Inputs!F241,0)))*10000,"n/m")</f>
        <v>-427.8314333507621</v>
      </c>
      <c r="G162" s="57">
        <f>IFERROR((G160-(IFERROR(-Inputs!G247/Inputs!G241,0)))*10000,"n/m")</f>
        <v>-236.21499733043117</v>
      </c>
      <c r="H162" s="59">
        <f>IFERROR((H160-C160)*10000,"n/m")</f>
        <v>-1064.4302661748577</v>
      </c>
      <c r="I162" s="1"/>
    </row>
    <row r="163">
      <c r="A163" s="1"/>
      <c r="B163" s="54" t="s">
        <v>229</v>
      </c>
      <c r="C163" s="32">
        <f>C114+C157+C123</f>
        <v>48.856</v>
      </c>
      <c r="D163" s="32">
        <f>D114+D157+D123</f>
        <v>290.485</v>
      </c>
      <c r="E163" s="64">
        <f>Inputs!F248+Inputs!G248+C163+D163</f>
        <v>561.106</v>
      </c>
      <c r="F163" s="32">
        <f>F114+F157+F123</f>
        <v>41.224000000000004</v>
      </c>
      <c r="G163" s="32">
        <f>G114+G157+G123</f>
        <v>3.171999999999999</v>
      </c>
      <c r="H163" s="44">
        <f>H114+H157+H123</f>
        <v>50.956061316144485</v>
      </c>
      <c r="I163" s="1"/>
    </row>
    <row r="164">
      <c r="A164" s="1"/>
      <c r="B164" s="61" t="s">
        <v>82</v>
      </c>
      <c r="C164" s="55">
        <f>IF(Inputs!C248*C163&gt;0,C163/Inputs!C248-1,"n/m")</f>
        <v>-0.03591443681427109</v>
      </c>
      <c r="D164" s="55">
        <f>IF(Inputs!D248*D163&gt;0,D163/Inputs!D248-1,"n/m")</f>
        <v>1.845743899213339</v>
      </c>
      <c r="E164" s="55">
        <f>IF(Inputs!E248*E163&gt;0,E163/Inputs!E248-1,"n/m")</f>
        <v>1.5146706224538726</v>
      </c>
      <c r="F164" s="55">
        <f>IF(Inputs!F248*F163&gt;0,F163/Inputs!F248-1,"n/m")</f>
        <v>-0.7407377126505456</v>
      </c>
      <c r="G164" s="55">
        <f>IF(Inputs!G248*G163&gt;0,G163/Inputs!G248-1,"n/m")</f>
        <v>-0.9494582536647547</v>
      </c>
      <c r="H164" s="56">
        <f>IF(C163*H163&gt;0,H163/C163-1,"n/m")</f>
        <v>0.04298471663960379</v>
      </c>
      <c r="I164" s="1"/>
    </row>
    <row r="165">
      <c r="A165" s="1"/>
      <c r="B165" s="43" t="s">
        <v>118</v>
      </c>
      <c r="C165" s="15">
        <f>C163-Inputs!G248</f>
        <v>-13.903999999999996</v>
      </c>
      <c r="D165" s="4">
        <f>D163-C163</f>
        <v>241.62900000000002</v>
      </c>
      <c r="E165" s="4"/>
      <c r="F165" s="4">
        <f>F163-D163</f>
        <v>-249.26100000000002</v>
      </c>
      <c r="G165" s="4">
        <f>G163-F163</f>
        <v>-38.05200000000001</v>
      </c>
      <c r="H165" s="33">
        <f>H163-G163</f>
        <v>47.78406131614449</v>
      </c>
      <c r="I165" s="1"/>
    </row>
    <row r="166">
      <c r="A166" s="1"/>
      <c r="B166" s="54" t="s">
        <v>230</v>
      </c>
      <c r="C166" s="32">
        <f>C151+C163</f>
        <v>416.205</v>
      </c>
      <c r="D166" s="32">
        <f>D151+D163</f>
        <v>643.1049999999999</v>
      </c>
      <c r="E166" s="64">
        <f>Inputs!F249+Inputs!G249+C166+D166</f>
        <v>1958.4559999999997</v>
      </c>
      <c r="F166" s="32">
        <f>F151+F163</f>
        <v>373.058</v>
      </c>
      <c r="G166" s="32">
        <f>G151+G163</f>
        <v>373.2420000000002</v>
      </c>
      <c r="H166" s="44">
        <f>H151+H163</f>
        <v>398.41201405479654</v>
      </c>
      <c r="I166" s="1"/>
    </row>
    <row r="167">
      <c r="A167" s="1"/>
      <c r="B167" s="61" t="s">
        <v>82</v>
      </c>
      <c r="C167" s="55">
        <f>IF(Inputs!C249*C166&gt;0,C166/Inputs!C249-1,"n/m")</f>
        <v>0.10932385897203534</v>
      </c>
      <c r="D167" s="55">
        <f>IF(Inputs!D249*D166&gt;0,D166/Inputs!D249-1,"n/m")</f>
        <v>0.5678986761586655</v>
      </c>
      <c r="E167" s="55">
        <f>IF(Inputs!E249*E166&gt;0,E166/Inputs!E249-1,"n/m")</f>
        <v>0.37429915133278757</v>
      </c>
      <c r="F167" s="55">
        <f>IF(Inputs!F249*F166&gt;0,F166/Inputs!F249-1,"n/m")</f>
        <v>-0.25886590339736293</v>
      </c>
      <c r="G167" s="55">
        <f>IF(Inputs!G249*G166&gt;0,G166/Inputs!G249-1,"n/m")</f>
        <v>-0.056957691676035815</v>
      </c>
      <c r="H167" s="56">
        <f>IF(C166*H166&gt;0,H166/C166-1,"n/m")</f>
        <v>-0.04275053386000516</v>
      </c>
      <c r="I167" s="1"/>
    </row>
    <row r="168">
      <c r="A168" s="1"/>
      <c r="B168" s="43" t="s">
        <v>118</v>
      </c>
      <c r="C168" s="15">
        <f>C166-Inputs!G249</f>
        <v>20.41999999999996</v>
      </c>
      <c r="D168" s="4">
        <f>D166-C166</f>
        <v>226.89999999999992</v>
      </c>
      <c r="E168" s="4"/>
      <c r="F168" s="4">
        <f>F166-D166</f>
        <v>-270.0469999999999</v>
      </c>
      <c r="G168" s="4">
        <f>G166-F166</f>
        <v>0.18400000000019645</v>
      </c>
      <c r="H168" s="33">
        <f>H166-G166</f>
        <v>25.170014054796354</v>
      </c>
      <c r="I168" s="1"/>
    </row>
    <row r="169">
      <c r="A169" s="1"/>
      <c r="B169" s="61" t="s">
        <v>231</v>
      </c>
      <c r="C169" s="58">
        <f>C166/C132</f>
        <v>0.5413182671260403</v>
      </c>
      <c r="D169" s="58">
        <f>D166/D132</f>
        <v>0.5980080192521564</v>
      </c>
      <c r="E169" s="58">
        <f>E166/E132</f>
        <v>0.5693209216549137</v>
      </c>
      <c r="F169" s="58">
        <f>F166/F132</f>
        <v>0.5005400430156003</v>
      </c>
      <c r="G169" s="58">
        <f>G166/G132</f>
        <v>0.5050909386164341</v>
      </c>
      <c r="H169" s="56">
        <f>H166/H132</f>
        <v>0.5135676200971864</v>
      </c>
      <c r="I169" s="1"/>
    </row>
    <row r="170">
      <c r="A170" s="1"/>
      <c r="B170" s="66" t="s">
        <v>121</v>
      </c>
      <c r="C170" s="57">
        <f>IFERROR((C169-(Inputs!G249/Inputs!G243))*10000,"n/m")</f>
        <v>163.68966841803444</v>
      </c>
      <c r="D170" s="62">
        <f>IFERROR((D169-C169)*10000,"n/m")</f>
        <v>566.8975212611615</v>
      </c>
      <c r="E170" s="62"/>
      <c r="F170" s="62">
        <f>IFERROR((F169-D169)*10000,"n/m")</f>
        <v>-974.6797623655611</v>
      </c>
      <c r="G170" s="62">
        <f>IFERROR((G169-F169)*10000,"n/m")</f>
        <v>45.508956008337705</v>
      </c>
      <c r="H170" s="59">
        <f>IFERROR((H169-G169)*10000,"n/m")</f>
        <v>84.76681480752313</v>
      </c>
      <c r="I170" s="1"/>
    </row>
    <row r="171">
      <c r="A171" s="1"/>
      <c r="B171" s="66" t="s">
        <v>122</v>
      </c>
      <c r="C171" s="57">
        <f>IFERROR((C169-(Inputs!C249/Inputs!C243))*10000,"n/m")</f>
        <v>-178.13441514102578</v>
      </c>
      <c r="D171" s="57">
        <f>IFERROR((D169-(Inputs!D249/Inputs!D243))*10000,"n/m")</f>
        <v>878.9200974057032</v>
      </c>
      <c r="E171" s="57">
        <f>IFERROR((E169-(Inputs!E249/Inputs!E243))*10000,"n/m")</f>
        <v>379.48874192083923</v>
      </c>
      <c r="F171" s="57">
        <f>IFERROR((F169-(Inputs!F249/Inputs!F243))*10000,"n/m")</f>
        <v>-974.5200214734562</v>
      </c>
      <c r="G171" s="57">
        <f>IFERROR((G169-(Inputs!G249/Inputs!G243))*10000,"n/m")</f>
        <v>-198.58361667802748</v>
      </c>
      <c r="H171" s="59">
        <f>IFERROR((H169-C169)*10000,"n/m")</f>
        <v>-277.5064702885388</v>
      </c>
      <c r="I171" s="1"/>
    </row>
    <row r="172">
      <c r="A172" s="1"/>
      <c r="B172" s="43" t="s">
        <v>232</v>
      </c>
      <c r="C172" s="26">
        <v>416.205</v>
      </c>
      <c r="D172" s="26">
        <v>643.105</v>
      </c>
      <c r="E172" s="26">
        <v>1958.456</v>
      </c>
      <c r="F172" s="26">
        <v>373.058</v>
      </c>
      <c r="G172" s="26">
        <v>373.242</v>
      </c>
      <c r="H172" s="33"/>
      <c r="I172" s="1"/>
    </row>
    <row r="173">
      <c r="A173" s="1"/>
      <c r="B173" s="43" t="s">
        <v>218</v>
      </c>
      <c r="C173" s="4">
        <f>C166-C172</f>
        <v>0</v>
      </c>
      <c r="D173" s="4">
        <f>D166-D172</f>
        <v>0</v>
      </c>
      <c r="E173" s="4">
        <f>E166-E172</f>
        <v>0</v>
      </c>
      <c r="F173" s="4">
        <f>F166-F172</f>
        <v>0</v>
      </c>
      <c r="G173" s="4">
        <f>G166-G172</f>
        <v>0</v>
      </c>
      <c r="H173" s="33"/>
      <c r="I173" s="1"/>
    </row>
    <row r="174">
      <c r="A174" s="1"/>
      <c r="B174" s="1"/>
      <c r="C174" s="3"/>
      <c r="D174" s="3"/>
      <c r="E174" s="3"/>
      <c r="F174" s="3"/>
      <c r="G174" s="3"/>
      <c r="H174" s="37"/>
      <c r="I174" s="1"/>
    </row>
    <row r="175">
      <c r="A175" s="1"/>
      <c r="B175" s="2" t="s">
        <v>233</v>
      </c>
      <c r="C175" s="4"/>
      <c r="D175" s="4"/>
      <c r="E175" s="4"/>
      <c r="F175" s="4"/>
      <c r="G175" s="4"/>
      <c r="H175" s="33"/>
      <c r="I175" s="1"/>
    </row>
    <row r="176">
      <c r="A176" s="1"/>
      <c r="B176" s="40" t="s">
        <v>297</v>
      </c>
      <c r="C176" s="68">
        <v>0.026</v>
      </c>
      <c r="D176" s="68">
        <v>0.024</v>
      </c>
      <c r="E176" s="68">
        <v>0.112</v>
      </c>
      <c r="F176" s="68">
        <v>0.006</v>
      </c>
      <c r="G176" s="68">
        <v>0.01</v>
      </c>
      <c r="H176" s="56"/>
      <c r="I176" s="8" t="s">
        <v>235</v>
      </c>
    </row>
    <row r="177">
      <c r="A177" s="1"/>
      <c r="B177" s="43" t="s">
        <v>121</v>
      </c>
      <c r="C177" s="57">
        <f>(C176-Inputs!G251)*10000</f>
        <v>-40</v>
      </c>
      <c r="D177" s="62">
        <f>IFERROR((D176-C176)*10000,"n/m")</f>
        <v>-19.999999999999982</v>
      </c>
      <c r="E177" s="62"/>
      <c r="F177" s="62">
        <f>IFERROR((F176-D176)*10000,"n/m")</f>
        <v>-180.00000000000003</v>
      </c>
      <c r="G177" s="62">
        <f>IFERROR((G176-F176)*10000,"n/m")</f>
        <v>40</v>
      </c>
      <c r="H177" s="59"/>
      <c r="I177" s="1"/>
    </row>
    <row r="178">
      <c r="A178" s="1"/>
      <c r="B178" s="43" t="s">
        <v>122</v>
      </c>
      <c r="C178" s="57">
        <f>(C176-Inputs!C251)*10000</f>
        <v>-100.00000000000006</v>
      </c>
      <c r="D178" s="57">
        <f>(D176-Inputs!D251)*10000</f>
        <v>-69.99999999999999</v>
      </c>
      <c r="E178" s="57">
        <f>(E176-Inputs!E251)*10000</f>
        <v>-450</v>
      </c>
      <c r="F178" s="57">
        <f>(F176-Inputs!F251)*10000</f>
        <v>-210.00000000000006</v>
      </c>
      <c r="G178" s="57">
        <f>(G176-Inputs!G251)*10000</f>
        <v>-199.99999999999997</v>
      </c>
      <c r="H178" s="59"/>
      <c r="I178" s="1"/>
    </row>
    <row r="179">
      <c r="A179" s="1"/>
      <c r="B179" s="40" t="s">
        <v>298</v>
      </c>
      <c r="C179" s="68">
        <v>0.016</v>
      </c>
      <c r="D179" s="68">
        <v>0.013</v>
      </c>
      <c r="E179" s="68">
        <v>0.06</v>
      </c>
      <c r="F179" s="68">
        <v>-0.013</v>
      </c>
      <c r="G179" s="68">
        <v>0.022</v>
      </c>
      <c r="H179" s="56"/>
      <c r="I179" s="8" t="s">
        <v>235</v>
      </c>
    </row>
    <row r="180">
      <c r="A180" s="1"/>
      <c r="B180" s="43" t="s">
        <v>121</v>
      </c>
      <c r="C180" s="57">
        <f>(C179-Inputs!G252)*10000</f>
        <v>-80</v>
      </c>
      <c r="D180" s="62">
        <f>IFERROR((D179-C179)*10000,"n/m")</f>
        <v>-30.00000000000001</v>
      </c>
      <c r="E180" s="62"/>
      <c r="F180" s="62">
        <f>IFERROR((F179-D179)*10000,"n/m")</f>
        <v>-260</v>
      </c>
      <c r="G180" s="62">
        <f>IFERROR((G179-F179)*10000,"n/m")</f>
        <v>349.99999999999994</v>
      </c>
      <c r="H180" s="59"/>
      <c r="I180" s="1"/>
    </row>
    <row r="181">
      <c r="A181" s="1"/>
      <c r="B181" s="43" t="s">
        <v>122</v>
      </c>
      <c r="C181" s="57">
        <f>(C179-Inputs!C252)*10000</f>
        <v>-80</v>
      </c>
      <c r="D181" s="57">
        <f>(D179-Inputs!D252)*10000</f>
        <v>-110.00000000000001</v>
      </c>
      <c r="E181" s="57">
        <f>(E179-Inputs!E252)*10000</f>
        <v>-350.00000000000006</v>
      </c>
      <c r="F181" s="57">
        <f>(F179-Inputs!F252)*10000</f>
        <v>-180</v>
      </c>
      <c r="G181" s="57">
        <f>(G179-Inputs!G252)*10000</f>
        <v>-20.000000000000018</v>
      </c>
      <c r="H181" s="59"/>
      <c r="I181" s="1"/>
    </row>
    <row r="182">
      <c r="A182" s="1"/>
      <c r="B182" s="1"/>
      <c r="C182" s="3"/>
      <c r="D182" s="3"/>
      <c r="E182" s="3"/>
      <c r="F182" s="3"/>
      <c r="G182" s="3"/>
      <c r="H182" s="37"/>
      <c r="I182" s="1"/>
    </row>
    <row r="183">
      <c r="A183" s="1"/>
      <c r="B183" s="2" t="s">
        <v>241</v>
      </c>
      <c r="C183" s="4"/>
      <c r="D183" s="4"/>
      <c r="E183" s="4"/>
      <c r="F183" s="4"/>
      <c r="G183" s="4"/>
      <c r="H183" s="33"/>
      <c r="I183" s="1"/>
    </row>
    <row r="184">
      <c r="A184" s="1"/>
      <c r="B184" s="54" t="s">
        <v>248</v>
      </c>
      <c r="C184" s="67">
        <v>372</v>
      </c>
      <c r="D184" s="67">
        <v>286</v>
      </c>
      <c r="E184" s="32">
        <f>D184</f>
        <v>286</v>
      </c>
      <c r="F184" s="67">
        <v>255</v>
      </c>
      <c r="G184" s="67">
        <v>252</v>
      </c>
      <c r="H184" s="44"/>
      <c r="I184" s="8" t="s">
        <v>299</v>
      </c>
    </row>
    <row r="185">
      <c r="A185" s="1"/>
      <c r="B185" s="61" t="s">
        <v>82</v>
      </c>
      <c r="C185" s="55">
        <f>IF(Inputs!C253*C184&gt;0,C184/Inputs!C253-1,"n/m")</f>
        <v>-0.17333333333333334</v>
      </c>
      <c r="D185" s="55">
        <f>IF(Inputs!D253*D184&gt;0,D184/Inputs!D253-1,"n/m")</f>
        <v>-0.286783042394015</v>
      </c>
      <c r="E185" s="55">
        <f>IF(Inputs!E253*E184&gt;0,E184/Inputs!E253-1,"n/m")</f>
        <v>-0.286783042394015</v>
      </c>
      <c r="F185" s="55">
        <f>IF(Inputs!F253*F184&gt;0,F184/Inputs!F253-1,"n/m")</f>
        <v>-0.31818181818181823</v>
      </c>
      <c r="G185" s="55">
        <f>IF(Inputs!G253*G184&gt;0,G184/Inputs!G253-1,"n/m")</f>
        <v>-0.31707317073170727</v>
      </c>
      <c r="H185" s="56"/>
      <c r="I185" s="1"/>
    </row>
    <row r="186">
      <c r="A186" s="1"/>
      <c r="B186" s="43" t="s">
        <v>118</v>
      </c>
      <c r="C186" s="15">
        <f>C184-Inputs!G253</f>
        <v>3</v>
      </c>
      <c r="D186" s="4">
        <f>D184-C184</f>
        <v>-86</v>
      </c>
      <c r="E186" s="4"/>
      <c r="F186" s="4">
        <f>F184-D184</f>
        <v>-31</v>
      </c>
      <c r="G186" s="4">
        <f>G184-F184</f>
        <v>-3</v>
      </c>
      <c r="H186" s="33"/>
      <c r="I186" s="1"/>
    </row>
    <row r="187">
      <c r="A187" s="1"/>
      <c r="B187" s="1"/>
      <c r="C187" s="3"/>
      <c r="D187" s="3"/>
      <c r="E187" s="3"/>
      <c r="F187" s="3"/>
      <c r="G187" s="3"/>
      <c r="H187" s="37"/>
      <c r="I187" s="1"/>
    </row>
    <row r="188">
      <c r="A188" s="1"/>
      <c r="B188" s="14" t="s">
        <v>252</v>
      </c>
      <c r="C188" s="4"/>
      <c r="D188" s="4"/>
      <c r="E188" s="4"/>
      <c r="F188" s="4"/>
      <c r="G188" s="4"/>
      <c r="H188" s="33"/>
      <c r="I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I181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2" t="s">
        <v>0</v>
      </c>
      <c r="C2" s="6"/>
      <c r="D2" s="6"/>
      <c r="E2" s="6"/>
      <c r="F2" s="6"/>
      <c r="G2" s="6"/>
      <c r="H2" s="6"/>
      <c r="I2" s="1"/>
    </row>
    <row r="3">
      <c r="A3" s="1"/>
      <c r="B3" s="2" t="s">
        <v>300</v>
      </c>
      <c r="C3" s="6"/>
      <c r="D3" s="6"/>
      <c r="E3" s="6"/>
      <c r="F3" s="6"/>
      <c r="G3" s="6"/>
      <c r="H3" s="6"/>
      <c r="I3" s="1"/>
    </row>
    <row r="4">
      <c r="A4" s="1"/>
      <c r="B4" s="1" t="s">
        <v>2</v>
      </c>
      <c r="C4" s="6"/>
      <c r="D4" s="6"/>
      <c r="E4" s="6"/>
      <c r="F4" s="6"/>
      <c r="G4" s="6"/>
      <c r="H4" s="6"/>
      <c r="I4" s="1"/>
    </row>
    <row r="5">
      <c r="A5" s="1"/>
      <c r="B5" s="29" t="s">
        <v>71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42" t="s">
        <v>4</v>
      </c>
    </row>
    <row r="6">
      <c r="A6" s="1"/>
      <c r="B6" s="19" t="s">
        <v>78</v>
      </c>
      <c r="C6" s="12">
        <v>45930</v>
      </c>
      <c r="D6" s="12">
        <v>46022</v>
      </c>
      <c r="E6" s="12">
        <v>46022</v>
      </c>
      <c r="F6" s="12">
        <v>46112</v>
      </c>
      <c r="G6" s="12">
        <v>46203</v>
      </c>
      <c r="H6" s="12">
        <v>46295</v>
      </c>
      <c r="I6" s="19"/>
    </row>
    <row r="7">
      <c r="A7" s="1"/>
      <c r="B7" s="27" t="s">
        <v>79</v>
      </c>
      <c r="C7" s="20">
        <v>92</v>
      </c>
      <c r="D7" s="20">
        <v>92</v>
      </c>
      <c r="E7" s="20">
        <v>365</v>
      </c>
      <c r="F7" s="20">
        <v>90</v>
      </c>
      <c r="G7" s="20">
        <v>91</v>
      </c>
      <c r="H7" s="20">
        <v>92</v>
      </c>
      <c r="I7" s="27"/>
    </row>
    <row r="8">
      <c r="A8" s="1"/>
      <c r="B8" s="1"/>
      <c r="C8" s="3"/>
      <c r="D8" s="3"/>
      <c r="E8" s="3"/>
      <c r="F8" s="3"/>
      <c r="G8" s="3"/>
      <c r="H8" s="37"/>
      <c r="I8" s="1"/>
    </row>
    <row r="9">
      <c r="A9" s="1"/>
      <c r="B9" s="2" t="s">
        <v>144</v>
      </c>
      <c r="C9" s="4"/>
      <c r="D9" s="4"/>
      <c r="E9" s="4"/>
      <c r="F9" s="4"/>
      <c r="G9" s="4"/>
      <c r="H9" s="33"/>
      <c r="I9" s="1"/>
    </row>
    <row r="10">
      <c r="A10" s="1"/>
      <c r="B10" s="31" t="s">
        <v>145</v>
      </c>
      <c r="C10" s="15">
        <f>Inputs!G254</f>
        <v>80196</v>
      </c>
      <c r="D10" s="4">
        <f>C26</f>
        <v>83445</v>
      </c>
      <c r="E10" s="15">
        <f>Inputs!D254</f>
        <v>74993</v>
      </c>
      <c r="F10" s="4">
        <f>D26</f>
        <v>85647</v>
      </c>
      <c r="G10" s="4">
        <f>F26</f>
        <v>90997</v>
      </c>
      <c r="H10" s="33">
        <f>G26</f>
        <v>98114</v>
      </c>
      <c r="I10" s="8" t="s">
        <v>146</v>
      </c>
    </row>
    <row r="11">
      <c r="A11" s="1"/>
      <c r="B11" s="43" t="s">
        <v>147</v>
      </c>
      <c r="C11" s="26">
        <v>3734</v>
      </c>
      <c r="D11" s="26">
        <v>2941</v>
      </c>
      <c r="E11" s="15">
        <f>Inputs!F256+Inputs!G256+C11+D11</f>
        <v>12051</v>
      </c>
      <c r="F11" s="26">
        <v>4699</v>
      </c>
      <c r="G11" s="26">
        <v>4613</v>
      </c>
      <c r="H11" s="60">
        <v>5500</v>
      </c>
      <c r="I11" s="8" t="s">
        <v>148</v>
      </c>
    </row>
    <row r="12">
      <c r="A12" s="1"/>
      <c r="B12" s="65" t="s">
        <v>82</v>
      </c>
      <c r="C12" s="55">
        <f>IF(Inputs!C256*C11&gt;0,C11/Inputs!C256-1,"n/m")</f>
        <v>0.5461697722567287</v>
      </c>
      <c r="D12" s="55">
        <f>IF(Inputs!D256*D11&gt;0,D11/Inputs!D256-1,"n/m")</f>
        <v>0.09534450651769077</v>
      </c>
      <c r="E12" s="55">
        <f>IF(Inputs!E256*E11&gt;0,E11/Inputs!E256-1,"n/m")</f>
        <v>0.34527796383121223</v>
      </c>
      <c r="F12" s="55">
        <f>IF(Inputs!F256*F11&gt;0,F11/Inputs!F256-1,"n/m")</f>
        <v>0.9329494035376389</v>
      </c>
      <c r="G12" s="55">
        <f>IF(Inputs!G256*G11&gt;0,G11/Inputs!G256-1,"n/m")</f>
        <v>0.5663837011884549</v>
      </c>
      <c r="H12" s="56">
        <f>IF(C11*H11&gt;0,H11/C11-1,"n/m")</f>
        <v>0.47295125870380295</v>
      </c>
      <c r="I12" s="1"/>
    </row>
    <row r="13">
      <c r="A13" s="1"/>
      <c r="B13" s="66" t="s">
        <v>118</v>
      </c>
      <c r="C13" s="15">
        <f>C11-Inputs!G256</f>
        <v>789</v>
      </c>
      <c r="D13" s="4">
        <f>D11-C11</f>
        <v>-793</v>
      </c>
      <c r="E13" s="4"/>
      <c r="F13" s="4">
        <f>F11-D11</f>
        <v>1758</v>
      </c>
      <c r="G13" s="4">
        <f>G11-F11</f>
        <v>-86</v>
      </c>
      <c r="H13" s="33">
        <f>H11-G11</f>
        <v>887</v>
      </c>
      <c r="I13" s="1"/>
    </row>
    <row r="14">
      <c r="A14" s="1"/>
      <c r="B14" s="43" t="s">
        <v>149</v>
      </c>
      <c r="C14" s="26">
        <v>-1649</v>
      </c>
      <c r="D14" s="26">
        <v>-2360</v>
      </c>
      <c r="E14" s="15">
        <f>Inputs!F257+Inputs!G257+C14+D14</f>
        <v>-6734</v>
      </c>
      <c r="F14" s="26">
        <v>-1481</v>
      </c>
      <c r="G14" s="26">
        <v>-2122</v>
      </c>
      <c r="H14" s="33">
        <f>-H10*H34</f>
        <v>-2158.508</v>
      </c>
      <c r="I14" s="8" t="s">
        <v>150</v>
      </c>
    </row>
    <row r="15">
      <c r="A15" s="1"/>
      <c r="B15" s="65" t="s">
        <v>82</v>
      </c>
      <c r="C15" s="55">
        <f>IF(Inputs!C257*C14&gt;0,C14/Inputs!C257-1,"n/m")</f>
        <v>0.3341423948220066</v>
      </c>
      <c r="D15" s="55">
        <f>IF(Inputs!D257*D14&gt;0,D14/Inputs!D257-1,"n/m")</f>
        <v>-0.34716459197787</v>
      </c>
      <c r="E15" s="55">
        <f>IF(Inputs!E257*E14&gt;0,E14/Inputs!E257-1,"n/m")</f>
        <v>-0.23206751054852326</v>
      </c>
      <c r="F15" s="55">
        <f>IF(Inputs!F257*F14&gt;0,F14/Inputs!F257-1,"n/m")</f>
        <v>0.4295366795366795</v>
      </c>
      <c r="G15" s="55">
        <f>IF(Inputs!G257*G14&gt;0,G14/Inputs!G257-1,"n/m")</f>
        <v>0.256364712847839</v>
      </c>
      <c r="H15" s="56">
        <f>IF(C14*H14&gt;0,H14/C14-1,"n/m")</f>
        <v>0.3089799878714372</v>
      </c>
      <c r="I15" s="1"/>
    </row>
    <row r="16">
      <c r="A16" s="1"/>
      <c r="B16" s="66" t="s">
        <v>118</v>
      </c>
      <c r="C16" s="15">
        <f>C14-Inputs!G257</f>
        <v>40</v>
      </c>
      <c r="D16" s="4">
        <f>D14-C14</f>
        <v>-711</v>
      </c>
      <c r="E16" s="4"/>
      <c r="F16" s="4">
        <f>F14-D14</f>
        <v>879</v>
      </c>
      <c r="G16" s="4">
        <f>G14-F14</f>
        <v>-641</v>
      </c>
      <c r="H16" s="33">
        <f>H14-G14</f>
        <v>-36.50799999999981</v>
      </c>
      <c r="I16" s="1"/>
    </row>
    <row r="17">
      <c r="A17" s="1"/>
      <c r="B17" s="73" t="s">
        <v>151</v>
      </c>
      <c r="C17" s="32">
        <f>C11+C14</f>
        <v>2085</v>
      </c>
      <c r="D17" s="32">
        <f>D11+D14</f>
        <v>581</v>
      </c>
      <c r="E17" s="32">
        <f>E11+E14</f>
        <v>5317</v>
      </c>
      <c r="F17" s="32">
        <f>F11+F14</f>
        <v>3218</v>
      </c>
      <c r="G17" s="32">
        <f>G11+G14</f>
        <v>2491</v>
      </c>
      <c r="H17" s="44">
        <f>H11+H14</f>
        <v>3341.492</v>
      </c>
      <c r="I17" s="1"/>
    </row>
    <row r="18">
      <c r="A18" s="1"/>
      <c r="B18" s="65" t="s">
        <v>82</v>
      </c>
      <c r="C18" s="55">
        <f>IF(Inputs!C258*C17&gt;0,C17/Inputs!C258-1,"n/m")</f>
        <v>0.7684478371501273</v>
      </c>
      <c r="D18" s="55" t="str">
        <f>IF(Inputs!D258*D17&gt;0,D17/Inputs!D258-1,"n/m")</f>
        <v>n/m</v>
      </c>
      <c r="E18" s="55" t="str">
        <f>IF(Inputs!E258*E17&gt;0,IF(ABS(Inputs!E258)&lt;0.05*ABS(E17),"n/m",E17/Inputs!E258-1),"n/m")</f>
        <v>n/m</v>
      </c>
      <c r="F18" s="55">
        <f>IF(Inputs!F258*F17&gt;0,F17/Inputs!F258-1,"n/m")</f>
        <v>1.306810035842294</v>
      </c>
      <c r="G18" s="55">
        <f>IF(Inputs!G258*G17&gt;0,G17/Inputs!G258-1,"n/m")</f>
        <v>0.98328025477707</v>
      </c>
      <c r="H18" s="56">
        <f>IF(C17*H17&gt;0,H17/C17-1,"n/m")</f>
        <v>0.6026340527577938</v>
      </c>
      <c r="I18" s="102" t="s">
        <v>210</v>
      </c>
    </row>
    <row r="19">
      <c r="A19" s="1"/>
      <c r="B19" s="66" t="s">
        <v>118</v>
      </c>
      <c r="C19" s="15">
        <f>C17-Inputs!G258</f>
        <v>829</v>
      </c>
      <c r="D19" s="4">
        <f>D17-C17</f>
        <v>-1504</v>
      </c>
      <c r="E19" s="4"/>
      <c r="F19" s="4">
        <f>F17-D17</f>
        <v>2637</v>
      </c>
      <c r="G19" s="4">
        <f>G17-F17</f>
        <v>-727</v>
      </c>
      <c r="H19" s="33">
        <f>H17-G17</f>
        <v>850.4920000000002</v>
      </c>
      <c r="I19" s="1"/>
    </row>
    <row r="20">
      <c r="A20" s="1"/>
      <c r="B20" s="43" t="s">
        <v>152</v>
      </c>
      <c r="C20" s="26">
        <v>-919</v>
      </c>
      <c r="D20" s="26">
        <v>-969</v>
      </c>
      <c r="E20" s="15">
        <f>Inputs!F259+Inputs!G259+C20+D20</f>
        <v>-3363</v>
      </c>
      <c r="F20" s="26">
        <v>-613</v>
      </c>
      <c r="G20" s="26">
        <v>-677</v>
      </c>
      <c r="H20" s="60">
        <v>-700</v>
      </c>
      <c r="I20" s="8" t="s">
        <v>301</v>
      </c>
    </row>
    <row r="21">
      <c r="A21" s="1"/>
      <c r="B21" s="65" t="s">
        <v>82</v>
      </c>
      <c r="C21" s="55">
        <f>IF(Inputs!C259*C20&gt;0,C20/Inputs!C259-1,"n/m")</f>
        <v>1.3324873096446699</v>
      </c>
      <c r="D21" s="55">
        <f>IF(Inputs!D259*D20&gt;0,D20/Inputs!D259-1,"n/m")</f>
        <v>-0.12068965517241381</v>
      </c>
      <c r="E21" s="55">
        <f>IF(Inputs!E259*E20&gt;0,E20/Inputs!E259-1,"n/m")</f>
        <v>0.3425149700598802</v>
      </c>
      <c r="F21" s="55">
        <f>IF(Inputs!F259*F20&gt;0,F20/Inputs!F259-1,"n/m")</f>
        <v>-0.11544011544011545</v>
      </c>
      <c r="G21" s="55">
        <f>IF(Inputs!G259*G20&gt;0,G20/Inputs!G259-1,"n/m")</f>
        <v>-0.13427109974424556</v>
      </c>
      <c r="H21" s="56">
        <f>IF(C20*H20&gt;0,H20/C20-1,"n/m")</f>
        <v>-0.23830250272034825</v>
      </c>
      <c r="I21" s="1"/>
    </row>
    <row r="22">
      <c r="A22" s="1"/>
      <c r="B22" s="66" t="s">
        <v>118</v>
      </c>
      <c r="C22" s="15">
        <f>C20-Inputs!G259</f>
        <v>-137</v>
      </c>
      <c r="D22" s="4">
        <f>D20-C20</f>
        <v>-50</v>
      </c>
      <c r="E22" s="4"/>
      <c r="F22" s="4">
        <f>F20-D20</f>
        <v>356</v>
      </c>
      <c r="G22" s="4">
        <f>G20-F20</f>
        <v>-64</v>
      </c>
      <c r="H22" s="33">
        <f>H20-G20</f>
        <v>-23</v>
      </c>
      <c r="I22" s="1"/>
    </row>
    <row r="23">
      <c r="A23" s="1"/>
      <c r="B23" s="43" t="s">
        <v>154</v>
      </c>
      <c r="C23" s="26">
        <v>2083</v>
      </c>
      <c r="D23" s="26">
        <v>2590</v>
      </c>
      <c r="E23" s="15">
        <f>Inputs!F260+Inputs!G260+C23+D23</f>
        <v>8701</v>
      </c>
      <c r="F23" s="26">
        <v>2745</v>
      </c>
      <c r="G23" s="26">
        <v>5303</v>
      </c>
      <c r="H23" s="60">
        <v>2000</v>
      </c>
      <c r="I23" s="8" t="s">
        <v>155</v>
      </c>
    </row>
    <row r="24">
      <c r="A24" s="1"/>
      <c r="B24" s="65" t="s">
        <v>82</v>
      </c>
      <c r="C24" s="55">
        <f>IF(Inputs!C260*C23&gt;0,C23/Inputs!C260-1,"n/m")</f>
        <v>-0.015595463137996202</v>
      </c>
      <c r="D24" s="55">
        <f>IF(Inputs!D260*D23&gt;0,D23/Inputs!D260-1,"n/m")</f>
        <v>0.12364425162689807</v>
      </c>
      <c r="E24" s="55">
        <f>IF(Inputs!E260*E23&gt;0,E23/Inputs!E260-1,"n/m")</f>
        <v>-0.008658995100831679</v>
      </c>
      <c r="F24" s="55">
        <f>IF(Inputs!F260*F23&gt;0,F23/Inputs!F260-1,"n/m")</f>
        <v>0.38987341772151907</v>
      </c>
      <c r="G24" s="55">
        <f>IF(Inputs!G260*G23&gt;0,G23/Inputs!G260-1,"n/m")</f>
        <v>1.5830491962981004</v>
      </c>
      <c r="H24" s="56">
        <f>IF(C23*H23&gt;0,H23/C23-1,"n/m")</f>
        <v>-0.03984637542006719</v>
      </c>
      <c r="I24" s="1"/>
    </row>
    <row r="25">
      <c r="A25" s="1"/>
      <c r="B25" s="66" t="s">
        <v>118</v>
      </c>
      <c r="C25" s="15">
        <f>C23-Inputs!G260</f>
        <v>30</v>
      </c>
      <c r="D25" s="4">
        <f>D23-C23</f>
        <v>507</v>
      </c>
      <c r="E25" s="4"/>
      <c r="F25" s="4">
        <f>F23-D23</f>
        <v>155</v>
      </c>
      <c r="G25" s="4">
        <f>G23-F23</f>
        <v>2558</v>
      </c>
      <c r="H25" s="33">
        <f>H23-G23</f>
        <v>-3303</v>
      </c>
      <c r="I25" s="1"/>
    </row>
    <row r="26">
      <c r="A26" s="1"/>
      <c r="B26" s="54" t="s">
        <v>156</v>
      </c>
      <c r="C26" s="32">
        <f>C10+C17+C20+C23</f>
        <v>83445</v>
      </c>
      <c r="D26" s="32">
        <f>D10+D17+D20+D23</f>
        <v>85647</v>
      </c>
      <c r="E26" s="32">
        <f>E10+E17+E20+E23</f>
        <v>85648</v>
      </c>
      <c r="F26" s="32">
        <f>F10+F17+F20+F23</f>
        <v>90997</v>
      </c>
      <c r="G26" s="32">
        <f>G10+G17+G20+G23</f>
        <v>98114</v>
      </c>
      <c r="H26" s="44">
        <f>H10+H17+H20+H23</f>
        <v>102755.492</v>
      </c>
      <c r="I26" s="112" t="str">
        <f>"FY25 (E26) = derived annual rollforward (4Q24 closing + sum of four rounded quarterly flows), not reset to the 4Q25 quarterly-rollforward closing (D26); rounding residual E26-D26 = "&amp;TEXT(E26-D26,"+#,##0;-#,##0;0")&amp;"m; reported 12/31/25 stock in E29"</f>
        <v>FY25 (E26) = derived annual rollforward (4Q24 closing + sum of four rounded quarterly flows), not reset to the 4Q25 quarterly-rollforward closing (D26); rounding residual E26-D26 = +1m; reported 12/31/25 stock in E29</v>
      </c>
    </row>
    <row r="27">
      <c r="A27" s="1"/>
      <c r="B27" s="61" t="s">
        <v>82</v>
      </c>
      <c r="C27" s="55">
        <f>IF(Inputs!C254*C26&gt;0,C26/Inputs!C254-1,"n/m")</f>
        <v>0.1167692719486082</v>
      </c>
      <c r="D27" s="55">
        <f>IF(Inputs!D254*D26&gt;0,D26/Inputs!D254-1,"n/m")</f>
        <v>0.1420665928820024</v>
      </c>
      <c r="E27" s="55">
        <f>IF(Inputs!E254*E26&gt;0,E26/Inputs!E254-1,"n/m")</f>
        <v>0.14207992745989628</v>
      </c>
      <c r="F27" s="55">
        <f>IF(Inputs!F254*F26&gt;0,F26/Inputs!F254-1,"n/m")</f>
        <v>0.17158491051886182</v>
      </c>
      <c r="G27" s="55">
        <f>IF(Inputs!G254*G26&gt;0,G26/Inputs!G254-1,"n/m")</f>
        <v>0.22342760237418324</v>
      </c>
      <c r="H27" s="56">
        <f>IF(C26*H26&gt;0,H26/C26-1,"n/m")</f>
        <v>0.23141580681886276</v>
      </c>
      <c r="I27" s="1"/>
    </row>
    <row r="28">
      <c r="A28" s="1"/>
      <c r="B28" s="43" t="s">
        <v>118</v>
      </c>
      <c r="C28" s="15">
        <f>C26-Inputs!G254</f>
        <v>3249</v>
      </c>
      <c r="D28" s="4">
        <f>D26-C26</f>
        <v>2202</v>
      </c>
      <c r="E28" s="4"/>
      <c r="F28" s="4">
        <f>F26-D26</f>
        <v>5350</v>
      </c>
      <c r="G28" s="4">
        <f>G26-F26</f>
        <v>7117</v>
      </c>
      <c r="H28" s="33">
        <f>H26-G26</f>
        <v>4641.491999999998</v>
      </c>
      <c r="I28" s="1"/>
    </row>
    <row r="29">
      <c r="A29" s="1"/>
      <c r="B29" s="43" t="s">
        <v>157</v>
      </c>
      <c r="C29" s="26">
        <v>83444.609</v>
      </c>
      <c r="D29" s="26">
        <v>85647.665</v>
      </c>
      <c r="E29" s="4">
        <f>D29</f>
        <v>85647.665</v>
      </c>
      <c r="F29" s="26">
        <v>90997.797</v>
      </c>
      <c r="G29" s="26">
        <v>98113.68</v>
      </c>
      <c r="H29" s="33"/>
      <c r="I29" s="8" t="s">
        <v>158</v>
      </c>
    </row>
    <row r="30">
      <c r="A30" s="1"/>
      <c r="B30" s="43" t="s">
        <v>159</v>
      </c>
      <c r="C30" s="4">
        <f>IF(ABS(C26-C29)&lt;=5,0,C26-C29)</f>
        <v>0</v>
      </c>
      <c r="D30" s="4">
        <f>IF(ABS(D26-D29)&lt;=5,0,D26-D29)</f>
        <v>0</v>
      </c>
      <c r="E30" s="4">
        <f>IF(ABS(E26-E29)&lt;=5,0,E26-E29)</f>
        <v>0</v>
      </c>
      <c r="F30" s="4">
        <f>IF(ABS(F26-F29)&lt;=5,0,F26-F29)</f>
        <v>0</v>
      </c>
      <c r="G30" s="4">
        <f>IF(ABS(G26-G29)&lt;=5,0,G26-G29)</f>
        <v>0</v>
      </c>
      <c r="H30" s="33"/>
      <c r="I30" s="8" t="s">
        <v>160</v>
      </c>
    </row>
    <row r="31">
      <c r="A31" s="1"/>
      <c r="B31" s="31" t="s">
        <v>161</v>
      </c>
      <c r="C31" s="26">
        <v>81820.346</v>
      </c>
      <c r="D31" s="26">
        <v>84546.137</v>
      </c>
      <c r="E31" s="26">
        <v>80390.262</v>
      </c>
      <c r="F31" s="26">
        <v>88322.731</v>
      </c>
      <c r="G31" s="26">
        <v>94555.739</v>
      </c>
      <c r="H31" s="33">
        <f>AVERAGE(H10,H26)</f>
        <v>100434.746</v>
      </c>
      <c r="I31" s="8" t="s">
        <v>162</v>
      </c>
    </row>
    <row r="32">
      <c r="A32" s="1"/>
      <c r="B32" s="61" t="s">
        <v>82</v>
      </c>
      <c r="C32" s="55">
        <f>IF(Inputs!C261*C31&gt;0,C31/Inputs!C261-1,"n/m")</f>
        <v>0.11670930443662564</v>
      </c>
      <c r="D32" s="55">
        <f>IF(Inputs!D261*D31&gt;0,D31/Inputs!D261-1,"n/m")</f>
        <v>0.12944092617799785</v>
      </c>
      <c r="E32" s="55">
        <f>IF(Inputs!E261*E31&gt;0,E31/Inputs!E261-1,"n/m")</f>
        <v>0.11290455346895745</v>
      </c>
      <c r="F32" s="55">
        <f>IF(Inputs!F261*F31&gt;0,F31/Inputs!F261-1,"n/m")</f>
        <v>0.15709448410123117</v>
      </c>
      <c r="G32" s="55">
        <f>IF(Inputs!G261*G31&gt;0,G31/Inputs!G261-1,"n/m")</f>
        <v>0.19792533951140667</v>
      </c>
      <c r="H32" s="56">
        <f>IF(C31*H31&gt;0,H31/C31-1,"n/m")</f>
        <v>0.22750331561785364</v>
      </c>
      <c r="I32" s="1"/>
    </row>
    <row r="33">
      <c r="A33" s="1"/>
      <c r="B33" s="43" t="s">
        <v>118</v>
      </c>
      <c r="C33" s="15">
        <f>C31-Inputs!G261</f>
        <v>2887.4310000000114</v>
      </c>
      <c r="D33" s="4">
        <f>D31-C31</f>
        <v>2725.7909999999974</v>
      </c>
      <c r="E33" s="4"/>
      <c r="F33" s="4">
        <f>F31-D31</f>
        <v>3776.5939999999973</v>
      </c>
      <c r="G33" s="4">
        <f>G31-F31</f>
        <v>6233.008000000002</v>
      </c>
      <c r="H33" s="33">
        <f>H31-G31</f>
        <v>5879.006999999998</v>
      </c>
      <c r="I33" s="1"/>
    </row>
    <row r="34">
      <c r="A34" s="1"/>
      <c r="B34" s="40" t="s">
        <v>163</v>
      </c>
      <c r="C34" s="58">
        <f>-C14/C10</f>
        <v>0.020562122799142102</v>
      </c>
      <c r="D34" s="58">
        <f>-D14/D10</f>
        <v>0.02828210198334232</v>
      </c>
      <c r="E34" s="58">
        <f>-E14/E10</f>
        <v>0.08979504753777019</v>
      </c>
      <c r="F34" s="58">
        <f>-F14/F10</f>
        <v>0.017291907480705686</v>
      </c>
      <c r="G34" s="58">
        <f>-G14/G10</f>
        <v>0.023319450091761267</v>
      </c>
      <c r="H34" s="71">
        <v>0.022</v>
      </c>
      <c r="I34" s="8" t="s">
        <v>164</v>
      </c>
    </row>
    <row r="35">
      <c r="A35" s="1"/>
      <c r="B35" s="43" t="s">
        <v>121</v>
      </c>
      <c r="C35" s="57">
        <f>IFERROR((C34-(-Inputs!G257/Inputs!G255))*10000,"n/m")</f>
        <v>-11.837250185481249</v>
      </c>
      <c r="D35" s="62">
        <f>IFERROR((D34-C34)*10000,"n/m")</f>
        <v>77.1997918420022</v>
      </c>
      <c r="E35" s="62"/>
      <c r="F35" s="62">
        <f>IFERROR((F34-D34)*10000,"n/m")</f>
        <v>-109.90194502636635</v>
      </c>
      <c r="G35" s="62">
        <f>IFERROR((G34-F34)*10000,"n/m")</f>
        <v>60.27542611055581</v>
      </c>
      <c r="H35" s="59">
        <f>IFERROR((H34-G34)*10000,"n/m")</f>
        <v>-13.194500917612686</v>
      </c>
      <c r="I35" s="1"/>
    </row>
    <row r="36">
      <c r="A36" s="1"/>
      <c r="B36" s="43" t="s">
        <v>122</v>
      </c>
      <c r="C36" s="57">
        <f>IFERROR((C34-(-Inputs!C257/Inputs!C255))*10000,"n/m")</f>
        <v>33.51952646812602</v>
      </c>
      <c r="D36" s="57">
        <f>IFERROR((D34-(-Inputs!D257/Inputs!D255))*10000,"n/m")</f>
        <v>-200.98519001668382</v>
      </c>
      <c r="E36" s="57">
        <f>IFERROR((E34-(-Inputs!E257/Inputs!E255))*10000,"n/m")</f>
        <v>-381.597764860435</v>
      </c>
      <c r="F36" s="57">
        <f>IFERROR((F34-(-Inputs!F257/Inputs!F255))*10000,"n/m")</f>
        <v>34.772847825871956</v>
      </c>
      <c r="G36" s="57">
        <f>IFERROR((G34-(-Inputs!G257/Inputs!G255))*10000,"n/m")</f>
        <v>15.736022740710405</v>
      </c>
      <c r="H36" s="59">
        <f>IFERROR((H34-C34)*10000,"n/m")</f>
        <v>14.378772008578968</v>
      </c>
      <c r="I36" s="1"/>
    </row>
    <row r="37">
      <c r="A37" s="1"/>
      <c r="B37" s="40" t="s">
        <v>165</v>
      </c>
      <c r="C37" s="58">
        <f>C17/C10</f>
        <v>0.025998802932814605</v>
      </c>
      <c r="D37" s="58">
        <f>D17/D10</f>
        <v>0.0069626700221702914</v>
      </c>
      <c r="E37" s="58">
        <f>E17/E10</f>
        <v>0.0708999506620618</v>
      </c>
      <c r="F37" s="58">
        <f>F17/F10</f>
        <v>0.03757282800331593</v>
      </c>
      <c r="G37" s="58">
        <f>G17/G10</f>
        <v>0.02737452883062079</v>
      </c>
      <c r="H37" s="56">
        <f>H17/H10</f>
        <v>0.03405723953768066</v>
      </c>
      <c r="I37" s="111" t="s">
        <v>166</v>
      </c>
    </row>
    <row r="38">
      <c r="A38" s="1"/>
      <c r="B38" s="43" t="s">
        <v>121</v>
      </c>
      <c r="C38" s="57">
        <f>IFERROR((C37-(Inputs!G258/Inputs!G255))*10000,"n/m")</f>
        <v>98.27823146539339</v>
      </c>
      <c r="D38" s="62">
        <f>IFERROR((D37-C37)*10000,"n/m")</f>
        <v>-190.36132910644315</v>
      </c>
      <c r="E38" s="62"/>
      <c r="F38" s="62">
        <f>IFERROR((F37-D37)*10000,"n/m")</f>
        <v>306.1015798114564</v>
      </c>
      <c r="G38" s="62">
        <f>IFERROR((G37-F37)*10000,"n/m")</f>
        <v>-101.98299172695144</v>
      </c>
      <c r="H38" s="59">
        <f>IFERROR((H37-G37)*10000,"n/m")</f>
        <v>66.8271070705987</v>
      </c>
      <c r="I38" s="1"/>
    </row>
    <row r="39">
      <c r="A39" s="1"/>
      <c r="B39" s="43" t="s">
        <v>122</v>
      </c>
      <c r="C39" s="57">
        <f>IFERROR((C37-(Inputs!C258/Inputs!C255))*10000,"n/m")</f>
        <v>95.82305675859524</v>
      </c>
      <c r="D39" s="57">
        <f>IFERROR((D37-(Inputs!D258/Inputs!D255))*10000,"n/m")</f>
        <v>194.09136831592133</v>
      </c>
      <c r="E39" s="57">
        <f>IFERROR((E37-(Inputs!E258/Inputs!E255))*10000,"n/m")</f>
        <v>681.4211490650235</v>
      </c>
      <c r="F39" s="57">
        <f>IFERROR((F37-(Inputs!F258/Inputs!F255))*10000,"n/m")</f>
        <v>189.71091841274142</v>
      </c>
      <c r="G39" s="57">
        <f>IFERROR((G37-(Inputs!G258/Inputs!G255))*10000,"n/m")</f>
        <v>112.03549044345525</v>
      </c>
      <c r="H39" s="59">
        <f>IFERROR((H37-C37)*10000,"n/m")</f>
        <v>80.58436604866056</v>
      </c>
      <c r="I39" s="1"/>
    </row>
    <row r="40">
      <c r="A40" s="1"/>
      <c r="B40" s="1"/>
      <c r="C40" s="3"/>
      <c r="D40" s="3"/>
      <c r="E40" s="3"/>
      <c r="F40" s="3"/>
      <c r="G40" s="3"/>
      <c r="H40" s="37"/>
      <c r="I40" s="1"/>
    </row>
    <row r="41">
      <c r="A41" s="1"/>
      <c r="B41" s="2" t="s">
        <v>167</v>
      </c>
      <c r="C41" s="4"/>
      <c r="D41" s="4"/>
      <c r="E41" s="4"/>
      <c r="F41" s="4"/>
      <c r="G41" s="4"/>
      <c r="H41" s="33"/>
      <c r="I41" s="1"/>
    </row>
    <row r="42">
      <c r="A42" s="1"/>
      <c r="B42" s="31" t="s">
        <v>168</v>
      </c>
      <c r="C42" s="15">
        <f>Inputs!G262</f>
        <v>90009</v>
      </c>
      <c r="D42" s="4">
        <f>C58</f>
        <v>93317</v>
      </c>
      <c r="E42" s="15">
        <f>Inputs!D262</f>
        <v>84150</v>
      </c>
      <c r="F42" s="4">
        <f>D58</f>
        <v>96213</v>
      </c>
      <c r="G42" s="4">
        <f>F58</f>
        <v>101361</v>
      </c>
      <c r="H42" s="33">
        <f>G58</f>
        <v>108644</v>
      </c>
      <c r="I42" s="1"/>
    </row>
    <row r="43">
      <c r="A43" s="1"/>
      <c r="B43" s="43" t="s">
        <v>169</v>
      </c>
      <c r="C43" s="26">
        <v>3567</v>
      </c>
      <c r="D43" s="26">
        <v>3877</v>
      </c>
      <c r="E43" s="15">
        <f>Inputs!F264+Inputs!G264+C43+D43</f>
        <v>13583</v>
      </c>
      <c r="F43" s="26">
        <v>4393</v>
      </c>
      <c r="G43" s="26">
        <v>4576</v>
      </c>
      <c r="H43" s="60">
        <v>5500</v>
      </c>
      <c r="I43" s="1"/>
    </row>
    <row r="44">
      <c r="A44" s="1"/>
      <c r="B44" s="65" t="s">
        <v>82</v>
      </c>
      <c r="C44" s="55">
        <f>IF(Inputs!C264*C43&gt;0,C43/Inputs!C264-1,"n/m")</f>
        <v>0.14510433386837884</v>
      </c>
      <c r="D44" s="55">
        <f>IF(Inputs!D264*D43&gt;0,D43/Inputs!D264-1,"n/m")</f>
        <v>0.07485444968117538</v>
      </c>
      <c r="E44" s="55">
        <f>IF(Inputs!E264*E43&gt;0,E43/Inputs!E264-1,"n/m")</f>
        <v>0.23123640319071792</v>
      </c>
      <c r="F44" s="55">
        <f>IF(Inputs!F264*F43&gt;0,F43/Inputs!F264-1,"n/m")</f>
        <v>0.2826277372262773</v>
      </c>
      <c r="G44" s="55">
        <f>IF(Inputs!G264*G43&gt;0,G43/Inputs!G264-1,"n/m")</f>
        <v>0.6860722181282239</v>
      </c>
      <c r="H44" s="56">
        <f>IF(C43*H43&gt;0,H43/C43-1,"n/m")</f>
        <v>0.5419119708438465</v>
      </c>
      <c r="I44" s="1"/>
    </row>
    <row r="45">
      <c r="A45" s="1"/>
      <c r="B45" s="66" t="s">
        <v>118</v>
      </c>
      <c r="C45" s="15">
        <f>C43-Inputs!G264</f>
        <v>853</v>
      </c>
      <c r="D45" s="4">
        <f>D43-C43</f>
        <v>310</v>
      </c>
      <c r="E45" s="4"/>
      <c r="F45" s="4">
        <f>F43-D43</f>
        <v>516</v>
      </c>
      <c r="G45" s="4">
        <f>G43-F43</f>
        <v>183</v>
      </c>
      <c r="H45" s="33">
        <f>H43-G43</f>
        <v>924</v>
      </c>
      <c r="I45" s="1"/>
    </row>
    <row r="46">
      <c r="A46" s="1"/>
      <c r="B46" s="43" t="s">
        <v>170</v>
      </c>
      <c r="C46" s="26">
        <v>-1695</v>
      </c>
      <c r="D46" s="26">
        <v>-2701</v>
      </c>
      <c r="E46" s="15">
        <f>Inputs!F265+Inputs!G265+C46+D46</f>
        <v>-7316</v>
      </c>
      <c r="F46" s="26">
        <v>-1539</v>
      </c>
      <c r="G46" s="26">
        <v>-2298</v>
      </c>
      <c r="H46" s="60">
        <v>-2300</v>
      </c>
      <c r="I46" s="1"/>
    </row>
    <row r="47">
      <c r="A47" s="1"/>
      <c r="B47" s="65" t="s">
        <v>82</v>
      </c>
      <c r="C47" s="55">
        <f>IF(Inputs!C265*C46&gt;0,C46/Inputs!C265-1,"n/m")</f>
        <v>0.22382671480144412</v>
      </c>
      <c r="D47" s="55">
        <f>IF(Inputs!D265*D46&gt;0,D46/Inputs!D265-1,"n/m")</f>
        <v>-0.29953319502074693</v>
      </c>
      <c r="E47" s="55">
        <f>IF(Inputs!E265*E46&gt;0,E46/Inputs!E265-1,"n/m")</f>
        <v>-0.24483897605284888</v>
      </c>
      <c r="F47" s="55">
        <f>IF(Inputs!F265*F46&gt;0,F46/Inputs!F265-1,"n/m")</f>
        <v>0.3692170818505338</v>
      </c>
      <c r="G47" s="55">
        <f>IF(Inputs!G265*G46&gt;0,G46/Inputs!G265-1,"n/m")</f>
        <v>0.27951002227171484</v>
      </c>
      <c r="H47" s="56">
        <f>IF(C46*H46&gt;0,H46/C46-1,"n/m")</f>
        <v>0.3569321533923304</v>
      </c>
      <c r="I47" s="1"/>
    </row>
    <row r="48">
      <c r="A48" s="1"/>
      <c r="B48" s="66" t="s">
        <v>118</v>
      </c>
      <c r="C48" s="15">
        <f>C46-Inputs!G265</f>
        <v>101</v>
      </c>
      <c r="D48" s="4">
        <f>D46-C46</f>
        <v>-1006</v>
      </c>
      <c r="E48" s="4"/>
      <c r="F48" s="4">
        <f>F46-D46</f>
        <v>1162</v>
      </c>
      <c r="G48" s="4">
        <f>G46-F46</f>
        <v>-759</v>
      </c>
      <c r="H48" s="33">
        <f>H46-G46</f>
        <v>-2</v>
      </c>
      <c r="I48" s="1"/>
    </row>
    <row r="49">
      <c r="A49" s="1"/>
      <c r="B49" s="73" t="s">
        <v>151</v>
      </c>
      <c r="C49" s="32">
        <f>C43+C46</f>
        <v>1872</v>
      </c>
      <c r="D49" s="32">
        <f>D43+D46</f>
        <v>1176</v>
      </c>
      <c r="E49" s="32">
        <f>E43+E46</f>
        <v>6267</v>
      </c>
      <c r="F49" s="32">
        <f>F43+F46</f>
        <v>2854</v>
      </c>
      <c r="G49" s="32">
        <f>G43+G46</f>
        <v>2278</v>
      </c>
      <c r="H49" s="44">
        <f>H43+H46</f>
        <v>3200</v>
      </c>
      <c r="I49" s="1"/>
    </row>
    <row r="50">
      <c r="A50" s="1"/>
      <c r="B50" s="65" t="s">
        <v>82</v>
      </c>
      <c r="C50" s="55">
        <f>IF(Inputs!C266*C49&gt;0,C49/Inputs!C266-1,"n/m")</f>
        <v>0.08208092485549123</v>
      </c>
      <c r="D50" s="55" t="str">
        <f>IF(Inputs!D266*D49&gt;0,D49/Inputs!D266-1,"n/m")</f>
        <v>n/m</v>
      </c>
      <c r="E50" s="55">
        <f>IF(Inputs!E266*E49&gt;0,E49/Inputs!E266-1,"n/m")</f>
        <v>3.662946428571429</v>
      </c>
      <c r="F50" s="55">
        <f>IF(Inputs!F266*F49&gt;0,F49/Inputs!F266-1,"n/m")</f>
        <v>0.24033029117774873</v>
      </c>
      <c r="G50" s="55">
        <f>IF(Inputs!G266*G49&gt;0,G49/Inputs!G266-1,"n/m")</f>
        <v>1.4814814814814814</v>
      </c>
      <c r="H50" s="56">
        <f>IF(C49*H49&gt;0,H49/C49-1,"n/m")</f>
        <v>0.7094017094017093</v>
      </c>
      <c r="I50" s="1"/>
    </row>
    <row r="51">
      <c r="A51" s="1"/>
      <c r="B51" s="66" t="s">
        <v>118</v>
      </c>
      <c r="C51" s="15">
        <f>C49-Inputs!G266</f>
        <v>954</v>
      </c>
      <c r="D51" s="4">
        <f>D49-C49</f>
        <v>-696</v>
      </c>
      <c r="E51" s="4"/>
      <c r="F51" s="4">
        <f>F49-D49</f>
        <v>1678</v>
      </c>
      <c r="G51" s="4">
        <f>G49-F49</f>
        <v>-576</v>
      </c>
      <c r="H51" s="33">
        <f>H49-G49</f>
        <v>922</v>
      </c>
      <c r="I51" s="1"/>
    </row>
    <row r="52">
      <c r="A52" s="1"/>
      <c r="B52" s="43" t="s">
        <v>152</v>
      </c>
      <c r="C52" s="26">
        <v>-995</v>
      </c>
      <c r="D52" s="26">
        <v>-1069</v>
      </c>
      <c r="E52" s="15">
        <f>Inputs!F267+Inputs!G267+C52+D52</f>
        <v>-3714</v>
      </c>
      <c r="F52" s="26">
        <v>-638</v>
      </c>
      <c r="G52" s="26">
        <v>-710</v>
      </c>
      <c r="H52" s="60">
        <v>-700</v>
      </c>
      <c r="I52" s="1"/>
    </row>
    <row r="53">
      <c r="A53" s="1"/>
      <c r="B53" s="65" t="s">
        <v>82</v>
      </c>
      <c r="C53" s="55">
        <f>IF(Inputs!C267*C52&gt;0,C52/Inputs!C267-1,"n/m")</f>
        <v>1.2359550561797752</v>
      </c>
      <c r="D53" s="55">
        <f>IF(Inputs!D267*D52&gt;0,D52/Inputs!D267-1,"n/m")</f>
        <v>-0.09329940627650546</v>
      </c>
      <c r="E53" s="55">
        <f>IF(Inputs!E267*E52&gt;0,E52/Inputs!E267-1,"n/m")</f>
        <v>0.3609380725540492</v>
      </c>
      <c r="F53" s="55">
        <f>IF(Inputs!F267*F52&gt;0,F52/Inputs!F267-1,"n/m")</f>
        <v>-0.22666666666666668</v>
      </c>
      <c r="G53" s="55">
        <f>IF(Inputs!G267*G52&gt;0,G52/Inputs!G267-1,"n/m")</f>
        <v>-0.1393939393939394</v>
      </c>
      <c r="H53" s="56">
        <f>IF(C52*H52&gt;0,H52/C52-1,"n/m")</f>
        <v>-0.29648241206030146</v>
      </c>
      <c r="I53" s="1"/>
    </row>
    <row r="54">
      <c r="A54" s="1"/>
      <c r="B54" s="66" t="s">
        <v>118</v>
      </c>
      <c r="C54" s="15">
        <f>C52-Inputs!G267</f>
        <v>-170</v>
      </c>
      <c r="D54" s="4">
        <f>D52-C52</f>
        <v>-74</v>
      </c>
      <c r="E54" s="4"/>
      <c r="F54" s="4">
        <f>F52-D52</f>
        <v>431</v>
      </c>
      <c r="G54" s="4">
        <f>G52-F52</f>
        <v>-72</v>
      </c>
      <c r="H54" s="33">
        <f>H52-G52</f>
        <v>10</v>
      </c>
      <c r="I54" s="1"/>
    </row>
    <row r="55">
      <c r="A55" s="1"/>
      <c r="B55" s="43" t="s">
        <v>154</v>
      </c>
      <c r="C55" s="26">
        <v>2431</v>
      </c>
      <c r="D55" s="26">
        <v>2789</v>
      </c>
      <c r="E55" s="15">
        <f>Inputs!F268+Inputs!G268+C55+D55</f>
        <v>9509</v>
      </c>
      <c r="F55" s="26">
        <v>2932</v>
      </c>
      <c r="G55" s="26">
        <v>5715</v>
      </c>
      <c r="H55" s="60">
        <v>2200</v>
      </c>
      <c r="I55" s="1"/>
    </row>
    <row r="56">
      <c r="A56" s="1"/>
      <c r="B56" s="65" t="s">
        <v>82</v>
      </c>
      <c r="C56" s="55">
        <f>IF(Inputs!C268*C55&gt;0,C55/Inputs!C268-1,"n/m")</f>
        <v>0.07948490230905869</v>
      </c>
      <c r="D56" s="55">
        <f>IF(Inputs!D268*D55&gt;0,D55/Inputs!D268-1,"n/m")</f>
        <v>0.12595882115462254</v>
      </c>
      <c r="E56" s="55">
        <f>IF(Inputs!E268*E55&gt;0,E55/Inputs!E268-1,"n/m")</f>
        <v>0.017222935387248617</v>
      </c>
      <c r="F56" s="55">
        <f>IF(Inputs!F268*F55&gt;0,F55/Inputs!F268-1,"n/m")</f>
        <v>0.37330210772833716</v>
      </c>
      <c r="G56" s="55">
        <f>IF(Inputs!G268*G55&gt;0,G55/Inputs!G268-1,"n/m")</f>
        <v>1.6532033426183843</v>
      </c>
      <c r="H56" s="56">
        <f>IF(C55*H55&gt;0,H55/C55-1,"n/m")</f>
        <v>-0.09502262443438914</v>
      </c>
      <c r="I56" s="1"/>
    </row>
    <row r="57">
      <c r="A57" s="1"/>
      <c r="B57" s="66" t="s">
        <v>118</v>
      </c>
      <c r="C57" s="15">
        <f>C55-Inputs!G268</f>
        <v>277</v>
      </c>
      <c r="D57" s="4">
        <f>D55-C55</f>
        <v>358</v>
      </c>
      <c r="E57" s="4"/>
      <c r="F57" s="4">
        <f>F55-D55</f>
        <v>143</v>
      </c>
      <c r="G57" s="4">
        <f>G55-F55</f>
        <v>2783</v>
      </c>
      <c r="H57" s="33">
        <f>H55-G55</f>
        <v>-3515</v>
      </c>
      <c r="I57" s="1"/>
    </row>
    <row r="58">
      <c r="A58" s="1"/>
      <c r="B58" s="54" t="s">
        <v>128</v>
      </c>
      <c r="C58" s="32">
        <f>C42+C49+C52+C55</f>
        <v>93317</v>
      </c>
      <c r="D58" s="32">
        <f>D42+D49+D52+D55</f>
        <v>96213</v>
      </c>
      <c r="E58" s="32">
        <f>E42+E49+E52+E55</f>
        <v>96212</v>
      </c>
      <c r="F58" s="32">
        <f>F42+F49+F52+F55</f>
        <v>101361</v>
      </c>
      <c r="G58" s="32">
        <f>G42+G49+G52+G55</f>
        <v>108644</v>
      </c>
      <c r="H58" s="44">
        <f>H42+H49+H52+H55</f>
        <v>113344</v>
      </c>
      <c r="I58" s="112" t="str">
        <f>"FY25 (E58) = derived annual rollforward (4Q24 closing + sum of four rounded quarterly flows), not reset to the 4Q25 quarterly-rollforward closing (D58); rounding residual E58-D58 = "&amp;TEXT(E58-D58,"+#,##0;-#,##0;0")&amp;"m; reported 12/31/25 stock in E61"</f>
        <v>FY25 (E58) = derived annual rollforward (4Q24 closing + sum of four rounded quarterly flows), not reset to the 4Q25 quarterly-rollforward closing (D58); rounding residual E58-D58 = -1m; reported 12/31/25 stock in E61</v>
      </c>
    </row>
    <row r="59">
      <c r="A59" s="1"/>
      <c r="B59" s="61" t="s">
        <v>82</v>
      </c>
      <c r="C59" s="55">
        <f>IF(Inputs!C262*C58&gt;0,C58/Inputs!C262-1,"n/m")</f>
        <v>0.12293474206086574</v>
      </c>
      <c r="D59" s="55">
        <f>IF(Inputs!D262*D58&gt;0,D58/Inputs!D262-1,"n/m")</f>
        <v>0.14335115864527626</v>
      </c>
      <c r="E59" s="55">
        <f>IF(Inputs!E262*E58&gt;0,E58/Inputs!E262-1,"n/m")</f>
        <v>0.14333927510398103</v>
      </c>
      <c r="F59" s="55">
        <f>IF(Inputs!F262*F58&gt;0,F58/Inputs!F262-1,"n/m")</f>
        <v>0.1549400088875723</v>
      </c>
      <c r="G59" s="55">
        <f>IF(Inputs!G262*G58&gt;0,G58/Inputs!G262-1,"n/m")</f>
        <v>0.20703485207034844</v>
      </c>
      <c r="H59" s="56">
        <f>IF(C58*H58&gt;0,H58/C58-1,"n/m")</f>
        <v>0.2146125571975095</v>
      </c>
      <c r="I59" s="1"/>
    </row>
    <row r="60">
      <c r="A60" s="1"/>
      <c r="B60" s="43" t="s">
        <v>118</v>
      </c>
      <c r="C60" s="15">
        <f>C58-Inputs!G262</f>
        <v>3308</v>
      </c>
      <c r="D60" s="4">
        <f>D58-C58</f>
        <v>2896</v>
      </c>
      <c r="E60" s="4"/>
      <c r="F60" s="4">
        <f>F58-D58</f>
        <v>5148</v>
      </c>
      <c r="G60" s="4">
        <f>G58-F58</f>
        <v>7283</v>
      </c>
      <c r="H60" s="33">
        <f>H58-G58</f>
        <v>4700</v>
      </c>
      <c r="I60" s="1"/>
    </row>
    <row r="61">
      <c r="A61" s="1"/>
      <c r="B61" s="43" t="s">
        <v>171</v>
      </c>
      <c r="C61" s="26">
        <v>93318.077</v>
      </c>
      <c r="D61" s="26">
        <v>96213.597</v>
      </c>
      <c r="E61" s="4">
        <f>D61</f>
        <v>96213.597</v>
      </c>
      <c r="F61" s="26">
        <v>101361.359</v>
      </c>
      <c r="G61" s="26">
        <v>108644.278</v>
      </c>
      <c r="H61" s="33"/>
      <c r="I61" s="1"/>
    </row>
    <row r="62">
      <c r="A62" s="1"/>
      <c r="B62" s="43" t="s">
        <v>159</v>
      </c>
      <c r="C62" s="4">
        <f>IF(ABS(C58-C61)&lt;=5,0,C58-C61)</f>
        <v>0</v>
      </c>
      <c r="D62" s="4">
        <f>IF(ABS(D58-D61)&lt;=5,0,D58-D61)</f>
        <v>0</v>
      </c>
      <c r="E62" s="4">
        <f>IF(ABS(E58-E61)&lt;=5,0,E58-E61)</f>
        <v>0</v>
      </c>
      <c r="F62" s="4">
        <f>IF(ABS(F58-F61)&lt;=5,0,F58-F61)</f>
        <v>0</v>
      </c>
      <c r="G62" s="4">
        <f>IF(ABS(G58-G61)&lt;=5,0,G58-G61)</f>
        <v>0</v>
      </c>
      <c r="H62" s="33"/>
      <c r="I62" s="8" t="s">
        <v>172</v>
      </c>
    </row>
    <row r="63">
      <c r="A63" s="1"/>
      <c r="B63" s="40" t="s">
        <v>173</v>
      </c>
      <c r="C63" s="58">
        <f>C26/C58</f>
        <v>0.8942100581887544</v>
      </c>
      <c r="D63" s="58">
        <f>D26/D58</f>
        <v>0.8901811605500296</v>
      </c>
      <c r="E63" s="58">
        <f>E26/E58</f>
        <v>0.8902008065521972</v>
      </c>
      <c r="F63" s="58">
        <f>F26/F58</f>
        <v>0.8977516007142786</v>
      </c>
      <c r="G63" s="58">
        <f>G26/G58</f>
        <v>0.9030779426383417</v>
      </c>
      <c r="H63" s="56">
        <f>H26/H58</f>
        <v>0.9065807806324111</v>
      </c>
      <c r="I63" s="1"/>
    </row>
    <row r="64">
      <c r="A64" s="1"/>
      <c r="B64" s="43" t="s">
        <v>121</v>
      </c>
      <c r="C64" s="57">
        <f>IFERROR((C63-(Inputs!G254/Inputs!G262))*10000,"n/m")</f>
        <v>32.324892789787896</v>
      </c>
      <c r="D64" s="62">
        <f>IFERROR((D63-C63)*10000,"n/m")</f>
        <v>-40.28897638724827</v>
      </c>
      <c r="E64" s="62"/>
      <c r="F64" s="62">
        <f>IFERROR((F63-D63)*10000,"n/m")</f>
        <v>75.70440164249015</v>
      </c>
      <c r="G64" s="62">
        <f>IFERROR((G63-F63)*10000,"n/m")</f>
        <v>53.26341924063116</v>
      </c>
      <c r="H64" s="59">
        <f>IFERROR((H63-G63)*10000,"n/m")</f>
        <v>35.02837994069363</v>
      </c>
      <c r="I64" s="1"/>
    </row>
    <row r="65">
      <c r="A65" s="1"/>
      <c r="B65" s="43" t="s">
        <v>122</v>
      </c>
      <c r="C65" s="57">
        <f>IFERROR((C63-(Inputs!C254/Inputs!C262))*10000,"n/m")</f>
        <v>-49.367631491356036</v>
      </c>
      <c r="D65" s="57">
        <f>IFERROR((D63-(Inputs!D254/Inputs!D262))*10000,"n/m")</f>
        <v>-10.01251808853354</v>
      </c>
      <c r="E65" s="57">
        <f>IFERROR((E63-(Inputs!E254/Inputs!E262))*10000,"n/m")</f>
        <v>-9.816058066857147</v>
      </c>
      <c r="F65" s="57">
        <f>IFERROR((F63-(Inputs!F254/Inputs!F262))*10000,"n/m")</f>
        <v>127.54506266732358</v>
      </c>
      <c r="G65" s="57">
        <f>IFERROR((G63-(Inputs!G254/Inputs!G262))*10000,"n/m")</f>
        <v>121.00373728566095</v>
      </c>
      <c r="H65" s="59">
        <f>IFERROR((H63-C63)*10000,"n/m")</f>
        <v>123.70722443656668</v>
      </c>
      <c r="I65" s="1"/>
    </row>
    <row r="66">
      <c r="A66" s="1"/>
      <c r="B66" s="1"/>
      <c r="C66" s="3"/>
      <c r="D66" s="3"/>
      <c r="E66" s="3"/>
      <c r="F66" s="3"/>
      <c r="G66" s="3"/>
      <c r="H66" s="37"/>
      <c r="I66" s="1"/>
    </row>
    <row r="67">
      <c r="A67" s="1"/>
      <c r="B67" s="2" t="s">
        <v>174</v>
      </c>
      <c r="C67" s="4"/>
      <c r="D67" s="4"/>
      <c r="E67" s="4"/>
      <c r="F67" s="4"/>
      <c r="G67" s="4"/>
      <c r="H67" s="33"/>
      <c r="I67" s="1"/>
    </row>
    <row r="68">
      <c r="A68" s="1"/>
      <c r="B68" s="31" t="s">
        <v>175</v>
      </c>
      <c r="C68" s="4">
        <f>C43</f>
        <v>3567</v>
      </c>
      <c r="D68" s="4">
        <f>D43</f>
        <v>3877</v>
      </c>
      <c r="E68" s="4">
        <f>E43</f>
        <v>13583</v>
      </c>
      <c r="F68" s="4">
        <f>F43</f>
        <v>4393</v>
      </c>
      <c r="G68" s="4">
        <f>G43</f>
        <v>4576</v>
      </c>
      <c r="H68" s="33">
        <f>H43</f>
        <v>5500</v>
      </c>
      <c r="I68" s="8" t="s">
        <v>176</v>
      </c>
    </row>
    <row r="69">
      <c r="A69" s="1"/>
      <c r="B69" s="31" t="s">
        <v>181</v>
      </c>
      <c r="C69" s="26">
        <v>718.439</v>
      </c>
      <c r="D69" s="26">
        <v>955.84</v>
      </c>
      <c r="E69" s="15">
        <f>Inputs!F269+Inputs!G269+C69+D69</f>
        <v>3541.384</v>
      </c>
      <c r="F69" s="26">
        <v>1011.182</v>
      </c>
      <c r="G69" s="26">
        <v>1111.635</v>
      </c>
      <c r="H69" s="60">
        <v>1000</v>
      </c>
      <c r="I69" s="8" t="s">
        <v>182</v>
      </c>
    </row>
    <row r="70">
      <c r="A70" s="1"/>
      <c r="B70" s="61" t="s">
        <v>82</v>
      </c>
      <c r="C70" s="55">
        <f>IF(Inputs!C269*C69&gt;0,C69/Inputs!C269-1,"n/m")</f>
        <v>0.2570979132327569</v>
      </c>
      <c r="D70" s="55">
        <f>IF(Inputs!D269*D69&gt;0,D69/Inputs!D269-1,"n/m")</f>
        <v>0.20578469860428505</v>
      </c>
      <c r="E70" s="55">
        <f>IF(Inputs!E269*E69&gt;0,E69/Inputs!E269-1,"n/m")</f>
        <v>0.3575058946013463</v>
      </c>
      <c r="F70" s="55">
        <f>IF(Inputs!F269*F69&gt;0,F69/Inputs!F269-1,"n/m")</f>
        <v>0.24554345683878598</v>
      </c>
      <c r="G70" s="55">
        <f>IF(Inputs!G269*G69&gt;0,G69/Inputs!G269-1,"n/m")</f>
        <v>0.053417861864081484</v>
      </c>
      <c r="H70" s="56">
        <f>IF(C69*H69&gt;0,H69/C69-1,"n/m")</f>
        <v>0.3919066197686931</v>
      </c>
      <c r="I70" s="1"/>
    </row>
    <row r="71">
      <c r="A71" s="1"/>
      <c r="B71" s="43" t="s">
        <v>118</v>
      </c>
      <c r="C71" s="15">
        <f>C69-Inputs!G269</f>
        <v>-336.82600000000014</v>
      </c>
      <c r="D71" s="4">
        <f>D69-C69</f>
        <v>237.40100000000007</v>
      </c>
      <c r="E71" s="4"/>
      <c r="F71" s="4">
        <f>F69-D69</f>
        <v>55.341999999999985</v>
      </c>
      <c r="G71" s="4">
        <f>G69-F69</f>
        <v>100.45299999999997</v>
      </c>
      <c r="H71" s="33">
        <f>H69-G69</f>
        <v>-111.63499999999999</v>
      </c>
      <c r="I71" s="1"/>
    </row>
    <row r="72">
      <c r="A72" s="1"/>
      <c r="B72" s="31" t="s">
        <v>186</v>
      </c>
      <c r="C72" s="4">
        <f>-C52</f>
        <v>995</v>
      </c>
      <c r="D72" s="4">
        <f>-D52</f>
        <v>1069</v>
      </c>
      <c r="E72" s="4">
        <f>-E52</f>
        <v>3714</v>
      </c>
      <c r="F72" s="4">
        <f>-F52</f>
        <v>638</v>
      </c>
      <c r="G72" s="4">
        <f>-G52</f>
        <v>710</v>
      </c>
      <c r="H72" s="33">
        <f>-H52</f>
        <v>700</v>
      </c>
      <c r="I72" s="8" t="s">
        <v>187</v>
      </c>
    </row>
    <row r="73">
      <c r="A73" s="1"/>
      <c r="B73" s="1"/>
      <c r="C73" s="3"/>
      <c r="D73" s="3"/>
      <c r="E73" s="3"/>
      <c r="F73" s="3"/>
      <c r="G73" s="3"/>
      <c r="H73" s="37"/>
      <c r="I73" s="1"/>
    </row>
    <row r="74">
      <c r="A74" s="1"/>
      <c r="B74" s="2" t="s">
        <v>191</v>
      </c>
      <c r="C74" s="4"/>
      <c r="D74" s="4"/>
      <c r="E74" s="4"/>
      <c r="F74" s="4"/>
      <c r="G74" s="4"/>
      <c r="H74" s="33"/>
      <c r="I74" s="1"/>
    </row>
    <row r="75">
      <c r="A75" s="1"/>
      <c r="B75" s="31" t="s">
        <v>103</v>
      </c>
      <c r="C75" s="26">
        <v>137.448</v>
      </c>
      <c r="D75" s="26">
        <v>139.343</v>
      </c>
      <c r="E75" s="15">
        <f>Inputs!F270+Inputs!G270+C75+D75</f>
        <v>528.435</v>
      </c>
      <c r="F75" s="26">
        <v>146.529</v>
      </c>
      <c r="G75" s="26">
        <v>155.734</v>
      </c>
      <c r="H75" s="33">
        <f>H81/10000*H31*H7/365</f>
        <v>167.0793911539726</v>
      </c>
      <c r="I75" s="8" t="s">
        <v>192</v>
      </c>
    </row>
    <row r="76">
      <c r="A76" s="1"/>
      <c r="B76" s="61" t="s">
        <v>82</v>
      </c>
      <c r="C76" s="55">
        <f>IF(Inputs!C270*C75&gt;0,C75/Inputs!C270-1,"n/m")</f>
        <v>0.1513582790943131</v>
      </c>
      <c r="D76" s="55">
        <f>IF(Inputs!D270*D75&gt;0,D75/Inputs!D270-1,"n/m")</f>
        <v>0.1294265450861194</v>
      </c>
      <c r="E76" s="55">
        <f>IF(Inputs!E270*E75&gt;0,E75/Inputs!E270-1,"n/m")</f>
        <v>0.11391351089282131</v>
      </c>
      <c r="F76" s="55">
        <f>IF(Inputs!F270*F75&gt;0,F75/Inputs!F270-1,"n/m")</f>
        <v>0.21247652067421874</v>
      </c>
      <c r="G76" s="55">
        <f>IF(Inputs!G270*G75&gt;0,G75/Inputs!G270-1,"n/m")</f>
        <v>0.19069063329077252</v>
      </c>
      <c r="H76" s="56">
        <f>IF(C75*H75&gt;0,H75/C75-1,"n/m")</f>
        <v>0.2155825559773339</v>
      </c>
      <c r="I76" s="1"/>
    </row>
    <row r="77">
      <c r="A77" s="1"/>
      <c r="B77" s="43" t="s">
        <v>118</v>
      </c>
      <c r="C77" s="15">
        <f>C75-Inputs!G270</f>
        <v>6.655000000000001</v>
      </c>
      <c r="D77" s="4">
        <f>D75-C75</f>
        <v>1.8949999999999818</v>
      </c>
      <c r="E77" s="4"/>
      <c r="F77" s="4">
        <f>F75-D75</f>
        <v>7.186000000000007</v>
      </c>
      <c r="G77" s="4">
        <f>G75-F75</f>
        <v>9.205000000000013</v>
      </c>
      <c r="H77" s="33">
        <f>H75-G75</f>
        <v>11.3453911539726</v>
      </c>
      <c r="I77" s="1"/>
    </row>
    <row r="78">
      <c r="A78" s="1"/>
      <c r="B78" s="61" t="s">
        <v>85</v>
      </c>
      <c r="C78" s="58" t="s">
        <v>86</v>
      </c>
      <c r="D78" s="58" t="s">
        <v>86</v>
      </c>
      <c r="E78" s="58" t="s">
        <v>86</v>
      </c>
      <c r="F78" s="58" t="s">
        <v>86</v>
      </c>
      <c r="G78" s="58" t="s">
        <v>86</v>
      </c>
      <c r="H78" s="56" t="s">
        <v>86</v>
      </c>
      <c r="I78" s="8" t="s">
        <v>94</v>
      </c>
    </row>
    <row r="79">
      <c r="A79" s="1"/>
      <c r="B79" s="61" t="s">
        <v>88</v>
      </c>
      <c r="C79" s="58" t="s">
        <v>86</v>
      </c>
      <c r="D79" s="58" t="s">
        <v>86</v>
      </c>
      <c r="E79" s="58" t="s">
        <v>86</v>
      </c>
      <c r="F79" s="58" t="s">
        <v>86</v>
      </c>
      <c r="G79" s="58" t="s">
        <v>86</v>
      </c>
      <c r="H79" s="56" t="s">
        <v>86</v>
      </c>
      <c r="I79" s="8" t="s">
        <v>95</v>
      </c>
    </row>
    <row r="80">
      <c r="A80" s="1"/>
      <c r="B80" s="61" t="s">
        <v>89</v>
      </c>
      <c r="C80" s="58" t="s">
        <v>86</v>
      </c>
      <c r="D80" s="58" t="s">
        <v>86</v>
      </c>
      <c r="E80" s="58" t="s">
        <v>86</v>
      </c>
      <c r="F80" s="58" t="s">
        <v>86</v>
      </c>
      <c r="G80" s="58" t="s">
        <v>86</v>
      </c>
      <c r="H80" s="56" t="s">
        <v>86</v>
      </c>
      <c r="I80" s="8" t="s">
        <v>95</v>
      </c>
    </row>
    <row r="81">
      <c r="A81" s="1"/>
      <c r="B81" s="61" t="s">
        <v>193</v>
      </c>
      <c r="C81" s="72">
        <f>C75*365/C7/C31*10000</f>
        <v>66.64723710652605</v>
      </c>
      <c r="D81" s="72">
        <f>D75*365/D7/D31*10000</f>
        <v>65.38775467905046</v>
      </c>
      <c r="E81" s="72">
        <f>E75*365/E7/E31*10000</f>
        <v>65.73370789611307</v>
      </c>
      <c r="F81" s="72">
        <f>F75*365/F7/F31*10000</f>
        <v>67.28239641955817</v>
      </c>
      <c r="G81" s="72">
        <f>G75*365/G7/G31*10000</f>
        <v>66.06128504134082</v>
      </c>
      <c r="H81" s="70">
        <v>66</v>
      </c>
      <c r="I81" s="8" t="s">
        <v>194</v>
      </c>
    </row>
    <row r="82">
      <c r="A82" s="1"/>
      <c r="B82" s="66" t="s">
        <v>121</v>
      </c>
      <c r="C82" s="57">
        <f>IFERROR((C81-(Inputs!G270*365/Inputs!G114/Inputs!G261*10000))*1,"n/m")</f>
        <v>0.1845598173006664</v>
      </c>
      <c r="D82" s="62">
        <f>IFERROR((D81-C81)*1,"n/m")</f>
        <v>-1.2594824274755894</v>
      </c>
      <c r="E82" s="62"/>
      <c r="F82" s="62">
        <f>IFERROR((F81-D81)*1,"n/m")</f>
        <v>1.8946417405077085</v>
      </c>
      <c r="G82" s="62">
        <f>IFERROR((G81-F81)*1,"n/m")</f>
        <v>-1.2211113782173442</v>
      </c>
      <c r="H82" s="59">
        <f>IFERROR((H81-G81)*1,"n/m")</f>
        <v>-0.06128504134082391</v>
      </c>
      <c r="I82" s="1"/>
    </row>
    <row r="83">
      <c r="A83" s="1"/>
      <c r="B83" s="66" t="s">
        <v>122</v>
      </c>
      <c r="C83" s="57">
        <f>IFERROR((C81-(Inputs!C270*365/Inputs!C114/Inputs!C261*10000))*1,"n/m")</f>
        <v>2.0056818728271395</v>
      </c>
      <c r="D83" s="57">
        <f>IFERROR((D81-(Inputs!D270*365/Inputs!D114/Inputs!D261*10000))*1,"n/m")</f>
        <v>-0.0008325882828330577</v>
      </c>
      <c r="E83" s="57">
        <f>IFERROR((E81-(Inputs!E270*365/Inputs!E114/Inputs!E261*10000))*1,"n/m")</f>
        <v>0.23897770864788015</v>
      </c>
      <c r="F83" s="57">
        <f>IFERROR((F81-(Inputs!F270*365/Inputs!F114/Inputs!F261*10000))*1,"n/m")</f>
        <v>3.0732439562245304</v>
      </c>
      <c r="G83" s="57">
        <f>IFERROR((G81-(Inputs!G270*365/Inputs!G114/Inputs!G261*10000))*1,"n/m")</f>
        <v>-0.40139224788455863</v>
      </c>
      <c r="H83" s="59">
        <f>IFERROR((H81-C81)*1,"n/m")</f>
        <v>-0.6472371065260489</v>
      </c>
      <c r="I83" s="1"/>
    </row>
    <row r="84">
      <c r="A84" s="1"/>
      <c r="B84" s="31" t="s">
        <v>104</v>
      </c>
      <c r="C84" s="26">
        <v>1.008</v>
      </c>
      <c r="D84" s="26">
        <v>1.016</v>
      </c>
      <c r="E84" s="15">
        <f>Inputs!F271+Inputs!G271+C84+D84</f>
        <v>4.489</v>
      </c>
      <c r="F84" s="26">
        <v>-1.607</v>
      </c>
      <c r="G84" s="26">
        <v>0.145</v>
      </c>
      <c r="H84" s="60">
        <v>0.5</v>
      </c>
      <c r="I84" s="8" t="s">
        <v>155</v>
      </c>
    </row>
    <row r="85">
      <c r="A85" s="1"/>
      <c r="B85" s="61" t="s">
        <v>82</v>
      </c>
      <c r="C85" s="55">
        <f>IF(Inputs!C271*C84&gt;0,C84/Inputs!C271-1,"n/m")</f>
        <v>0.07234042553191489</v>
      </c>
      <c r="D85" s="55">
        <f>IF(Inputs!D271*D84&gt;0,D84/Inputs!D271-1,"n/m")</f>
        <v>0.08547008547008539</v>
      </c>
      <c r="E85" s="55">
        <f>IF(Inputs!E271*E84&gt;0,E84/Inputs!E271-1,"n/m")</f>
        <v>0.16446173800259412</v>
      </c>
      <c r="F85" s="55" t="str">
        <f>IF(Inputs!F271*F84&gt;0,F84/Inputs!F271-1,"n/m")</f>
        <v>n/m</v>
      </c>
      <c r="G85" s="55">
        <f>IF(Inputs!G271*G84&gt;0,G84/Inputs!G271-1,"n/m")</f>
        <v>-0.8552894211576847</v>
      </c>
      <c r="H85" s="56">
        <f>IF(C84*H84&gt;0,H84/C84-1,"n/m")</f>
        <v>-0.503968253968254</v>
      </c>
      <c r="I85" s="1"/>
    </row>
    <row r="86">
      <c r="A86" s="1"/>
      <c r="B86" s="43" t="s">
        <v>118</v>
      </c>
      <c r="C86" s="15">
        <f>C84-Inputs!G271</f>
        <v>0.006000000000000005</v>
      </c>
      <c r="D86" s="4">
        <f>D84-C84</f>
        <v>0.008000000000000007</v>
      </c>
      <c r="E86" s="4"/>
      <c r="F86" s="4">
        <f>F84-D84</f>
        <v>-2.623</v>
      </c>
      <c r="G86" s="4">
        <f>G84-F84</f>
        <v>1.752</v>
      </c>
      <c r="H86" s="33">
        <f>H84-G84</f>
        <v>0.355</v>
      </c>
      <c r="I86" s="1"/>
    </row>
    <row r="87">
      <c r="A87" s="1"/>
      <c r="B87" s="61" t="s">
        <v>85</v>
      </c>
      <c r="C87" s="58" t="s">
        <v>86</v>
      </c>
      <c r="D87" s="58" t="s">
        <v>86</v>
      </c>
      <c r="E87" s="58" t="s">
        <v>86</v>
      </c>
      <c r="F87" s="58" t="s">
        <v>86</v>
      </c>
      <c r="G87" s="58" t="s">
        <v>86</v>
      </c>
      <c r="H87" s="56" t="s">
        <v>86</v>
      </c>
      <c r="I87" s="8" t="s">
        <v>94</v>
      </c>
    </row>
    <row r="88">
      <c r="A88" s="1"/>
      <c r="B88" s="61" t="s">
        <v>88</v>
      </c>
      <c r="C88" s="58" t="s">
        <v>86</v>
      </c>
      <c r="D88" s="58" t="s">
        <v>86</v>
      </c>
      <c r="E88" s="58" t="s">
        <v>86</v>
      </c>
      <c r="F88" s="58" t="s">
        <v>86</v>
      </c>
      <c r="G88" s="58" t="s">
        <v>86</v>
      </c>
      <c r="H88" s="56" t="s">
        <v>86</v>
      </c>
      <c r="I88" s="8" t="s">
        <v>95</v>
      </c>
    </row>
    <row r="89">
      <c r="A89" s="1"/>
      <c r="B89" s="61" t="s">
        <v>89</v>
      </c>
      <c r="C89" s="58" t="s">
        <v>86</v>
      </c>
      <c r="D89" s="58" t="s">
        <v>86</v>
      </c>
      <c r="E89" s="58" t="s">
        <v>86</v>
      </c>
      <c r="F89" s="58" t="s">
        <v>86</v>
      </c>
      <c r="G89" s="58" t="s">
        <v>86</v>
      </c>
      <c r="H89" s="56" t="s">
        <v>86</v>
      </c>
      <c r="I89" s="8" t="s">
        <v>95</v>
      </c>
    </row>
    <row r="90">
      <c r="A90" s="1"/>
      <c r="B90" s="31" t="s">
        <v>105</v>
      </c>
      <c r="C90" s="26">
        <v>0</v>
      </c>
      <c r="D90" s="26">
        <v>0</v>
      </c>
      <c r="E90" s="15">
        <f>Inputs!F272+Inputs!G272+C90+D90</f>
        <v>0</v>
      </c>
      <c r="F90" s="26">
        <v>0</v>
      </c>
      <c r="G90" s="26">
        <v>0</v>
      </c>
      <c r="H90" s="60">
        <v>0</v>
      </c>
      <c r="I90" s="8" t="s">
        <v>155</v>
      </c>
    </row>
    <row r="91">
      <c r="A91" s="1"/>
      <c r="B91" s="61" t="s">
        <v>82</v>
      </c>
      <c r="C91" s="55" t="str">
        <f>IF(Inputs!C272*C90&gt;0,C90/Inputs!C272-1,"n/m")</f>
        <v>n/m</v>
      </c>
      <c r="D91" s="55" t="str">
        <f>IF(Inputs!D272*D90&gt;0,D90/Inputs!D272-1,"n/m")</f>
        <v>n/m</v>
      </c>
      <c r="E91" s="55" t="str">
        <f>IF(Inputs!E272*E90&gt;0,E90/Inputs!E272-1,"n/m")</f>
        <v>n/m</v>
      </c>
      <c r="F91" s="55" t="str">
        <f>IF(Inputs!F272*F90&gt;0,F90/Inputs!F272-1,"n/m")</f>
        <v>n/m</v>
      </c>
      <c r="G91" s="55" t="str">
        <f>IF(Inputs!G272*G90&gt;0,G90/Inputs!G272-1,"n/m")</f>
        <v>n/m</v>
      </c>
      <c r="H91" s="56" t="str">
        <f>IF(C90*H90&gt;0,H90/C90-1,"n/m")</f>
        <v>n/m</v>
      </c>
      <c r="I91" s="1"/>
    </row>
    <row r="92">
      <c r="A92" s="1"/>
      <c r="B92" s="43" t="s">
        <v>118</v>
      </c>
      <c r="C92" s="15">
        <f>C90-Inputs!G272</f>
        <v>0</v>
      </c>
      <c r="D92" s="4">
        <f>D90-C90</f>
        <v>0</v>
      </c>
      <c r="E92" s="4"/>
      <c r="F92" s="4">
        <f>F90-D90</f>
        <v>0</v>
      </c>
      <c r="G92" s="4">
        <f>G90-F90</f>
        <v>0</v>
      </c>
      <c r="H92" s="33">
        <f>H90-G90</f>
        <v>0</v>
      </c>
      <c r="I92" s="1"/>
    </row>
    <row r="93">
      <c r="A93" s="1"/>
      <c r="B93" s="61" t="s">
        <v>85</v>
      </c>
      <c r="C93" s="58" t="s">
        <v>86</v>
      </c>
      <c r="D93" s="58" t="s">
        <v>86</v>
      </c>
      <c r="E93" s="58" t="s">
        <v>86</v>
      </c>
      <c r="F93" s="58" t="s">
        <v>86</v>
      </c>
      <c r="G93" s="58" t="s">
        <v>86</v>
      </c>
      <c r="H93" s="56" t="s">
        <v>86</v>
      </c>
      <c r="I93" s="8" t="s">
        <v>94</v>
      </c>
    </row>
    <row r="94">
      <c r="A94" s="1"/>
      <c r="B94" s="61" t="s">
        <v>88</v>
      </c>
      <c r="C94" s="58" t="s">
        <v>86</v>
      </c>
      <c r="D94" s="58" t="s">
        <v>86</v>
      </c>
      <c r="E94" s="58" t="s">
        <v>86</v>
      </c>
      <c r="F94" s="58" t="s">
        <v>86</v>
      </c>
      <c r="G94" s="58" t="s">
        <v>86</v>
      </c>
      <c r="H94" s="56" t="s">
        <v>86</v>
      </c>
      <c r="I94" s="8" t="s">
        <v>95</v>
      </c>
    </row>
    <row r="95">
      <c r="A95" s="1"/>
      <c r="B95" s="61" t="s">
        <v>89</v>
      </c>
      <c r="C95" s="58" t="s">
        <v>86</v>
      </c>
      <c r="D95" s="58" t="s">
        <v>86</v>
      </c>
      <c r="E95" s="58" t="s">
        <v>86</v>
      </c>
      <c r="F95" s="58" t="s">
        <v>86</v>
      </c>
      <c r="G95" s="58" t="s">
        <v>86</v>
      </c>
      <c r="H95" s="56" t="s">
        <v>86</v>
      </c>
      <c r="I95" s="8" t="s">
        <v>95</v>
      </c>
    </row>
    <row r="96">
      <c r="A96" s="1"/>
      <c r="B96" s="54" t="s">
        <v>106</v>
      </c>
      <c r="C96" s="32">
        <f>C75+C84+C90</f>
        <v>138.45600000000002</v>
      </c>
      <c r="D96" s="32">
        <f>D75+D84+D90</f>
        <v>140.35899999999998</v>
      </c>
      <c r="E96" s="64">
        <f>Inputs!F273+Inputs!G273+C96+D96</f>
        <v>532.924</v>
      </c>
      <c r="F96" s="32">
        <f>F75+F84+F90</f>
        <v>144.922</v>
      </c>
      <c r="G96" s="32">
        <f>G75+G84+G90</f>
        <v>155.87900000000002</v>
      </c>
      <c r="H96" s="44">
        <f>H75+H84+H90</f>
        <v>167.5793911539726</v>
      </c>
      <c r="I96" s="1"/>
    </row>
    <row r="97">
      <c r="A97" s="1"/>
      <c r="B97" s="61" t="s">
        <v>82</v>
      </c>
      <c r="C97" s="55">
        <f>IF(Inputs!C273*C96&gt;0,C96/Inputs!C273-1,"n/m")</f>
        <v>0.15074094698260465</v>
      </c>
      <c r="D97" s="55">
        <f>IF(Inputs!D273*D96&gt;0,D96/Inputs!D273-1,"n/m")</f>
        <v>0.12909557480834333</v>
      </c>
      <c r="E97" s="55">
        <f>IF(Inputs!E273*E96&gt;0,E96/Inputs!E273-1,"n/m")</f>
        <v>0.11450739276826227</v>
      </c>
      <c r="F97" s="55">
        <f>IF(Inputs!F273*F96&gt;0,F96/Inputs!F273-1,"n/m")</f>
        <v>0.18483575060908808</v>
      </c>
      <c r="G97" s="55">
        <f>IF(Inputs!G273*G96&gt;0,G96/Inputs!G273-1,"n/m")</f>
        <v>0.18273834363974384</v>
      </c>
      <c r="H97" s="56">
        <f>IF(C96*H96&gt;0,H96/C96-1,"n/m")</f>
        <v>0.21034401653935242</v>
      </c>
      <c r="I97" s="1"/>
    </row>
    <row r="98">
      <c r="A98" s="1"/>
      <c r="B98" s="43" t="s">
        <v>118</v>
      </c>
      <c r="C98" s="15">
        <f>C96-Inputs!G273</f>
        <v>6.66100000000003</v>
      </c>
      <c r="D98" s="4">
        <f>D96-C96</f>
        <v>1.9029999999999632</v>
      </c>
      <c r="E98" s="4"/>
      <c r="F98" s="4">
        <f>F96-D96</f>
        <v>4.563000000000017</v>
      </c>
      <c r="G98" s="4">
        <f>G96-F96</f>
        <v>10.957000000000022</v>
      </c>
      <c r="H98" s="33">
        <f>H96-G96</f>
        <v>11.700391153972589</v>
      </c>
      <c r="I98" s="1"/>
    </row>
    <row r="99">
      <c r="A99" s="1"/>
      <c r="B99" s="61" t="s">
        <v>85</v>
      </c>
      <c r="C99" s="58" t="s">
        <v>86</v>
      </c>
      <c r="D99" s="58" t="s">
        <v>86</v>
      </c>
      <c r="E99" s="58" t="s">
        <v>86</v>
      </c>
      <c r="F99" s="58" t="s">
        <v>86</v>
      </c>
      <c r="G99" s="58" t="s">
        <v>86</v>
      </c>
      <c r="H99" s="56" t="s">
        <v>86</v>
      </c>
      <c r="I99" s="8" t="s">
        <v>94</v>
      </c>
    </row>
    <row r="100">
      <c r="A100" s="1"/>
      <c r="B100" s="61" t="s">
        <v>88</v>
      </c>
      <c r="C100" s="58" t="s">
        <v>86</v>
      </c>
      <c r="D100" s="58" t="s">
        <v>86</v>
      </c>
      <c r="E100" s="58" t="s">
        <v>86</v>
      </c>
      <c r="F100" s="58" t="s">
        <v>86</v>
      </c>
      <c r="G100" s="58" t="s">
        <v>86</v>
      </c>
      <c r="H100" s="56" t="s">
        <v>86</v>
      </c>
      <c r="I100" s="8" t="s">
        <v>95</v>
      </c>
    </row>
    <row r="101">
      <c r="A101" s="1"/>
      <c r="B101" s="61" t="s">
        <v>89</v>
      </c>
      <c r="C101" s="58" t="s">
        <v>86</v>
      </c>
      <c r="D101" s="58" t="s">
        <v>86</v>
      </c>
      <c r="E101" s="58" t="s">
        <v>86</v>
      </c>
      <c r="F101" s="58" t="s">
        <v>86</v>
      </c>
      <c r="G101" s="58" t="s">
        <v>86</v>
      </c>
      <c r="H101" s="56" t="s">
        <v>86</v>
      </c>
      <c r="I101" s="8" t="s">
        <v>95</v>
      </c>
    </row>
    <row r="102">
      <c r="A102" s="1"/>
      <c r="B102" s="54" t="s">
        <v>108</v>
      </c>
      <c r="C102" s="32">
        <f>C96</f>
        <v>138.45600000000002</v>
      </c>
      <c r="D102" s="32">
        <f>D96</f>
        <v>140.35899999999998</v>
      </c>
      <c r="E102" s="32">
        <f>E96</f>
        <v>532.924</v>
      </c>
      <c r="F102" s="32">
        <f>F96</f>
        <v>144.922</v>
      </c>
      <c r="G102" s="32">
        <f>G96</f>
        <v>155.87900000000002</v>
      </c>
      <c r="H102" s="44">
        <f>H96</f>
        <v>167.5793911539726</v>
      </c>
      <c r="I102" s="8" t="s">
        <v>302</v>
      </c>
    </row>
    <row r="103">
      <c r="A103" s="1"/>
      <c r="B103" s="61" t="s">
        <v>82</v>
      </c>
      <c r="C103" s="55">
        <f>IF(Inputs!C283*C102&gt;0,C102/Inputs!C283-1,"n/m")</f>
        <v>0.15074094698260465</v>
      </c>
      <c r="D103" s="55">
        <f>IF(Inputs!D283*D102&gt;0,D102/Inputs!D283-1,"n/m")</f>
        <v>0.12909557480834333</v>
      </c>
      <c r="E103" s="55">
        <f>IF(Inputs!E283*E102&gt;0,E102/Inputs!E283-1,"n/m")</f>
        <v>0.11450739276826227</v>
      </c>
      <c r="F103" s="55">
        <f>IF(Inputs!F283*F102&gt;0,F102/Inputs!F283-1,"n/m")</f>
        <v>0.18483575060908808</v>
      </c>
      <c r="G103" s="55">
        <f>IF(Inputs!G283*G102&gt;0,G102/Inputs!G283-1,"n/m")</f>
        <v>0.18273834363974384</v>
      </c>
      <c r="H103" s="56">
        <f>IF(C102*H102&gt;0,H102/C102-1,"n/m")</f>
        <v>0.21034401653935242</v>
      </c>
      <c r="I103" s="1"/>
    </row>
    <row r="104">
      <c r="A104" s="1"/>
      <c r="B104" s="43" t="s">
        <v>118</v>
      </c>
      <c r="C104" s="15">
        <f>C102-Inputs!G283</f>
        <v>6.66100000000003</v>
      </c>
      <c r="D104" s="4">
        <f>D102-C102</f>
        <v>1.9029999999999632</v>
      </c>
      <c r="E104" s="4"/>
      <c r="F104" s="4">
        <f>F102-D102</f>
        <v>4.563000000000017</v>
      </c>
      <c r="G104" s="4">
        <f>G102-F102</f>
        <v>10.957000000000022</v>
      </c>
      <c r="H104" s="33">
        <f>H102-G102</f>
        <v>11.700391153972589</v>
      </c>
      <c r="I104" s="1"/>
    </row>
    <row r="105">
      <c r="A105" s="1"/>
      <c r="B105" s="61" t="s">
        <v>85</v>
      </c>
      <c r="C105" s="58" t="s">
        <v>86</v>
      </c>
      <c r="D105" s="58" t="s">
        <v>86</v>
      </c>
      <c r="E105" s="58" t="s">
        <v>86</v>
      </c>
      <c r="F105" s="58" t="s">
        <v>86</v>
      </c>
      <c r="G105" s="58" t="s">
        <v>86</v>
      </c>
      <c r="H105" s="56" t="s">
        <v>86</v>
      </c>
      <c r="I105" s="8" t="s">
        <v>94</v>
      </c>
    </row>
    <row r="106">
      <c r="A106" s="1"/>
      <c r="B106" s="61" t="s">
        <v>88</v>
      </c>
      <c r="C106" s="58" t="s">
        <v>86</v>
      </c>
      <c r="D106" s="58" t="s">
        <v>86</v>
      </c>
      <c r="E106" s="58" t="s">
        <v>86</v>
      </c>
      <c r="F106" s="58" t="s">
        <v>86</v>
      </c>
      <c r="G106" s="58" t="s">
        <v>86</v>
      </c>
      <c r="H106" s="56" t="s">
        <v>86</v>
      </c>
      <c r="I106" s="8" t="s">
        <v>95</v>
      </c>
    </row>
    <row r="107">
      <c r="A107" s="1"/>
      <c r="B107" s="61" t="s">
        <v>89</v>
      </c>
      <c r="C107" s="58" t="s">
        <v>86</v>
      </c>
      <c r="D107" s="58" t="s">
        <v>86</v>
      </c>
      <c r="E107" s="58" t="s">
        <v>86</v>
      </c>
      <c r="F107" s="58" t="s">
        <v>86</v>
      </c>
      <c r="G107" s="58" t="s">
        <v>86</v>
      </c>
      <c r="H107" s="56" t="s">
        <v>86</v>
      </c>
      <c r="I107" s="8" t="s">
        <v>95</v>
      </c>
    </row>
    <row r="108">
      <c r="A108" s="1"/>
      <c r="B108" s="31" t="s">
        <v>109</v>
      </c>
      <c r="C108" s="26">
        <v>12.654</v>
      </c>
      <c r="D108" s="26">
        <v>464.761</v>
      </c>
      <c r="E108" s="15">
        <f>Inputs!F274+Inputs!G274+C108+D108</f>
        <v>489.91900000000004</v>
      </c>
      <c r="F108" s="26">
        <v>22.305</v>
      </c>
      <c r="G108" s="26">
        <v>17.67</v>
      </c>
      <c r="H108" s="36">
        <f>'Revenue summary'!H117*H114</f>
        <v>25.18044359737598</v>
      </c>
      <c r="I108" s="8" t="s">
        <v>211</v>
      </c>
    </row>
    <row r="109">
      <c r="A109" s="1"/>
      <c r="B109" s="61" t="s">
        <v>82</v>
      </c>
      <c r="C109" s="55">
        <f>IF(Inputs!C274*C108&gt;0,C108/Inputs!C274-1,"n/m")</f>
        <v>1.4919259551004331</v>
      </c>
      <c r="D109" s="55">
        <f>IF(Inputs!D274*D108&gt;0,D108/Inputs!D274-1,"n/m")</f>
        <v>0.37651902202082144</v>
      </c>
      <c r="E109" s="55">
        <f>IF(Inputs!E274*E108&gt;0,E108/Inputs!E274-1,"n/m")</f>
        <v>0.28750545309288933</v>
      </c>
      <c r="F109" s="55" t="str">
        <f>IF(Inputs!F274*F108&gt;0,F108/Inputs!F274-1,"n/m")</f>
        <v>n/m</v>
      </c>
      <c r="G109" s="55">
        <f>IF(Inputs!G274*G108&gt;0,G108/Inputs!G274-1,"n/m")</f>
        <v>0.34260314565762506</v>
      </c>
      <c r="H109" s="56">
        <f>IF(C108*H108&gt;0,H108/C108-1,"n/m")</f>
        <v>0.9899196773649424</v>
      </c>
      <c r="I109" s="1"/>
    </row>
    <row r="110">
      <c r="A110" s="1"/>
      <c r="B110" s="43" t="s">
        <v>118</v>
      </c>
      <c r="C110" s="15">
        <f>C108-Inputs!G274</f>
        <v>-0.5069999999999997</v>
      </c>
      <c r="D110" s="4">
        <f>D108-C108</f>
        <v>452.107</v>
      </c>
      <c r="E110" s="4"/>
      <c r="F110" s="4">
        <f>F108-D108</f>
        <v>-442.456</v>
      </c>
      <c r="G110" s="4">
        <f>G108-F108</f>
        <v>-4.634999999999998</v>
      </c>
      <c r="H110" s="33">
        <f>H108-G108</f>
        <v>7.510443597375978</v>
      </c>
      <c r="I110" s="1"/>
    </row>
    <row r="111">
      <c r="A111" s="1"/>
      <c r="B111" s="61" t="s">
        <v>85</v>
      </c>
      <c r="C111" s="58" t="s">
        <v>86</v>
      </c>
      <c r="D111" s="58" t="s">
        <v>86</v>
      </c>
      <c r="E111" s="58" t="s">
        <v>86</v>
      </c>
      <c r="F111" s="58" t="s">
        <v>86</v>
      </c>
      <c r="G111" s="58" t="s">
        <v>86</v>
      </c>
      <c r="H111" s="56" t="s">
        <v>86</v>
      </c>
      <c r="I111" s="8" t="s">
        <v>94</v>
      </c>
    </row>
    <row r="112">
      <c r="A112" s="1"/>
      <c r="B112" s="61" t="s">
        <v>88</v>
      </c>
      <c r="C112" s="58" t="s">
        <v>86</v>
      </c>
      <c r="D112" s="58" t="s">
        <v>86</v>
      </c>
      <c r="E112" s="58" t="s">
        <v>86</v>
      </c>
      <c r="F112" s="58" t="s">
        <v>86</v>
      </c>
      <c r="G112" s="58" t="s">
        <v>86</v>
      </c>
      <c r="H112" s="56" t="s">
        <v>86</v>
      </c>
      <c r="I112" s="8" t="s">
        <v>95</v>
      </c>
    </row>
    <row r="113">
      <c r="A113" s="1"/>
      <c r="B113" s="61" t="s">
        <v>89</v>
      </c>
      <c r="C113" s="58" t="s">
        <v>86</v>
      </c>
      <c r="D113" s="58" t="s">
        <v>86</v>
      </c>
      <c r="E113" s="58" t="s">
        <v>86</v>
      </c>
      <c r="F113" s="58" t="s">
        <v>86</v>
      </c>
      <c r="G113" s="58" t="s">
        <v>86</v>
      </c>
      <c r="H113" s="56" t="s">
        <v>86</v>
      </c>
      <c r="I113" s="8" t="s">
        <v>95</v>
      </c>
    </row>
    <row r="114">
      <c r="A114" s="1"/>
      <c r="B114" s="61" t="s">
        <v>212</v>
      </c>
      <c r="C114" s="55">
        <f>C108/'Revenue summary'!C92</f>
        <v>0.016986306518666276</v>
      </c>
      <c r="D114" s="55">
        <f>D108/'Revenue summary'!D92</f>
        <v>0.43951856951558116</v>
      </c>
      <c r="E114" s="55">
        <f>E108/'Revenue summary'!E92</f>
        <v>0.17400602160375545</v>
      </c>
      <c r="F114" s="55">
        <f>F108/'Revenue summary'!F92</f>
        <v>0.02857805441169311</v>
      </c>
      <c r="G114" s="55">
        <f>G108/'Revenue summary'!G92</f>
        <v>0.02417616998570227</v>
      </c>
      <c r="H114" s="71">
        <v>0.06</v>
      </c>
      <c r="I114" s="1"/>
    </row>
    <row r="115">
      <c r="A115" s="1"/>
      <c r="B115" s="66" t="s">
        <v>121</v>
      </c>
      <c r="C115" s="57">
        <f>IFERROR((C114-(Inputs!G274/Inputs!G115))*10000,"n/m")</f>
        <v>-68.07763856531916</v>
      </c>
      <c r="D115" s="62">
        <f>IFERROR((D114-C114)*10000,"n/m")</f>
        <v>4225.322629969149</v>
      </c>
      <c r="E115" s="62"/>
      <c r="F115" s="62">
        <f>IFERROR((F114-D114)*10000,"n/m")</f>
        <v>-4109.405151038881</v>
      </c>
      <c r="G115" s="62">
        <f>IFERROR((G114-F114)*10000,"n/m")</f>
        <v>-44.018844259908384</v>
      </c>
      <c r="H115" s="59">
        <f>IFERROR((H114-G114)*10000,"n/m")</f>
        <v>358.2383001429773</v>
      </c>
      <c r="I115" s="1"/>
    </row>
    <row r="116">
      <c r="A116" s="1"/>
      <c r="B116" s="66" t="s">
        <v>122</v>
      </c>
      <c r="C116" s="57">
        <f>IFERROR((C114-(Inputs!C274/Inputs!C115))*10000,"n/m")</f>
        <v>21.67341278157212</v>
      </c>
      <c r="D116" s="57">
        <f>IFERROR((D114-(Inputs!D274/Inputs!D115))*10000,"n/m")</f>
        <v>492.25186244669817</v>
      </c>
      <c r="E116" s="57">
        <f>IFERROR((E114-(Inputs!E274/Inputs!E115))*10000,"n/m")</f>
        <v>76.25242331415039</v>
      </c>
      <c r="F116" s="57">
        <f>IFERROR((F114-(Inputs!F274/Inputs!F115))*10000,"n/m")</f>
        <v>300.06243871785324</v>
      </c>
      <c r="G116" s="57">
        <f>IFERROR((G114-(Inputs!G274/Inputs!G115))*10000,"n/m")</f>
        <v>3.820996105040782</v>
      </c>
      <c r="H116" s="59">
        <f>IFERROR((H114-C114)*10000,"n/m")</f>
        <v>430.13693481333723</v>
      </c>
      <c r="I116" s="1"/>
    </row>
    <row r="117">
      <c r="A117" s="1"/>
      <c r="B117" s="31" t="s">
        <v>110</v>
      </c>
      <c r="C117" s="26">
        <v>0.691</v>
      </c>
      <c r="D117" s="26">
        <v>4.551</v>
      </c>
      <c r="E117" s="15">
        <f>Inputs!F275+Inputs!G275+C117+D117</f>
        <v>6.689</v>
      </c>
      <c r="F117" s="26">
        <v>1.135</v>
      </c>
      <c r="G117" s="26">
        <v>0.509</v>
      </c>
      <c r="H117" s="36">
        <f>'Revenue summary'!H118*H123</f>
        <v>2.2891312361250895</v>
      </c>
      <c r="I117" s="8" t="s">
        <v>213</v>
      </c>
    </row>
    <row r="118">
      <c r="A118" s="1"/>
      <c r="B118" s="61" t="s">
        <v>82</v>
      </c>
      <c r="C118" s="55">
        <f>IF(Inputs!C275*C117&gt;0,C117/Inputs!C275-1,"n/m")</f>
        <v>-0.03356643356643363</v>
      </c>
      <c r="D118" s="55">
        <f>IF(Inputs!D275*D117&gt;0,D117/Inputs!D275-1,"n/m")</f>
        <v>0.49703947368421053</v>
      </c>
      <c r="E118" s="55" t="str">
        <f>IF(Inputs!E275*E117&gt;0,E117/Inputs!E275-1,"n/m")</f>
        <v>n/m</v>
      </c>
      <c r="F118" s="55">
        <f>IF(Inputs!F275*F117&gt;0,F117/Inputs!F275-1,"n/m")</f>
        <v>1.3547717842323652</v>
      </c>
      <c r="G118" s="55">
        <f>IF(Inputs!G275*G117&gt;0,G117/Inputs!G275-1,"n/m")</f>
        <v>-0.4725388601036269</v>
      </c>
      <c r="H118" s="56">
        <f>IF(C117*H117&gt;0,H117/C117-1,"n/m")</f>
        <v>2.312780370658596</v>
      </c>
      <c r="I118" s="1"/>
    </row>
    <row r="119">
      <c r="A119" s="1"/>
      <c r="B119" s="43" t="s">
        <v>118</v>
      </c>
      <c r="C119" s="15">
        <f>C117-Inputs!G275</f>
        <v>-0.274</v>
      </c>
      <c r="D119" s="4">
        <f>D117-C117</f>
        <v>3.8600000000000003</v>
      </c>
      <c r="E119" s="4"/>
      <c r="F119" s="4">
        <f>F117-D117</f>
        <v>-3.4160000000000004</v>
      </c>
      <c r="G119" s="4">
        <f>G117-F117</f>
        <v>-0.626</v>
      </c>
      <c r="H119" s="33">
        <f>H117-G117</f>
        <v>1.7801312361250896</v>
      </c>
      <c r="I119" s="1"/>
    </row>
    <row r="120">
      <c r="A120" s="1"/>
      <c r="B120" s="61" t="s">
        <v>85</v>
      </c>
      <c r="C120" s="58" t="s">
        <v>86</v>
      </c>
      <c r="D120" s="58" t="s">
        <v>86</v>
      </c>
      <c r="E120" s="58" t="s">
        <v>86</v>
      </c>
      <c r="F120" s="58" t="s">
        <v>86</v>
      </c>
      <c r="G120" s="58" t="s">
        <v>86</v>
      </c>
      <c r="H120" s="56" t="s">
        <v>86</v>
      </c>
      <c r="I120" s="8" t="s">
        <v>94</v>
      </c>
    </row>
    <row r="121">
      <c r="A121" s="1"/>
      <c r="B121" s="61" t="s">
        <v>88</v>
      </c>
      <c r="C121" s="58" t="s">
        <v>86</v>
      </c>
      <c r="D121" s="58" t="s">
        <v>86</v>
      </c>
      <c r="E121" s="58" t="s">
        <v>86</v>
      </c>
      <c r="F121" s="58" t="s">
        <v>86</v>
      </c>
      <c r="G121" s="58" t="s">
        <v>86</v>
      </c>
      <c r="H121" s="56" t="s">
        <v>86</v>
      </c>
      <c r="I121" s="8" t="s">
        <v>95</v>
      </c>
    </row>
    <row r="122">
      <c r="A122" s="1"/>
      <c r="B122" s="61" t="s">
        <v>89</v>
      </c>
      <c r="C122" s="58" t="s">
        <v>86</v>
      </c>
      <c r="D122" s="58" t="s">
        <v>86</v>
      </c>
      <c r="E122" s="58" t="s">
        <v>86</v>
      </c>
      <c r="F122" s="58" t="s">
        <v>86</v>
      </c>
      <c r="G122" s="58" t="s">
        <v>86</v>
      </c>
      <c r="H122" s="56" t="s">
        <v>86</v>
      </c>
      <c r="I122" s="8" t="s">
        <v>95</v>
      </c>
    </row>
    <row r="123">
      <c r="A123" s="1"/>
      <c r="B123" s="61" t="s">
        <v>214</v>
      </c>
      <c r="C123" s="55">
        <f>C117/'Revenue summary'!C99</f>
        <v>0.011049812105221074</v>
      </c>
      <c r="D123" s="55">
        <f>D117/'Revenue summary'!D99</f>
        <v>0.021684129275718635</v>
      </c>
      <c r="E123" s="55">
        <f>E117/'Revenue summary'!E99</f>
        <v>0.015935941754835696</v>
      </c>
      <c r="F123" s="55">
        <f>F117/'Revenue summary'!F99</f>
        <v>0.035498702029837674</v>
      </c>
      <c r="G123" s="55">
        <f>G117/'Revenue summary'!G99</f>
        <v>0.01850976399141787</v>
      </c>
      <c r="H123" s="71">
        <v>0.04</v>
      </c>
      <c r="I123" s="1"/>
    </row>
    <row r="124">
      <c r="A124" s="1"/>
      <c r="B124" s="66" t="s">
        <v>121</v>
      </c>
      <c r="C124" s="57">
        <f>IFERROR((C123-(Inputs!G275/Inputs!G116))*10000,"n/m")</f>
        <v>-217.49888788698235</v>
      </c>
      <c r="D124" s="62">
        <f>IFERROR((D123-C123)*10000,"n/m")</f>
        <v>106.34317170497562</v>
      </c>
      <c r="E124" s="62"/>
      <c r="F124" s="62">
        <f>IFERROR((F123-D123)*10000,"n/m")</f>
        <v>138.14572754119038</v>
      </c>
      <c r="G124" s="62">
        <f>IFERROR((G123-F123)*10000,"n/m")</f>
        <v>-169.88938038419803</v>
      </c>
      <c r="H124" s="59">
        <f>IFERROR((H123-G123)*10000,"n/m")</f>
        <v>214.9023600858213</v>
      </c>
      <c r="I124" s="1"/>
    </row>
    <row r="125">
      <c r="A125" s="1"/>
      <c r="B125" s="66" t="s">
        <v>122</v>
      </c>
      <c r="C125" s="57">
        <f>IFERROR((C123-(Inputs!C275/Inputs!C116))*10000,"n/m")</f>
        <v>-66.46893584950446</v>
      </c>
      <c r="D125" s="57">
        <f>IFERROR((D123-(Inputs!D275/Inputs!D116))*10000,"n/m")</f>
        <v>-970.0559859684607</v>
      </c>
      <c r="E125" s="57">
        <f>IFERROR((E123-(Inputs!E275/Inputs!E116))*10000,"n/m")</f>
        <v>1694.8197205983106</v>
      </c>
      <c r="F125" s="57">
        <f>IFERROR((F123-(Inputs!F275/Inputs!F116))*10000,"n/m")</f>
        <v>314.10838405039095</v>
      </c>
      <c r="G125" s="57">
        <f>IFERROR((G123-(Inputs!G275/Inputs!G116))*10000,"n/m")</f>
        <v>-142.89936902501438</v>
      </c>
      <c r="H125" s="59">
        <f>IFERROR((H123-C123)*10000,"n/m")</f>
        <v>289.5018789477893</v>
      </c>
      <c r="I125" s="1"/>
    </row>
    <row r="126">
      <c r="A126" s="1"/>
      <c r="B126" s="54" t="s">
        <v>215</v>
      </c>
      <c r="C126" s="32">
        <f>C102+C108+C117</f>
        <v>151.80100000000002</v>
      </c>
      <c r="D126" s="32">
        <f>D102+D108+D117</f>
        <v>609.671</v>
      </c>
      <c r="E126" s="64">
        <f>Inputs!F276+Inputs!G276+C126+D126</f>
        <v>1029.5320000000002</v>
      </c>
      <c r="F126" s="32">
        <f>F102+F108+F117</f>
        <v>168.362</v>
      </c>
      <c r="G126" s="32">
        <f>G102+G108+G117</f>
        <v>174.05800000000002</v>
      </c>
      <c r="H126" s="44">
        <f>H102+H108+H117</f>
        <v>195.04896598747368</v>
      </c>
      <c r="I126" s="1"/>
    </row>
    <row r="127">
      <c r="A127" s="1"/>
      <c r="B127" s="61" t="s">
        <v>82</v>
      </c>
      <c r="C127" s="55">
        <f>IF(Inputs!C276*C126&gt;0,C126/Inputs!C276-1,"n/m")</f>
        <v>0.20369988581578302</v>
      </c>
      <c r="D127" s="55">
        <f>IF(Inputs!D276*D126&gt;0,D126/Inputs!D276-1,"n/m")</f>
        <v>0.31115990588963993</v>
      </c>
      <c r="E127" s="55">
        <f>IF(Inputs!E276*E126&gt;0,E126/Inputs!E276-1,"n/m")</f>
        <v>0.21912985608912483</v>
      </c>
      <c r="F127" s="55">
        <f>IF(Inputs!F276*F126&gt;0,F126/Inputs!F276-1,"n/m")</f>
        <v>0.37844586905083544</v>
      </c>
      <c r="G127" s="55">
        <f>IF(Inputs!G276*G126&gt;0,G126/Inputs!G276-1,"n/m")</f>
        <v>0.1928235140932424</v>
      </c>
      <c r="H127" s="56">
        <f>IF(C126*H126&gt;0,H126/C126-1,"n/m")</f>
        <v>0.2848990849037467</v>
      </c>
      <c r="I127" s="1"/>
    </row>
    <row r="128">
      <c r="A128" s="1"/>
      <c r="B128" s="43" t="s">
        <v>118</v>
      </c>
      <c r="C128" s="15">
        <f>C126-Inputs!G276</f>
        <v>5.880000000000024</v>
      </c>
      <c r="D128" s="4">
        <f>D126-C126</f>
        <v>457.87</v>
      </c>
      <c r="E128" s="4"/>
      <c r="F128" s="4">
        <f>F126-D126</f>
        <v>-441.3090000000001</v>
      </c>
      <c r="G128" s="4">
        <f>G126-F126</f>
        <v>5.696000000000026</v>
      </c>
      <c r="H128" s="33">
        <f>H126-G126</f>
        <v>20.990965987473658</v>
      </c>
      <c r="I128" s="1"/>
    </row>
    <row r="129">
      <c r="A129" s="1"/>
      <c r="B129" s="61" t="s">
        <v>85</v>
      </c>
      <c r="C129" s="58" t="s">
        <v>86</v>
      </c>
      <c r="D129" s="58" t="s">
        <v>86</v>
      </c>
      <c r="E129" s="58" t="s">
        <v>86</v>
      </c>
      <c r="F129" s="58" t="s">
        <v>86</v>
      </c>
      <c r="G129" s="58" t="s">
        <v>86</v>
      </c>
      <c r="H129" s="56" t="s">
        <v>86</v>
      </c>
      <c r="I129" s="8" t="s">
        <v>94</v>
      </c>
    </row>
    <row r="130">
      <c r="A130" s="1"/>
      <c r="B130" s="61" t="s">
        <v>88</v>
      </c>
      <c r="C130" s="58" t="s">
        <v>86</v>
      </c>
      <c r="D130" s="58" t="s">
        <v>86</v>
      </c>
      <c r="E130" s="58" t="s">
        <v>86</v>
      </c>
      <c r="F130" s="58" t="s">
        <v>86</v>
      </c>
      <c r="G130" s="58" t="s">
        <v>86</v>
      </c>
      <c r="H130" s="56" t="s">
        <v>86</v>
      </c>
      <c r="I130" s="8" t="s">
        <v>95</v>
      </c>
    </row>
    <row r="131">
      <c r="A131" s="1"/>
      <c r="B131" s="61" t="s">
        <v>89</v>
      </c>
      <c r="C131" s="58" t="s">
        <v>86</v>
      </c>
      <c r="D131" s="58" t="s">
        <v>86</v>
      </c>
      <c r="E131" s="58" t="s">
        <v>86</v>
      </c>
      <c r="F131" s="58" t="s">
        <v>86</v>
      </c>
      <c r="G131" s="58" t="s">
        <v>86</v>
      </c>
      <c r="H131" s="56" t="s">
        <v>86</v>
      </c>
      <c r="I131" s="8" t="s">
        <v>95</v>
      </c>
    </row>
    <row r="132">
      <c r="A132" s="1"/>
      <c r="B132" s="43" t="s">
        <v>216</v>
      </c>
      <c r="C132" s="26">
        <v>151.801</v>
      </c>
      <c r="D132" s="26">
        <v>609.671</v>
      </c>
      <c r="E132" s="26">
        <v>1029.532</v>
      </c>
      <c r="F132" s="26">
        <v>168.362</v>
      </c>
      <c r="G132" s="26">
        <v>174.058</v>
      </c>
      <c r="H132" s="33"/>
      <c r="I132" s="8" t="s">
        <v>217</v>
      </c>
    </row>
    <row r="133">
      <c r="A133" s="1"/>
      <c r="B133" s="43" t="s">
        <v>218</v>
      </c>
      <c r="C133" s="4">
        <f>C126-C132</f>
        <v>0</v>
      </c>
      <c r="D133" s="4">
        <f>D126-D132</f>
        <v>0</v>
      </c>
      <c r="E133" s="4">
        <f>E126-E132</f>
        <v>0</v>
      </c>
      <c r="F133" s="4">
        <f>F126-F132</f>
        <v>0</v>
      </c>
      <c r="G133" s="4">
        <f>G126-G132</f>
        <v>0</v>
      </c>
      <c r="H133" s="33"/>
      <c r="I133" s="1"/>
    </row>
    <row r="134">
      <c r="A134" s="1"/>
      <c r="B134" s="1"/>
      <c r="C134" s="3"/>
      <c r="D134" s="3"/>
      <c r="E134" s="3"/>
      <c r="F134" s="3"/>
      <c r="G134" s="3"/>
      <c r="H134" s="37"/>
      <c r="I134" s="1"/>
    </row>
    <row r="135">
      <c r="A135" s="1"/>
      <c r="B135" s="2" t="s">
        <v>219</v>
      </c>
      <c r="C135" s="4"/>
      <c r="D135" s="4"/>
      <c r="E135" s="4"/>
      <c r="F135" s="4"/>
      <c r="G135" s="4"/>
      <c r="H135" s="33"/>
      <c r="I135" s="1"/>
    </row>
    <row r="136">
      <c r="A136" s="1"/>
      <c r="B136" s="31" t="s">
        <v>220</v>
      </c>
      <c r="C136" s="26">
        <v>-39.374</v>
      </c>
      <c r="D136" s="26">
        <v>-45.554</v>
      </c>
      <c r="E136" s="15">
        <f>Inputs!F277+Inputs!G277+C136+D136</f>
        <v>-169.32500000000002</v>
      </c>
      <c r="F136" s="26">
        <v>-47.027</v>
      </c>
      <c r="G136" s="26">
        <v>-42.865</v>
      </c>
      <c r="H136" s="33">
        <f>-H139*H102</f>
        <v>-49.43592039042192</v>
      </c>
      <c r="I136" s="8" t="s">
        <v>221</v>
      </c>
    </row>
    <row r="137">
      <c r="A137" s="1"/>
      <c r="B137" s="61" t="s">
        <v>82</v>
      </c>
      <c r="C137" s="55">
        <f>IF(Inputs!C277*C136&gt;0,C136/Inputs!C277-1,"n/m")</f>
        <v>0.04598464521956269</v>
      </c>
      <c r="D137" s="55">
        <f>IF(Inputs!D277*D136&gt;0,D136/Inputs!D277-1,"n/m")</f>
        <v>0.4916663937915453</v>
      </c>
      <c r="E137" s="55">
        <f>IF(Inputs!E277*E136&gt;0,E136/Inputs!E277-1,"n/m")</f>
        <v>0.17179930795847764</v>
      </c>
      <c r="F137" s="55">
        <f>IF(Inputs!F277*F136&gt;0,F136/Inputs!F277-1,"n/m")</f>
        <v>0.13263487475915214</v>
      </c>
      <c r="G137" s="55">
        <f>IF(Inputs!G277*G136&gt;0,G136/Inputs!G277-1,"n/m")</f>
        <v>-0.00027987032674858803</v>
      </c>
      <c r="H137" s="56">
        <f>IF(C136*H136&gt;0,H136/C136-1,"n/m")</f>
        <v>0.25554732540310665</v>
      </c>
      <c r="I137" s="1"/>
    </row>
    <row r="138">
      <c r="A138" s="1"/>
      <c r="B138" s="43" t="s">
        <v>118</v>
      </c>
      <c r="C138" s="15">
        <f>C136-Inputs!G277</f>
        <v>3.503</v>
      </c>
      <c r="D138" s="4">
        <f>D136-C136</f>
        <v>-6.18</v>
      </c>
      <c r="E138" s="4"/>
      <c r="F138" s="4">
        <f>F136-D136</f>
        <v>-1.472999999999999</v>
      </c>
      <c r="G138" s="4">
        <f>G136-F136</f>
        <v>4.161999999999999</v>
      </c>
      <c r="H138" s="33">
        <f>H136-G136</f>
        <v>-6.570920390421918</v>
      </c>
      <c r="I138" s="1"/>
    </row>
    <row r="139">
      <c r="A139" s="1"/>
      <c r="B139" s="61" t="s">
        <v>222</v>
      </c>
      <c r="C139" s="58">
        <f>-C136/C102</f>
        <v>0.28437915294389554</v>
      </c>
      <c r="D139" s="58">
        <f>-D136/D102</f>
        <v>0.3245534664681282</v>
      </c>
      <c r="E139" s="58">
        <f>-E136/E102</f>
        <v>0.3177282314176131</v>
      </c>
      <c r="F139" s="58">
        <f>-F136/F102</f>
        <v>0.3244986958501815</v>
      </c>
      <c r="G139" s="58">
        <f>-G136/G102</f>
        <v>0.27498893372423483</v>
      </c>
      <c r="H139" s="71">
        <v>0.295</v>
      </c>
      <c r="I139" s="1"/>
    </row>
    <row r="140">
      <c r="A140" s="1"/>
      <c r="B140" s="66" t="s">
        <v>121</v>
      </c>
      <c r="C140" s="57">
        <f>IFERROR((C139-(-Inputs!G277/Inputs!G283))*10000,"n/m")</f>
        <v>-409.5185354345227</v>
      </c>
      <c r="D140" s="62">
        <f>IFERROR((D139-C139)*10000,"n/m")</f>
        <v>401.74313524232673</v>
      </c>
      <c r="E140" s="62"/>
      <c r="F140" s="62">
        <f>IFERROR((F139-D139)*10000,"n/m")</f>
        <v>-0.547706179467311</v>
      </c>
      <c r="G140" s="62">
        <f>IFERROR((G139-F139)*10000,"n/m")</f>
        <v>-495.09762125946656</v>
      </c>
      <c r="H140" s="59">
        <f>IFERROR((H139-G139)*10000,"n/m")</f>
        <v>200.11066275765154</v>
      </c>
      <c r="I140" s="1"/>
    </row>
    <row r="141">
      <c r="A141" s="1"/>
      <c r="B141" s="66" t="s">
        <v>122</v>
      </c>
      <c r="C141" s="57">
        <f>IFERROR((C139-(-Inputs!C277/Inputs!C283))*10000,"n/m")</f>
        <v>-284.80827607804514</v>
      </c>
      <c r="D141" s="57">
        <f>IFERROR((D139-(-Inputs!D277/Inputs!D283))*10000,"n/m")</f>
        <v>788.8735486094945</v>
      </c>
      <c r="E141" s="57">
        <f>IFERROR((E139-(-Inputs!E277/Inputs!E283))*10000,"n/m")</f>
        <v>155.34450962963075</v>
      </c>
      <c r="F141" s="57">
        <f>IFERROR((F139-(-Inputs!F277/Inputs!F283))*10000,"n/m")</f>
        <v>-149.55495820436815</v>
      </c>
      <c r="G141" s="57">
        <f>IFERROR((G139-(-Inputs!G277/Inputs!G283))*10000,"n/m")</f>
        <v>-503.42072763112975</v>
      </c>
      <c r="H141" s="59">
        <f>IFERROR((H139-C139)*10000,"n/m")</f>
        <v>106.20847056104444</v>
      </c>
      <c r="I141" s="1"/>
    </row>
    <row r="142">
      <c r="A142" s="1"/>
      <c r="B142" s="31" t="s">
        <v>223</v>
      </c>
      <c r="C142" s="26">
        <v>-26.979</v>
      </c>
      <c r="D142" s="26">
        <v>-33.655</v>
      </c>
      <c r="E142" s="15">
        <f>Inputs!F278+Inputs!G278+C142+D142</f>
        <v>-110.525</v>
      </c>
      <c r="F142" s="26">
        <v>-25.764</v>
      </c>
      <c r="G142" s="26">
        <v>-29.587</v>
      </c>
      <c r="H142" s="60">
        <v>-29</v>
      </c>
      <c r="I142" s="8" t="s">
        <v>155</v>
      </c>
    </row>
    <row r="143">
      <c r="A143" s="1"/>
      <c r="B143" s="61" t="s">
        <v>82</v>
      </c>
      <c r="C143" s="55">
        <f>IF(Inputs!C278*C142&gt;0,C142/Inputs!C278-1,"n/m")</f>
        <v>0.051075268817204256</v>
      </c>
      <c r="D143" s="55">
        <f>IF(Inputs!D278*D142&gt;0,D142/Inputs!D278-1,"n/m")</f>
        <v>0.12652719665271972</v>
      </c>
      <c r="E143" s="55">
        <f>IF(Inputs!E278*E142&gt;0,E142/Inputs!E278-1,"n/m")</f>
        <v>0.05153746622521593</v>
      </c>
      <c r="F143" s="55">
        <f>IF(Inputs!F278*F142&gt;0,F142/Inputs!F278-1,"n/m")</f>
        <v>0.05495045450823022</v>
      </c>
      <c r="G143" s="55">
        <f>IF(Inputs!G278*G142&gt;0,G142/Inputs!G278-1,"n/m")</f>
        <v>0.1616867564490163</v>
      </c>
      <c r="H143" s="56">
        <f>IF(C142*H142&gt;0,H142/C142-1,"n/m")</f>
        <v>0.07491011527484348</v>
      </c>
      <c r="I143" s="1"/>
    </row>
    <row r="144">
      <c r="A144" s="1"/>
      <c r="B144" s="43" t="s">
        <v>118</v>
      </c>
      <c r="C144" s="15">
        <f>C142-Inputs!G278</f>
        <v>-1.509999999999998</v>
      </c>
      <c r="D144" s="4">
        <f>D142-C142</f>
        <v>-6.676000000000002</v>
      </c>
      <c r="E144" s="4"/>
      <c r="F144" s="4">
        <f>F142-D142</f>
        <v>7.891000000000002</v>
      </c>
      <c r="G144" s="4">
        <f>G142-F142</f>
        <v>-3.8230000000000004</v>
      </c>
      <c r="H144" s="33">
        <f>H142-G142</f>
        <v>0.5869999999999997</v>
      </c>
      <c r="I144" s="1"/>
    </row>
    <row r="145">
      <c r="A145" s="1"/>
      <c r="B145" s="54" t="s">
        <v>224</v>
      </c>
      <c r="C145" s="32">
        <f>C102+C136+C142</f>
        <v>72.10300000000002</v>
      </c>
      <c r="D145" s="32">
        <f>D102+D136+D142</f>
        <v>61.14999999999998</v>
      </c>
      <c r="E145" s="64">
        <f>Inputs!F279+Inputs!G279+C145+D145</f>
        <v>253.074</v>
      </c>
      <c r="F145" s="32">
        <f>F102+F136+F142</f>
        <v>72.131</v>
      </c>
      <c r="G145" s="32">
        <f>G102+G136+G142</f>
        <v>83.427</v>
      </c>
      <c r="H145" s="44">
        <f>H102+H136+H142</f>
        <v>89.14347076355068</v>
      </c>
      <c r="I145" s="1"/>
    </row>
    <row r="146">
      <c r="A146" s="1"/>
      <c r="B146" s="61" t="s">
        <v>82</v>
      </c>
      <c r="C146" s="55">
        <f>IF(Inputs!C279*C145&gt;0,C145/Inputs!C279-1,"n/m")</f>
        <v>0.2647873982598936</v>
      </c>
      <c r="D146" s="55">
        <f>IF(Inputs!D279*D145&gt;0,D145/Inputs!D279-1,"n/m")</f>
        <v>-0.042991063743212043</v>
      </c>
      <c r="E146" s="55">
        <f>IF(Inputs!E279*E145&gt;0,E145/Inputs!E279-1,"n/m")</f>
        <v>0.107244423832483</v>
      </c>
      <c r="F146" s="55">
        <f>IF(Inputs!F279*F145&gt;0,F145/Inputs!F279-1,"n/m")</f>
        <v>0.27955367913148366</v>
      </c>
      <c r="G146" s="55">
        <f>IF(Inputs!G279*G145&gt;0,G145/Inputs!G279-1,"n/m")</f>
        <v>0.31486705858248376</v>
      </c>
      <c r="H146" s="56">
        <f>IF(C145*H145&gt;0,H145/C145-1,"n/m")</f>
        <v>0.23633511453823908</v>
      </c>
      <c r="I146" s="1"/>
    </row>
    <row r="147">
      <c r="A147" s="1"/>
      <c r="B147" s="43" t="s">
        <v>118</v>
      </c>
      <c r="C147" s="15">
        <f>C145-Inputs!G279</f>
        <v>8.654000000000025</v>
      </c>
      <c r="D147" s="4">
        <f>D145-C145</f>
        <v>-10.953000000000046</v>
      </c>
      <c r="E147" s="4"/>
      <c r="F147" s="4">
        <f>F145-D145</f>
        <v>10.981000000000023</v>
      </c>
      <c r="G147" s="4">
        <f>G145-F145</f>
        <v>11.296000000000006</v>
      </c>
      <c r="H147" s="33">
        <f>H145-G145</f>
        <v>5.716470763550674</v>
      </c>
      <c r="I147" s="1"/>
    </row>
    <row r="148">
      <c r="A148" s="1"/>
      <c r="B148" s="61" t="s">
        <v>225</v>
      </c>
      <c r="C148" s="58">
        <f>C145/C102</f>
        <v>0.5207647194776681</v>
      </c>
      <c r="D148" s="58">
        <f>D145/D102</f>
        <v>0.4356685356834972</v>
      </c>
      <c r="E148" s="58">
        <f>E145/E102</f>
        <v>0.47487821903310795</v>
      </c>
      <c r="F148" s="58">
        <f>F145/F102</f>
        <v>0.4977229130152772</v>
      </c>
      <c r="G148" s="58">
        <f>G145/G102</f>
        <v>0.5352035873979176</v>
      </c>
      <c r="H148" s="56">
        <f>H145/H102</f>
        <v>0.5319476944611006</v>
      </c>
      <c r="I148" s="1"/>
    </row>
    <row r="149">
      <c r="A149" s="1"/>
      <c r="B149" s="66" t="s">
        <v>121</v>
      </c>
      <c r="C149" s="57">
        <f>IFERROR((C148-(Inputs!G279/Inputs!G283))*10000,"n/m")</f>
        <v>393.428142460584</v>
      </c>
      <c r="D149" s="62">
        <f>IFERROR((D148-C148)*10000,"n/m")</f>
        <v>-850.9618379417088</v>
      </c>
      <c r="E149" s="62"/>
      <c r="F149" s="62">
        <f>IFERROR((F148-D148)*10000,"n/m")</f>
        <v>620.5437733177998</v>
      </c>
      <c r="G149" s="62">
        <f>IFERROR((G148-F148)*10000,"n/m")</f>
        <v>374.8067438264041</v>
      </c>
      <c r="H149" s="59">
        <f>IFERROR((H148-G148)*10000,"n/m")</f>
        <v>-32.55892936817051</v>
      </c>
      <c r="I149" s="1"/>
    </row>
    <row r="150">
      <c r="A150" s="1"/>
      <c r="B150" s="66" t="s">
        <v>122</v>
      </c>
      <c r="C150" s="57">
        <f>IFERROR((C148-(Inputs!C279/Inputs!C283))*10000,"n/m")</f>
        <v>469.57590096606106</v>
      </c>
      <c r="D150" s="57">
        <f>IFERROR((D148-(Inputs!D279/Inputs!D283))*10000,"n/m")</f>
        <v>-783.406831306061</v>
      </c>
      <c r="E150" s="57">
        <f>IFERROR((E148-(Inputs!E279/Inputs!E283))*10000,"n/m")</f>
        <v>-31.149633079005092</v>
      </c>
      <c r="F150" s="57">
        <f>IFERROR((F148-(Inputs!F279/Inputs!F283))*10000,"n/m")</f>
        <v>368.43536983097727</v>
      </c>
      <c r="G150" s="57">
        <f>IFERROR((G148-(Inputs!G279/Inputs!G283))*10000,"n/m")</f>
        <v>537.816821663079</v>
      </c>
      <c r="H150" s="59">
        <f>IFERROR((H148-C148)*10000,"n/m")</f>
        <v>111.82974983432459</v>
      </c>
      <c r="I150" s="1"/>
    </row>
    <row r="151">
      <c r="A151" s="1"/>
      <c r="B151" s="31" t="s">
        <v>226</v>
      </c>
      <c r="C151" s="26">
        <v>-5.929</v>
      </c>
      <c r="D151" s="26">
        <v>-82.128</v>
      </c>
      <c r="E151" s="15">
        <f>Inputs!F280+Inputs!G280+C151+D151</f>
        <v>-93.803</v>
      </c>
      <c r="F151" s="26">
        <v>-15.367</v>
      </c>
      <c r="G151" s="26">
        <v>-3.915</v>
      </c>
      <c r="H151" s="33">
        <f>-H154*H108</f>
        <v>-8.813155259081592</v>
      </c>
      <c r="I151" s="8" t="s">
        <v>227</v>
      </c>
    </row>
    <row r="152">
      <c r="A152" s="1"/>
      <c r="B152" s="61" t="s">
        <v>82</v>
      </c>
      <c r="C152" s="55">
        <f>IF(Inputs!C280*C151&gt;0,C151/Inputs!C280-1,"n/m")</f>
        <v>2.900657894736842</v>
      </c>
      <c r="D152" s="55">
        <f>IF(Inputs!D280*D151&gt;0,D151/Inputs!D280-1,"n/m")</f>
        <v>0.14403521479913084</v>
      </c>
      <c r="E152" s="55">
        <f>IF(Inputs!E280*E151&gt;0,E151/Inputs!E280-1,"n/m")</f>
        <v>0.07906361440239262</v>
      </c>
      <c r="F152" s="55" t="str">
        <f>IF(Inputs!F280*F151&gt;0,IF(ABS(Inputs!F280)&lt;0.05*ABS(F151),"n/m",F151/Inputs!F280-1),"n/m")</f>
        <v>n/m</v>
      </c>
      <c r="G152" s="55">
        <f>IF(Inputs!G280*G151&gt;0,G151/Inputs!G280-1,"n/m")</f>
        <v>-0.25114766641162967</v>
      </c>
      <c r="H152" s="56">
        <f>IF(C151*H151&gt;0,H151/C151-1,"n/m")</f>
        <v>0.48644885462668097</v>
      </c>
      <c r="I152" s="102" t="s">
        <v>210</v>
      </c>
    </row>
    <row r="153">
      <c r="A153" s="1"/>
      <c r="B153" s="43" t="s">
        <v>118</v>
      </c>
      <c r="C153" s="15">
        <f>C151-Inputs!G280</f>
        <v>-0.7010000000000005</v>
      </c>
      <c r="D153" s="4">
        <f>D151-C151</f>
        <v>-76.199</v>
      </c>
      <c r="E153" s="4"/>
      <c r="F153" s="4">
        <f>F151-D151</f>
        <v>66.761</v>
      </c>
      <c r="G153" s="4">
        <f>G151-F151</f>
        <v>11.452000000000002</v>
      </c>
      <c r="H153" s="33">
        <f>H151-G151</f>
        <v>-4.898155259081592</v>
      </c>
      <c r="I153" s="1"/>
    </row>
    <row r="154">
      <c r="A154" s="1"/>
      <c r="B154" s="61" t="s">
        <v>228</v>
      </c>
      <c r="C154" s="58">
        <f>IFERROR(-C151/C108,0)</f>
        <v>0.46854749486328434</v>
      </c>
      <c r="D154" s="58">
        <f>IFERROR(-D151/D108,0)</f>
        <v>0.17671018007104727</v>
      </c>
      <c r="E154" s="58">
        <f>IFERROR(-E151/E108,0)</f>
        <v>0.1914663444365293</v>
      </c>
      <c r="F154" s="58">
        <f>IFERROR(-F151/F108,0)</f>
        <v>0.6889486662183367</v>
      </c>
      <c r="G154" s="58">
        <f>IFERROR(-G151/G108,0)</f>
        <v>0.22156196943972833</v>
      </c>
      <c r="H154" s="71">
        <v>0.35</v>
      </c>
      <c r="I154" s="1"/>
    </row>
    <row r="155">
      <c r="A155" s="1"/>
      <c r="B155" s="66" t="s">
        <v>121</v>
      </c>
      <c r="C155" s="57">
        <f>IFERROR((C154-(IFERROR(-Inputs!G280/Inputs!G274,0)))*10000,"n/m")</f>
        <v>713.1324214692542</v>
      </c>
      <c r="D155" s="62">
        <f>IFERROR((D154-C154)*10000,"n/m")</f>
        <v>-2918.3731479223707</v>
      </c>
      <c r="E155" s="62"/>
      <c r="F155" s="62">
        <f>IFERROR((F154-D154)*10000,"n/m")</f>
        <v>5122.384861472895</v>
      </c>
      <c r="G155" s="62">
        <f>IFERROR((G154-F154)*10000,"n/m")</f>
        <v>-4673.8669677860835</v>
      </c>
      <c r="H155" s="59">
        <f>IFERROR((H154-G154)*10000,"n/m")</f>
        <v>1284.3803056027164</v>
      </c>
      <c r="I155" s="1"/>
    </row>
    <row r="156">
      <c r="A156" s="1"/>
      <c r="B156" s="66" t="s">
        <v>122</v>
      </c>
      <c r="C156" s="57">
        <f>IFERROR((C154-(IFERROR(-Inputs!C280/Inputs!C274,0)))*10000,"n/m")</f>
        <v>1692.1704980617524</v>
      </c>
      <c r="D156" s="57">
        <f>IFERROR((D154-(IFERROR(-Inputs!D280/Inputs!D274,0)))*10000,"n/m")</f>
        <v>-359.0995705928576</v>
      </c>
      <c r="E156" s="57">
        <f>IFERROR((E154-(IFERROR(-Inputs!E280/Inputs!E274,0)))*10000,"n/m")</f>
        <v>-369.85397662399055</v>
      </c>
      <c r="F156" s="57">
        <f>IFERROR((F154-(IFERROR(-Inputs!F280/Inputs!F274,0)))*10000,"n/m")</f>
        <v>14773.809341026594</v>
      </c>
      <c r="G156" s="57">
        <f>IFERROR((G154-(IFERROR(-Inputs!G280/Inputs!G274,0)))*10000,"n/m")</f>
        <v>-1756.7228327663058</v>
      </c>
      <c r="H156" s="59">
        <f>IFERROR((H154-C154)*10000,"n/m")</f>
        <v>-1185.4749486328437</v>
      </c>
      <c r="I156" s="1"/>
    </row>
    <row r="157">
      <c r="A157" s="1"/>
      <c r="B157" s="54" t="s">
        <v>229</v>
      </c>
      <c r="C157" s="32">
        <f>C108+C151+C117</f>
        <v>7.4159999999999995</v>
      </c>
      <c r="D157" s="32">
        <f>D108+D151+D117</f>
        <v>387.184</v>
      </c>
      <c r="E157" s="64">
        <f>Inputs!F281+Inputs!G281+C157+D157</f>
        <v>402.805</v>
      </c>
      <c r="F157" s="32">
        <f>F108+F151+F117</f>
        <v>8.072999999999999</v>
      </c>
      <c r="G157" s="32">
        <f>G108+G151+G117</f>
        <v>14.264000000000003</v>
      </c>
      <c r="H157" s="44">
        <f>H108+H151+H117</f>
        <v>18.656419574419477</v>
      </c>
      <c r="I157" s="1"/>
    </row>
    <row r="158">
      <c r="A158" s="1"/>
      <c r="B158" s="61" t="s">
        <v>82</v>
      </c>
      <c r="C158" s="55">
        <f>IF(Inputs!C281*C157&gt;0,C157/Inputs!C281-1,"n/m")</f>
        <v>0.7355487947577815</v>
      </c>
      <c r="D158" s="55">
        <f>IF(Inputs!D281*D157&gt;0,D157/Inputs!D281-1,"n/m")</f>
        <v>0.43995061122330203</v>
      </c>
      <c r="E158" s="55">
        <f>IF(Inputs!E281*E157&gt;0,E157/Inputs!E281-1,"n/m")</f>
        <v>0.44177664193341726</v>
      </c>
      <c r="F158" s="55" t="str">
        <f>IF(Inputs!F281*F157&gt;0,F157/Inputs!F281-1,"n/m")</f>
        <v>n/m</v>
      </c>
      <c r="G158" s="55">
        <f>IF(Inputs!G281*G157&gt;0,G157/Inputs!G281-1,"n/m")</f>
        <v>0.603056866711621</v>
      </c>
      <c r="H158" s="56">
        <f>IF(C157*H157&gt;0,H157/C157-1,"n/m")</f>
        <v>1.515698432365086</v>
      </c>
      <c r="I158" s="1"/>
    </row>
    <row r="159">
      <c r="A159" s="1"/>
      <c r="B159" s="43" t="s">
        <v>118</v>
      </c>
      <c r="C159" s="15">
        <f>C157-Inputs!G281</f>
        <v>-1.4820000000000002</v>
      </c>
      <c r="D159" s="4">
        <f>D157-C157</f>
        <v>379.76800000000003</v>
      </c>
      <c r="E159" s="4"/>
      <c r="F159" s="4">
        <f>F157-D157</f>
        <v>-379.11100000000005</v>
      </c>
      <c r="G159" s="4">
        <f>G157-F157</f>
        <v>6.191000000000004</v>
      </c>
      <c r="H159" s="33">
        <f>H157-G157</f>
        <v>4.392419574419474</v>
      </c>
      <c r="I159" s="1"/>
    </row>
    <row r="160">
      <c r="A160" s="1"/>
      <c r="B160" s="54" t="s">
        <v>230</v>
      </c>
      <c r="C160" s="32">
        <f>C145+C157</f>
        <v>79.51900000000002</v>
      </c>
      <c r="D160" s="32">
        <f>D145+D157</f>
        <v>448.334</v>
      </c>
      <c r="E160" s="64">
        <f>Inputs!F282+Inputs!G282+C160+D160</f>
        <v>655.879</v>
      </c>
      <c r="F160" s="32">
        <f>F145+F157</f>
        <v>80.204</v>
      </c>
      <c r="G160" s="32">
        <f>G145+G157</f>
        <v>97.691</v>
      </c>
      <c r="H160" s="44">
        <f>H145+H157</f>
        <v>107.79989033797015</v>
      </c>
      <c r="I160" s="1"/>
    </row>
    <row r="161">
      <c r="A161" s="1"/>
      <c r="B161" s="61" t="s">
        <v>82</v>
      </c>
      <c r="C161" s="55">
        <f>IF(Inputs!C282*C160&gt;0,C160/Inputs!C282-1,"n/m")</f>
        <v>0.2976126368695031</v>
      </c>
      <c r="D161" s="55">
        <f>IF(Inputs!D282*D160&gt;0,D160/Inputs!D282-1,"n/m")</f>
        <v>0.3472222222222223</v>
      </c>
      <c r="E161" s="55">
        <f>IF(Inputs!E282*E160&gt;0,E160/Inputs!E282-1,"n/m")</f>
        <v>0.2912452775212968</v>
      </c>
      <c r="F161" s="55">
        <f>IF(Inputs!F282*F160&gt;0,F160/Inputs!F282-1,"n/m")</f>
        <v>0.4404712728317677</v>
      </c>
      <c r="G161" s="55">
        <f>IF(Inputs!G282*G160&gt;0,G160/Inputs!G282-1,"n/m")</f>
        <v>0.3503116922609093</v>
      </c>
      <c r="H161" s="56">
        <f>IF(C160*H160&gt;0,H160/C160-1,"n/m")</f>
        <v>0.35564947167306094</v>
      </c>
      <c r="I161" s="1"/>
    </row>
    <row r="162">
      <c r="A162" s="1"/>
      <c r="B162" s="43" t="s">
        <v>118</v>
      </c>
      <c r="C162" s="15">
        <f>C160-Inputs!G282</f>
        <v>7.1720000000000255</v>
      </c>
      <c r="D162" s="4">
        <f>D160-C160</f>
        <v>368.815</v>
      </c>
      <c r="E162" s="4"/>
      <c r="F162" s="4">
        <f>F160-D160</f>
        <v>-368.13</v>
      </c>
      <c r="G162" s="4">
        <f>G160-F160</f>
        <v>17.48700000000001</v>
      </c>
      <c r="H162" s="33">
        <f>H160-G160</f>
        <v>10.108890337970152</v>
      </c>
      <c r="I162" s="1"/>
    </row>
    <row r="163">
      <c r="A163" s="1"/>
      <c r="B163" s="61" t="s">
        <v>231</v>
      </c>
      <c r="C163" s="58">
        <f>C160/C126</f>
        <v>0.5238371288726689</v>
      </c>
      <c r="D163" s="58">
        <f>D160/D126</f>
        <v>0.7353703882913899</v>
      </c>
      <c r="E163" s="58">
        <f>E160/E126</f>
        <v>0.6370651907857161</v>
      </c>
      <c r="F163" s="58">
        <f>F160/F126</f>
        <v>0.47637828013447214</v>
      </c>
      <c r="G163" s="58">
        <f>G160/G126</f>
        <v>0.5612554435877696</v>
      </c>
      <c r="H163" s="56">
        <f>H160/H126</f>
        <v>0.552681167993955</v>
      </c>
      <c r="I163" s="1"/>
    </row>
    <row r="164">
      <c r="A164" s="1"/>
      <c r="B164" s="66" t="s">
        <v>121</v>
      </c>
      <c r="C164" s="57">
        <f>IFERROR((C163-(Inputs!G282/Inputs!G276))*10000,"n/m")</f>
        <v>280.41458612733715</v>
      </c>
      <c r="D164" s="62">
        <f>IFERROR((D163-C163)*10000,"n/m")</f>
        <v>2115.3325941872104</v>
      </c>
      <c r="E164" s="62"/>
      <c r="F164" s="62">
        <f>IFERROR((F163-D163)*10000,"n/m")</f>
        <v>-2589.9210815691777</v>
      </c>
      <c r="G164" s="62">
        <f>IFERROR((G163-F163)*10000,"n/m")</f>
        <v>848.7716345329743</v>
      </c>
      <c r="H164" s="59">
        <f>IFERROR((H163-G163)*10000,"n/m")</f>
        <v>-85.74275593814629</v>
      </c>
      <c r="I164" s="1"/>
    </row>
    <row r="165">
      <c r="A165" s="1"/>
      <c r="B165" s="66" t="s">
        <v>122</v>
      </c>
      <c r="C165" s="57">
        <f>IFERROR((C163-(Inputs!C282/Inputs!C276))*10000,"n/m")</f>
        <v>379.11919534937334</v>
      </c>
      <c r="D165" s="57">
        <f>IFERROR((D163-(Inputs!D282/Inputs!D276))*10000,"n/m")</f>
        <v>196.84324624956952</v>
      </c>
      <c r="E165" s="57">
        <f>IFERROR((E163-(Inputs!E282/Inputs!E276))*10000,"n/m")</f>
        <v>355.797814040959</v>
      </c>
      <c r="F165" s="57">
        <f>IFERROR((F163-(Inputs!F282/Inputs!F276))*10000,"n/m")</f>
        <v>205.12422382238992</v>
      </c>
      <c r="G165" s="57">
        <f>IFERROR((G163-(Inputs!G282/Inputs!G276))*10000,"n/m")</f>
        <v>654.5977332783442</v>
      </c>
      <c r="H165" s="59">
        <f>IFERROR((H163-C163)*10000,"n/m")</f>
        <v>288.4403912128608</v>
      </c>
      <c r="I165" s="1"/>
    </row>
    <row r="166">
      <c r="A166" s="1"/>
      <c r="B166" s="43" t="s">
        <v>232</v>
      </c>
      <c r="C166" s="26">
        <v>79.519</v>
      </c>
      <c r="D166" s="26">
        <v>448.334</v>
      </c>
      <c r="E166" s="26">
        <v>655.879</v>
      </c>
      <c r="F166" s="26">
        <v>80.204</v>
      </c>
      <c r="G166" s="26">
        <v>97.691</v>
      </c>
      <c r="H166" s="33"/>
      <c r="I166" s="1"/>
    </row>
    <row r="167">
      <c r="A167" s="1"/>
      <c r="B167" s="43" t="s">
        <v>218</v>
      </c>
      <c r="C167" s="4">
        <f>C160-C166</f>
        <v>0</v>
      </c>
      <c r="D167" s="4">
        <f>D160-D166</f>
        <v>0</v>
      </c>
      <c r="E167" s="4">
        <f>E160-E166</f>
        <v>0</v>
      </c>
      <c r="F167" s="4">
        <f>F160-F166</f>
        <v>0</v>
      </c>
      <c r="G167" s="4">
        <f>G160-G166</f>
        <v>0</v>
      </c>
      <c r="H167" s="33"/>
      <c r="I167" s="1"/>
    </row>
    <row r="168">
      <c r="A168" s="1"/>
      <c r="B168" s="1"/>
      <c r="C168" s="3"/>
      <c r="D168" s="3"/>
      <c r="E168" s="3"/>
      <c r="F168" s="3"/>
      <c r="G168" s="3"/>
      <c r="H168" s="37"/>
      <c r="I168" s="1"/>
    </row>
    <row r="169">
      <c r="A169" s="1"/>
      <c r="B169" s="2" t="s">
        <v>233</v>
      </c>
      <c r="C169" s="4"/>
      <c r="D169" s="4"/>
      <c r="E169" s="4"/>
      <c r="F169" s="4"/>
      <c r="G169" s="4"/>
      <c r="H169" s="33"/>
      <c r="I169" s="1"/>
    </row>
    <row r="170">
      <c r="A170" s="1"/>
      <c r="B170" s="40" t="s">
        <v>303</v>
      </c>
      <c r="C170" s="68">
        <v>0.029</v>
      </c>
      <c r="D170" s="68">
        <v>0.043</v>
      </c>
      <c r="E170" s="68">
        <v>0.132</v>
      </c>
      <c r="F170" s="68">
        <v>0.017</v>
      </c>
      <c r="G170" s="68">
        <v>0.058</v>
      </c>
      <c r="H170" s="56"/>
      <c r="I170" s="8" t="s">
        <v>235</v>
      </c>
    </row>
    <row r="171">
      <c r="A171" s="1"/>
      <c r="B171" s="43" t="s">
        <v>121</v>
      </c>
      <c r="C171" s="57">
        <f>(C170-Inputs!G284)*10000</f>
        <v>10.000000000000044</v>
      </c>
      <c r="D171" s="62">
        <f>IFERROR((D170-C170)*10000,"n/m")</f>
        <v>139.99999999999994</v>
      </c>
      <c r="E171" s="62"/>
      <c r="F171" s="62">
        <f>IFERROR((F170-D170)*10000,"n/m")</f>
        <v>-259.99999999999994</v>
      </c>
      <c r="G171" s="62">
        <f>IFERROR((G170-F170)*10000,"n/m")</f>
        <v>410</v>
      </c>
      <c r="H171" s="59"/>
      <c r="I171" s="1"/>
    </row>
    <row r="172">
      <c r="A172" s="1"/>
      <c r="B172" s="43" t="s">
        <v>122</v>
      </c>
      <c r="C172" s="57">
        <f>(C170-Inputs!C284)*10000</f>
        <v>70.00000000000003</v>
      </c>
      <c r="D172" s="57">
        <f>(D170-Inputs!D284)*10000</f>
        <v>59.999999999999915</v>
      </c>
      <c r="E172" s="57">
        <f>(E170-Inputs!E284)*10000</f>
        <v>0</v>
      </c>
      <c r="F172" s="57">
        <f>(F170-Inputs!F284)*10000</f>
        <v>-89.99999999999997</v>
      </c>
      <c r="G172" s="57">
        <f>(G170-Inputs!G284)*10000</f>
        <v>300.00000000000006</v>
      </c>
      <c r="H172" s="59"/>
      <c r="I172" s="1"/>
    </row>
    <row r="173">
      <c r="A173" s="1"/>
      <c r="B173" s="1"/>
      <c r="C173" s="3"/>
      <c r="D173" s="3"/>
      <c r="E173" s="3"/>
      <c r="F173" s="3"/>
      <c r="G173" s="3"/>
      <c r="H173" s="37"/>
      <c r="I173" s="1"/>
    </row>
    <row r="174">
      <c r="A174" s="1"/>
      <c r="B174" s="2" t="s">
        <v>241</v>
      </c>
      <c r="C174" s="4"/>
      <c r="D174" s="4"/>
      <c r="E174" s="4"/>
      <c r="F174" s="4"/>
      <c r="G174" s="4"/>
      <c r="H174" s="33"/>
      <c r="I174" s="1"/>
    </row>
    <row r="175">
      <c r="A175" s="1"/>
      <c r="B175" s="54" t="s">
        <v>248</v>
      </c>
      <c r="C175" s="67">
        <v>148</v>
      </c>
      <c r="D175" s="67">
        <v>33</v>
      </c>
      <c r="E175" s="32">
        <f>D175</f>
        <v>33</v>
      </c>
      <c r="F175" s="67">
        <v>56</v>
      </c>
      <c r="G175" s="67">
        <v>243</v>
      </c>
      <c r="H175" s="44"/>
      <c r="I175" s="8" t="s">
        <v>299</v>
      </c>
    </row>
    <row r="176">
      <c r="A176" s="1"/>
      <c r="B176" s="61" t="s">
        <v>82</v>
      </c>
      <c r="C176" s="55">
        <f>IF(Inputs!C285*C175&gt;0,C175/Inputs!C285-1,"n/m")</f>
        <v>0.4095238095238096</v>
      </c>
      <c r="D176" s="55">
        <f>IF(Inputs!D285*D175&gt;0,D175/Inputs!D285-1,"n/m")</f>
        <v>0.10000000000000009</v>
      </c>
      <c r="E176" s="55">
        <f>IF(Inputs!E285*E175&gt;0,E175/Inputs!E285-1,"n/m")</f>
        <v>0.10000000000000009</v>
      </c>
      <c r="F176" s="55">
        <f>IF(Inputs!F285*F175&gt;0,F175/Inputs!F285-1,"n/m")</f>
        <v>0.21739130434782616</v>
      </c>
      <c r="G176" s="55">
        <f>IF(Inputs!G285*G175&gt;0,G175/Inputs!G285-1,"n/m")</f>
        <v>1.3592233009708736</v>
      </c>
      <c r="H176" s="56"/>
      <c r="I176" s="1"/>
    </row>
    <row r="177">
      <c r="A177" s="1"/>
      <c r="B177" s="43" t="s">
        <v>118</v>
      </c>
      <c r="C177" s="15">
        <f>C175-Inputs!G285</f>
        <v>45</v>
      </c>
      <c r="D177" s="4">
        <f>D175-C175</f>
        <v>-115</v>
      </c>
      <c r="E177" s="4"/>
      <c r="F177" s="4">
        <f>F175-D175</f>
        <v>23</v>
      </c>
      <c r="G177" s="4">
        <f>G175-F175</f>
        <v>187</v>
      </c>
      <c r="H177" s="33"/>
      <c r="I177" s="1"/>
    </row>
    <row r="178">
      <c r="A178" s="1"/>
      <c r="B178" s="1"/>
      <c r="C178" s="3"/>
      <c r="D178" s="3"/>
      <c r="E178" s="3"/>
      <c r="F178" s="3"/>
      <c r="G178" s="3"/>
      <c r="H178" s="37"/>
      <c r="I178" s="1"/>
    </row>
    <row r="179">
      <c r="A179" s="1"/>
      <c r="B179" s="14" t="s">
        <v>252</v>
      </c>
      <c r="C179" s="4"/>
      <c r="D179" s="4"/>
      <c r="E179" s="4"/>
      <c r="F179" s="4"/>
      <c r="G179" s="4"/>
      <c r="H179" s="33"/>
      <c r="I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I303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2" t="s">
        <v>0</v>
      </c>
      <c r="C2" s="6"/>
      <c r="D2" s="6"/>
      <c r="E2" s="6"/>
      <c r="F2" s="6"/>
      <c r="G2" s="6"/>
      <c r="H2" s="6"/>
      <c r="I2" s="1"/>
    </row>
    <row r="3">
      <c r="A3" s="1"/>
      <c r="B3" s="2" t="s">
        <v>304</v>
      </c>
      <c r="C3" s="6"/>
      <c r="D3" s="6"/>
      <c r="E3" s="6"/>
      <c r="F3" s="6"/>
      <c r="G3" s="6"/>
      <c r="H3" s="6"/>
      <c r="I3" s="1"/>
    </row>
    <row r="4">
      <c r="A4" s="1"/>
      <c r="B4" s="1" t="s">
        <v>2</v>
      </c>
      <c r="C4" s="6"/>
      <c r="D4" s="6"/>
      <c r="E4" s="6"/>
      <c r="F4" s="6"/>
      <c r="G4" s="6"/>
      <c r="H4" s="6"/>
      <c r="I4" s="1"/>
    </row>
    <row r="5">
      <c r="A5" s="1"/>
      <c r="B5" s="29" t="s">
        <v>71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42" t="s">
        <v>4</v>
      </c>
    </row>
    <row r="6">
      <c r="A6" s="1"/>
      <c r="B6" s="19" t="s">
        <v>78</v>
      </c>
      <c r="C6" s="12">
        <v>45930</v>
      </c>
      <c r="D6" s="12">
        <v>46022</v>
      </c>
      <c r="E6" s="12">
        <v>46022</v>
      </c>
      <c r="F6" s="12">
        <v>46112</v>
      </c>
      <c r="G6" s="12">
        <v>46203</v>
      </c>
      <c r="H6" s="12">
        <v>46295</v>
      </c>
      <c r="I6" s="19"/>
    </row>
    <row r="7">
      <c r="A7" s="1"/>
      <c r="B7" s="27" t="s">
        <v>79</v>
      </c>
      <c r="C7" s="20">
        <v>92</v>
      </c>
      <c r="D7" s="20">
        <v>92</v>
      </c>
      <c r="E7" s="20">
        <v>365</v>
      </c>
      <c r="F7" s="20">
        <v>90</v>
      </c>
      <c r="G7" s="20">
        <v>91</v>
      </c>
      <c r="H7" s="20">
        <v>92</v>
      </c>
      <c r="I7" s="27"/>
    </row>
    <row r="8">
      <c r="A8" s="1"/>
      <c r="B8" s="1"/>
      <c r="C8" s="3"/>
      <c r="D8" s="3"/>
      <c r="E8" s="3"/>
      <c r="F8" s="3"/>
      <c r="G8" s="3"/>
      <c r="H8" s="37"/>
      <c r="I8" s="1"/>
    </row>
    <row r="9">
      <c r="A9" s="1"/>
      <c r="B9" s="2" t="s">
        <v>305</v>
      </c>
      <c r="C9" s="4"/>
      <c r="D9" s="4"/>
      <c r="E9" s="4"/>
      <c r="F9" s="4"/>
      <c r="G9" s="4"/>
      <c r="H9" s="33"/>
      <c r="I9" s="1"/>
    </row>
    <row r="10">
      <c r="A10" s="1"/>
      <c r="B10" s="85" t="s">
        <v>306</v>
      </c>
      <c r="C10" s="4"/>
      <c r="D10" s="4"/>
      <c r="E10" s="4"/>
      <c r="F10" s="4"/>
      <c r="G10" s="4"/>
      <c r="H10" s="33"/>
      <c r="I10" s="1"/>
    </row>
    <row r="11">
      <c r="A11" s="1"/>
      <c r="B11" s="31" t="s">
        <v>307</v>
      </c>
      <c r="C11" s="26">
        <v>2056.248</v>
      </c>
      <c r="D11" s="26">
        <v>2079.541</v>
      </c>
      <c r="E11" s="15">
        <f>Inputs!F298+Inputs!G298+C11+D11</f>
        <v>8075.601</v>
      </c>
      <c r="F11" s="26">
        <v>2148.62</v>
      </c>
      <c r="G11" s="26">
        <v>2266.006</v>
      </c>
      <c r="H11" s="36">
        <f>'Revenue summary'!H71+H150</f>
        <v>2219.3641105321917</v>
      </c>
      <c r="I11" s="8" t="s">
        <v>308</v>
      </c>
    </row>
    <row r="12">
      <c r="A12" s="1"/>
      <c r="B12" s="61" t="s">
        <v>82</v>
      </c>
      <c r="C12" s="55">
        <f>IF(Inputs!C298*C11&gt;0,C11/Inputs!C298-1,"n/m")</f>
        <v>0.14560971288555202</v>
      </c>
      <c r="D12" s="55">
        <f>IF(Inputs!D298*D11&gt;0,D11/Inputs!D298-1,"n/m")</f>
        <v>0.10638541249352929</v>
      </c>
      <c r="E12" s="55">
        <f>IF(Inputs!E298*E11&gt;0,E11/Inputs!E298-1,"n/m")</f>
        <v>0.12333744520746892</v>
      </c>
      <c r="F12" s="55">
        <f>IF(Inputs!F298*F11&gt;0,F11/Inputs!F298-1,"n/m")</f>
        <v>0.12828904011254427</v>
      </c>
      <c r="G12" s="55">
        <f>IF(Inputs!G298*G11&gt;0,G11/Inputs!G298-1,"n/m")</f>
        <v>0.11324567242857397</v>
      </c>
      <c r="H12" s="56">
        <f>IF(C11*H11&gt;0,H11/C11-1,"n/m")</f>
        <v>0.07932706100246256</v>
      </c>
      <c r="I12" s="1"/>
    </row>
    <row r="13">
      <c r="A13" s="1"/>
      <c r="B13" s="43" t="s">
        <v>118</v>
      </c>
      <c r="C13" s="15">
        <f>C11-Inputs!G298</f>
        <v>20.753000000000156</v>
      </c>
      <c r="D13" s="4">
        <f>D11-C11</f>
        <v>23.29300000000012</v>
      </c>
      <c r="E13" s="4"/>
      <c r="F13" s="4">
        <f>F11-D11</f>
        <v>69.07899999999972</v>
      </c>
      <c r="G13" s="4">
        <f>G11-F11</f>
        <v>117.38599999999997</v>
      </c>
      <c r="H13" s="33">
        <f>H11-G11</f>
        <v>-46.64188946780814</v>
      </c>
      <c r="I13" s="1"/>
    </row>
    <row r="14">
      <c r="A14" s="1"/>
      <c r="B14" s="61" t="s">
        <v>85</v>
      </c>
      <c r="C14" s="58" t="s">
        <v>86</v>
      </c>
      <c r="D14" s="58" t="s">
        <v>86</v>
      </c>
      <c r="E14" s="58" t="s">
        <v>86</v>
      </c>
      <c r="F14" s="58" t="s">
        <v>86</v>
      </c>
      <c r="G14" s="58" t="s">
        <v>86</v>
      </c>
      <c r="H14" s="56" t="s">
        <v>86</v>
      </c>
      <c r="I14" s="8" t="s">
        <v>94</v>
      </c>
    </row>
    <row r="15">
      <c r="A15" s="1"/>
      <c r="B15" s="61" t="s">
        <v>88</v>
      </c>
      <c r="C15" s="58" t="s">
        <v>86</v>
      </c>
      <c r="D15" s="58" t="s">
        <v>86</v>
      </c>
      <c r="E15" s="58" t="s">
        <v>86</v>
      </c>
      <c r="F15" s="58" t="s">
        <v>86</v>
      </c>
      <c r="G15" s="58" t="s">
        <v>86</v>
      </c>
      <c r="H15" s="56" t="s">
        <v>86</v>
      </c>
      <c r="I15" s="8" t="s">
        <v>95</v>
      </c>
    </row>
    <row r="16">
      <c r="A16" s="1"/>
      <c r="B16" s="61" t="s">
        <v>89</v>
      </c>
      <c r="C16" s="58" t="s">
        <v>86</v>
      </c>
      <c r="D16" s="58" t="s">
        <v>86</v>
      </c>
      <c r="E16" s="58" t="s">
        <v>86</v>
      </c>
      <c r="F16" s="58" t="s">
        <v>86</v>
      </c>
      <c r="G16" s="58" t="s">
        <v>86</v>
      </c>
      <c r="H16" s="56" t="s">
        <v>86</v>
      </c>
      <c r="I16" s="8" t="s">
        <v>95</v>
      </c>
    </row>
    <row r="17">
      <c r="A17" s="1"/>
      <c r="B17" s="31" t="s">
        <v>309</v>
      </c>
      <c r="C17" s="26">
        <v>200.675</v>
      </c>
      <c r="D17" s="26">
        <v>390.288</v>
      </c>
      <c r="E17" s="15">
        <f>Inputs!F299+Inputs!G299+C17+D17</f>
        <v>978.202</v>
      </c>
      <c r="F17" s="26">
        <v>165.419</v>
      </c>
      <c r="G17" s="26">
        <v>159.08</v>
      </c>
      <c r="H17" s="33">
        <f>H153</f>
        <v>160</v>
      </c>
      <c r="I17" s="1"/>
    </row>
    <row r="18">
      <c r="A18" s="1"/>
      <c r="B18" s="61" t="s">
        <v>82</v>
      </c>
      <c r="C18" s="55">
        <f>IF(Inputs!C299*C17&gt;0,C17/Inputs!C299-1,"n/m")</f>
        <v>0.046304889621155976</v>
      </c>
      <c r="D18" s="55">
        <f>IF(Inputs!D299*D17&gt;0,D17/Inputs!D299-1,"n/m")</f>
        <v>-0.03571640345502347</v>
      </c>
      <c r="E18" s="55">
        <f>IF(Inputs!E299*E17&gt;0,E17/Inputs!E299-1,"n/m")</f>
        <v>0.014545032141368042</v>
      </c>
      <c r="F18" s="55">
        <f>IF(Inputs!F299*F17&gt;0,F17/Inputs!F299-1,"n/m")</f>
        <v>-0.13765671836309123</v>
      </c>
      <c r="G18" s="55">
        <f>IF(Inputs!G299*G17&gt;0,G17/Inputs!G299-1,"n/m")</f>
        <v>-0.1859334541025719</v>
      </c>
      <c r="H18" s="56">
        <f>IF(C17*H17&gt;0,H17/C17-1,"n/m")</f>
        <v>-0.20269091815123963</v>
      </c>
      <c r="I18" s="1"/>
    </row>
    <row r="19">
      <c r="A19" s="1"/>
      <c r="B19" s="43" t="s">
        <v>118</v>
      </c>
      <c r="C19" s="15">
        <f>C17-Inputs!G299</f>
        <v>5.261000000000024</v>
      </c>
      <c r="D19" s="4">
        <f>D17-C17</f>
        <v>189.613</v>
      </c>
      <c r="E19" s="4"/>
      <c r="F19" s="4">
        <f>F17-D17</f>
        <v>-224.869</v>
      </c>
      <c r="G19" s="4">
        <f>G17-F17</f>
        <v>-6.338999999999999</v>
      </c>
      <c r="H19" s="33">
        <f>H17-G17</f>
        <v>0.9199999999999875</v>
      </c>
      <c r="I19" s="1"/>
    </row>
    <row r="20">
      <c r="A20" s="1"/>
      <c r="B20" s="61" t="s">
        <v>85</v>
      </c>
      <c r="C20" s="58" t="s">
        <v>86</v>
      </c>
      <c r="D20" s="58" t="s">
        <v>86</v>
      </c>
      <c r="E20" s="58" t="s">
        <v>86</v>
      </c>
      <c r="F20" s="58" t="s">
        <v>86</v>
      </c>
      <c r="G20" s="58" t="s">
        <v>86</v>
      </c>
      <c r="H20" s="56" t="s">
        <v>86</v>
      </c>
      <c r="I20" s="8" t="s">
        <v>94</v>
      </c>
    </row>
    <row r="21">
      <c r="A21" s="1"/>
      <c r="B21" s="61" t="s">
        <v>88</v>
      </c>
      <c r="C21" s="58" t="s">
        <v>86</v>
      </c>
      <c r="D21" s="58" t="s">
        <v>86</v>
      </c>
      <c r="E21" s="58" t="s">
        <v>86</v>
      </c>
      <c r="F21" s="58" t="s">
        <v>86</v>
      </c>
      <c r="G21" s="58" t="s">
        <v>86</v>
      </c>
      <c r="H21" s="56" t="s">
        <v>86</v>
      </c>
      <c r="I21" s="8" t="s">
        <v>95</v>
      </c>
    </row>
    <row r="22">
      <c r="A22" s="1"/>
      <c r="B22" s="61" t="s">
        <v>89</v>
      </c>
      <c r="C22" s="58" t="s">
        <v>86</v>
      </c>
      <c r="D22" s="58" t="s">
        <v>86</v>
      </c>
      <c r="E22" s="58" t="s">
        <v>86</v>
      </c>
      <c r="F22" s="58" t="s">
        <v>86</v>
      </c>
      <c r="G22" s="58" t="s">
        <v>86</v>
      </c>
      <c r="H22" s="56" t="s">
        <v>86</v>
      </c>
      <c r="I22" s="8" t="s">
        <v>95</v>
      </c>
    </row>
    <row r="23">
      <c r="A23" s="1"/>
      <c r="B23" s="31" t="s">
        <v>310</v>
      </c>
      <c r="C23" s="26">
        <v>997.296</v>
      </c>
      <c r="D23" s="26">
        <v>1273.077</v>
      </c>
      <c r="E23" s="15">
        <f>Inputs!F300+Inputs!G300+C23+D23</f>
        <v>3662.2430000000004</v>
      </c>
      <c r="F23" s="26">
        <v>1103.173</v>
      </c>
      <c r="G23" s="26">
        <v>1365.175</v>
      </c>
      <c r="H23" s="36">
        <f>'Revenue summary'!H78+'Revenue summary'!H92-H17</f>
        <v>732.9388188561823</v>
      </c>
      <c r="I23" s="8" t="s">
        <v>311</v>
      </c>
    </row>
    <row r="24">
      <c r="A24" s="1"/>
      <c r="B24" s="61" t="s">
        <v>82</v>
      </c>
      <c r="C24" s="55">
        <f>IF(Inputs!C300*C23&gt;0,C23/Inputs!C300-1,"n/m")</f>
        <v>1.4045424407180143</v>
      </c>
      <c r="D24" s="55">
        <f>IF(Inputs!D300*D23&gt;0,D23/Inputs!D300-1,"n/m")</f>
        <v>-0.3151202932162276</v>
      </c>
      <c r="E24" s="55">
        <f>IF(Inputs!E300*E23&gt;0,E23/Inputs!E300-1,"n/m")</f>
        <v>0.059141706765043045</v>
      </c>
      <c r="F24" s="55">
        <f>IF(Inputs!F300*F23&gt;0,F23/Inputs!F300-1,"n/m")</f>
        <v>0.9627666577706611</v>
      </c>
      <c r="G24" s="55">
        <f>IF(Inputs!G300*G23&gt;0,G23/Inputs!G300-1,"n/m")</f>
        <v>0.6451459352630688</v>
      </c>
      <c r="H24" s="56">
        <f>IF(C23*H23&gt;0,H23/C23-1,"n/m")</f>
        <v>-0.2650739410804994</v>
      </c>
      <c r="I24" s="1"/>
    </row>
    <row r="25">
      <c r="A25" s="1"/>
      <c r="B25" s="43" t="s">
        <v>118</v>
      </c>
      <c r="C25" s="15">
        <f>C23-Inputs!G300</f>
        <v>167.476</v>
      </c>
      <c r="D25" s="4">
        <f>D23-C23</f>
        <v>275.78099999999995</v>
      </c>
      <c r="E25" s="4"/>
      <c r="F25" s="4">
        <f>F23-D23</f>
        <v>-169.904</v>
      </c>
      <c r="G25" s="4">
        <f>G23-F23</f>
        <v>262.00199999999995</v>
      </c>
      <c r="H25" s="33">
        <f>H23-G23</f>
        <v>-632.2361811438177</v>
      </c>
      <c r="I25" s="1"/>
    </row>
    <row r="26">
      <c r="A26" s="1"/>
      <c r="B26" s="61" t="s">
        <v>85</v>
      </c>
      <c r="C26" s="58" t="s">
        <v>86</v>
      </c>
      <c r="D26" s="58" t="s">
        <v>86</v>
      </c>
      <c r="E26" s="58" t="s">
        <v>86</v>
      </c>
      <c r="F26" s="58" t="s">
        <v>86</v>
      </c>
      <c r="G26" s="58" t="s">
        <v>86</v>
      </c>
      <c r="H26" s="56" t="s">
        <v>86</v>
      </c>
      <c r="I26" s="8" t="s">
        <v>94</v>
      </c>
    </row>
    <row r="27">
      <c r="A27" s="1"/>
      <c r="B27" s="61" t="s">
        <v>88</v>
      </c>
      <c r="C27" s="58" t="s">
        <v>86</v>
      </c>
      <c r="D27" s="58" t="s">
        <v>86</v>
      </c>
      <c r="E27" s="58" t="s">
        <v>86</v>
      </c>
      <c r="F27" s="58" t="s">
        <v>86</v>
      </c>
      <c r="G27" s="58" t="s">
        <v>86</v>
      </c>
      <c r="H27" s="56" t="s">
        <v>86</v>
      </c>
      <c r="I27" s="8" t="s">
        <v>95</v>
      </c>
    </row>
    <row r="28">
      <c r="A28" s="1"/>
      <c r="B28" s="61" t="s">
        <v>89</v>
      </c>
      <c r="C28" s="58" t="s">
        <v>86</v>
      </c>
      <c r="D28" s="58" t="s">
        <v>86</v>
      </c>
      <c r="E28" s="58" t="s">
        <v>86</v>
      </c>
      <c r="F28" s="58" t="s">
        <v>86</v>
      </c>
      <c r="G28" s="58" t="s">
        <v>86</v>
      </c>
      <c r="H28" s="56" t="s">
        <v>86</v>
      </c>
      <c r="I28" s="8" t="s">
        <v>95</v>
      </c>
    </row>
    <row r="29">
      <c r="A29" s="1"/>
      <c r="B29" s="31" t="s">
        <v>312</v>
      </c>
      <c r="C29" s="26">
        <v>-215.818</v>
      </c>
      <c r="D29" s="26">
        <v>282.397</v>
      </c>
      <c r="E29" s="15">
        <f>Inputs!F301+Inputs!G301+C29+D29</f>
        <v>643.0630000000001</v>
      </c>
      <c r="F29" s="26">
        <v>283.452</v>
      </c>
      <c r="G29" s="26">
        <v>587.14</v>
      </c>
      <c r="H29" s="33">
        <f>H154</f>
        <v>100</v>
      </c>
      <c r="I29" s="1"/>
    </row>
    <row r="30">
      <c r="A30" s="1"/>
      <c r="B30" s="61" t="s">
        <v>82</v>
      </c>
      <c r="C30" s="55" t="str">
        <f>IF(Inputs!C301*C29&gt;0,C29/Inputs!C301-1,"n/m")</f>
        <v>n/m</v>
      </c>
      <c r="D30" s="55" t="str">
        <f>IF(Inputs!D301*D29&gt;0,D29/Inputs!D301-1,"n/m")</f>
        <v>n/m</v>
      </c>
      <c r="E30" s="55">
        <f>IF(Inputs!E301*E29&gt;0,E29/Inputs!E301-1,"n/m")</f>
        <v>0.7314240173179292</v>
      </c>
      <c r="F30" s="55">
        <f>IF(Inputs!F301*F29&gt;0,F29/Inputs!F301-1,"n/m")</f>
        <v>0.07694119703192603</v>
      </c>
      <c r="G30" s="55">
        <f>IF(Inputs!G301*G29&gt;0,G29/Inputs!G301-1,"n/m")</f>
        <v>0.8741521244370105</v>
      </c>
      <c r="H30" s="56" t="str">
        <f>IF(C29*H29&gt;0,H29/C29-1,"n/m")</f>
        <v>n/m</v>
      </c>
      <c r="I30" s="1"/>
    </row>
    <row r="31">
      <c r="A31" s="1"/>
      <c r="B31" s="43" t="s">
        <v>118</v>
      </c>
      <c r="C31" s="15">
        <f>C29-Inputs!G301</f>
        <v>-529.101</v>
      </c>
      <c r="D31" s="4">
        <f>D29-C29</f>
        <v>498.21500000000003</v>
      </c>
      <c r="E31" s="4"/>
      <c r="F31" s="4">
        <f>F29-D29</f>
        <v>1.0550000000000068</v>
      </c>
      <c r="G31" s="4">
        <f>G29-F29</f>
        <v>303.688</v>
      </c>
      <c r="H31" s="33">
        <f>H29-G29</f>
        <v>-487.14</v>
      </c>
      <c r="I31" s="1"/>
    </row>
    <row r="32">
      <c r="A32" s="1"/>
      <c r="B32" s="61" t="s">
        <v>85</v>
      </c>
      <c r="C32" s="58" t="s">
        <v>86</v>
      </c>
      <c r="D32" s="58" t="s">
        <v>86</v>
      </c>
      <c r="E32" s="58" t="s">
        <v>86</v>
      </c>
      <c r="F32" s="58" t="s">
        <v>86</v>
      </c>
      <c r="G32" s="58" t="s">
        <v>86</v>
      </c>
      <c r="H32" s="56" t="s">
        <v>86</v>
      </c>
      <c r="I32" s="8" t="s">
        <v>94</v>
      </c>
    </row>
    <row r="33">
      <c r="A33" s="1"/>
      <c r="B33" s="61" t="s">
        <v>88</v>
      </c>
      <c r="C33" s="58" t="s">
        <v>86</v>
      </c>
      <c r="D33" s="58" t="s">
        <v>86</v>
      </c>
      <c r="E33" s="58" t="s">
        <v>86</v>
      </c>
      <c r="F33" s="58" t="s">
        <v>86</v>
      </c>
      <c r="G33" s="58" t="s">
        <v>86</v>
      </c>
      <c r="H33" s="56" t="s">
        <v>86</v>
      </c>
      <c r="I33" s="8" t="s">
        <v>95</v>
      </c>
    </row>
    <row r="34">
      <c r="A34" s="1"/>
      <c r="B34" s="61" t="s">
        <v>89</v>
      </c>
      <c r="C34" s="58" t="s">
        <v>86</v>
      </c>
      <c r="D34" s="58" t="s">
        <v>86</v>
      </c>
      <c r="E34" s="58" t="s">
        <v>86</v>
      </c>
      <c r="F34" s="58" t="s">
        <v>86</v>
      </c>
      <c r="G34" s="58" t="s">
        <v>86</v>
      </c>
      <c r="H34" s="56" t="s">
        <v>86</v>
      </c>
      <c r="I34" s="8" t="s">
        <v>95</v>
      </c>
    </row>
    <row r="35">
      <c r="A35" s="1"/>
      <c r="B35" s="31" t="s">
        <v>313</v>
      </c>
      <c r="C35" s="26">
        <v>152.652</v>
      </c>
      <c r="D35" s="26">
        <v>262.267</v>
      </c>
      <c r="E35" s="15">
        <f>Inputs!F302+Inputs!G302+C35+D35</f>
        <v>697.6320000000001</v>
      </c>
      <c r="F35" s="26">
        <v>143.02</v>
      </c>
      <c r="G35" s="26">
        <v>105.585</v>
      </c>
      <c r="H35" s="36">
        <f>'Revenue summary'!H99+H155</f>
        <v>147.22828090312723</v>
      </c>
      <c r="I35" s="1"/>
    </row>
    <row r="36">
      <c r="A36" s="1"/>
      <c r="B36" s="61" t="s">
        <v>82</v>
      </c>
      <c r="C36" s="55">
        <f>IF(Inputs!C302*C35&gt;0,C35/Inputs!C302-1,"n/m")</f>
        <v>0.6028980941880611</v>
      </c>
      <c r="D36" s="55">
        <f>IF(Inputs!D302*D35&gt;0,D35/Inputs!D302-1,"n/m")</f>
        <v>2.1081286071508987</v>
      </c>
      <c r="E36" s="55">
        <f>IF(Inputs!E302*E35&gt;0,E35/Inputs!E302-1,"n/m")</f>
        <v>1.0996695339164146</v>
      </c>
      <c r="F36" s="55">
        <f>IF(Inputs!F302*F35&gt;0,F35/Inputs!F302-1,"n/m")</f>
        <v>-0.22917722132994145</v>
      </c>
      <c r="G36" s="55">
        <f>IF(Inputs!G302*G35&gt;0,G35/Inputs!G302-1,"n/m")</f>
        <v>0.08658962035998385</v>
      </c>
      <c r="H36" s="56">
        <f>IF(C35*H35&gt;0,H35/C35-1,"n/m")</f>
        <v>-0.03552995766103795</v>
      </c>
      <c r="I36" s="1"/>
    </row>
    <row r="37">
      <c r="A37" s="1"/>
      <c r="B37" s="43" t="s">
        <v>118</v>
      </c>
      <c r="C37" s="15">
        <f>C35-Inputs!G302</f>
        <v>55.48099999999998</v>
      </c>
      <c r="D37" s="4">
        <f>D35-C35</f>
        <v>109.61500000000001</v>
      </c>
      <c r="E37" s="4"/>
      <c r="F37" s="4">
        <f>F35-D35</f>
        <v>-119.24699999999999</v>
      </c>
      <c r="G37" s="4">
        <f>G35-F35</f>
        <v>-37.43500000000002</v>
      </c>
      <c r="H37" s="33">
        <f>H35-G35</f>
        <v>41.643280903127234</v>
      </c>
      <c r="I37" s="1"/>
    </row>
    <row r="38">
      <c r="A38" s="1"/>
      <c r="B38" s="61" t="s">
        <v>85</v>
      </c>
      <c r="C38" s="58" t="s">
        <v>86</v>
      </c>
      <c r="D38" s="58" t="s">
        <v>86</v>
      </c>
      <c r="E38" s="58" t="s">
        <v>86</v>
      </c>
      <c r="F38" s="58" t="s">
        <v>86</v>
      </c>
      <c r="G38" s="58" t="s">
        <v>86</v>
      </c>
      <c r="H38" s="56" t="s">
        <v>86</v>
      </c>
      <c r="I38" s="8" t="s">
        <v>94</v>
      </c>
    </row>
    <row r="39">
      <c r="A39" s="1"/>
      <c r="B39" s="61" t="s">
        <v>88</v>
      </c>
      <c r="C39" s="58" t="s">
        <v>86</v>
      </c>
      <c r="D39" s="58" t="s">
        <v>86</v>
      </c>
      <c r="E39" s="58" t="s">
        <v>86</v>
      </c>
      <c r="F39" s="58" t="s">
        <v>86</v>
      </c>
      <c r="G39" s="58" t="s">
        <v>86</v>
      </c>
      <c r="H39" s="56" t="s">
        <v>86</v>
      </c>
      <c r="I39" s="8" t="s">
        <v>95</v>
      </c>
    </row>
    <row r="40">
      <c r="A40" s="1"/>
      <c r="B40" s="61" t="s">
        <v>89</v>
      </c>
      <c r="C40" s="58" t="s">
        <v>86</v>
      </c>
      <c r="D40" s="58" t="s">
        <v>86</v>
      </c>
      <c r="E40" s="58" t="s">
        <v>86</v>
      </c>
      <c r="F40" s="58" t="s">
        <v>86</v>
      </c>
      <c r="G40" s="58" t="s">
        <v>86</v>
      </c>
      <c r="H40" s="56" t="s">
        <v>86</v>
      </c>
      <c r="I40" s="8" t="s">
        <v>95</v>
      </c>
    </row>
    <row r="41">
      <c r="A41" s="1"/>
      <c r="B41" s="31" t="s">
        <v>314</v>
      </c>
      <c r="C41" s="26">
        <v>-238.658</v>
      </c>
      <c r="D41" s="26">
        <v>-37.142</v>
      </c>
      <c r="E41" s="15">
        <f>Inputs!F303+Inputs!G303+C41+D41</f>
        <v>248.30400000000003</v>
      </c>
      <c r="F41" s="26">
        <v>-385.002</v>
      </c>
      <c r="G41" s="26">
        <v>414.821</v>
      </c>
      <c r="H41" s="33">
        <f>H158</f>
        <v>50</v>
      </c>
      <c r="I41" s="1"/>
    </row>
    <row r="42">
      <c r="A42" s="1"/>
      <c r="B42" s="61" t="s">
        <v>82</v>
      </c>
      <c r="C42" s="55" t="str">
        <f>IF(Inputs!C303*C41&gt;0,IF(ABS(Inputs!C303)&lt;0.05*ABS(C41),"n/m",C41/Inputs!C303-1),"n/m")</f>
        <v>n/m</v>
      </c>
      <c r="D42" s="55">
        <f>IF(Inputs!D303*D41&gt;0,D41/Inputs!D303-1,"n/m")</f>
        <v>-0.21628122889939227</v>
      </c>
      <c r="E42" s="55">
        <f>IF(Inputs!E303*E41&gt;0,E41/Inputs!E303-1,"n/m")</f>
        <v>-0.3475831010192043</v>
      </c>
      <c r="F42" s="55" t="str">
        <f>IF(Inputs!F303*F41&gt;0,F41/Inputs!F303-1,"n/m")</f>
        <v>n/m</v>
      </c>
      <c r="G42" s="55">
        <f>IF(Inputs!G303*G41&gt;0,G41/Inputs!G303-1,"n/m")</f>
        <v>0.13527974142767607</v>
      </c>
      <c r="H42" s="56" t="str">
        <f>IF(C41*H41&gt;0,H41/C41-1,"n/m")</f>
        <v>n/m</v>
      </c>
      <c r="I42" s="102" t="s">
        <v>210</v>
      </c>
    </row>
    <row r="43">
      <c r="A43" s="1"/>
      <c r="B43" s="43" t="s">
        <v>118</v>
      </c>
      <c r="C43" s="15">
        <f>C41-Inputs!G303</f>
        <v>-604.049</v>
      </c>
      <c r="D43" s="4">
        <f>D41-C41</f>
        <v>201.516</v>
      </c>
      <c r="E43" s="4"/>
      <c r="F43" s="4">
        <f>F41-D41</f>
        <v>-347.86</v>
      </c>
      <c r="G43" s="4">
        <f>G41-F41</f>
        <v>799.8230000000001</v>
      </c>
      <c r="H43" s="33">
        <f>H41-G41</f>
        <v>-364.821</v>
      </c>
      <c r="I43" s="1"/>
    </row>
    <row r="44">
      <c r="A44" s="1"/>
      <c r="B44" s="61" t="s">
        <v>85</v>
      </c>
      <c r="C44" s="58" t="s">
        <v>86</v>
      </c>
      <c r="D44" s="58" t="s">
        <v>86</v>
      </c>
      <c r="E44" s="58" t="s">
        <v>86</v>
      </c>
      <c r="F44" s="58" t="s">
        <v>86</v>
      </c>
      <c r="G44" s="58" t="s">
        <v>86</v>
      </c>
      <c r="H44" s="56" t="s">
        <v>86</v>
      </c>
      <c r="I44" s="8" t="s">
        <v>94</v>
      </c>
    </row>
    <row r="45">
      <c r="A45" s="1"/>
      <c r="B45" s="61" t="s">
        <v>88</v>
      </c>
      <c r="C45" s="58" t="s">
        <v>86</v>
      </c>
      <c r="D45" s="58" t="s">
        <v>86</v>
      </c>
      <c r="E45" s="58" t="s">
        <v>86</v>
      </c>
      <c r="F45" s="58" t="s">
        <v>86</v>
      </c>
      <c r="G45" s="58" t="s">
        <v>86</v>
      </c>
      <c r="H45" s="56" t="s">
        <v>86</v>
      </c>
      <c r="I45" s="8" t="s">
        <v>95</v>
      </c>
    </row>
    <row r="46">
      <c r="A46" s="1"/>
      <c r="B46" s="61" t="s">
        <v>89</v>
      </c>
      <c r="C46" s="58" t="s">
        <v>86</v>
      </c>
      <c r="D46" s="58" t="s">
        <v>86</v>
      </c>
      <c r="E46" s="58" t="s">
        <v>86</v>
      </c>
      <c r="F46" s="58" t="s">
        <v>86</v>
      </c>
      <c r="G46" s="58" t="s">
        <v>86</v>
      </c>
      <c r="H46" s="56" t="s">
        <v>86</v>
      </c>
      <c r="I46" s="8" t="s">
        <v>95</v>
      </c>
    </row>
    <row r="47">
      <c r="A47" s="1"/>
      <c r="B47" s="54" t="s">
        <v>315</v>
      </c>
      <c r="C47" s="32">
        <f>C23+C29+C35+C41</f>
        <v>695.4720000000001</v>
      </c>
      <c r="D47" s="32">
        <f>D23+D29+D35+D41</f>
        <v>1780.599</v>
      </c>
      <c r="E47" s="32">
        <f>E23+E29+E35+E41</f>
        <v>5251.242</v>
      </c>
      <c r="F47" s="32">
        <f>F23+F29+F35+F41</f>
        <v>1144.643</v>
      </c>
      <c r="G47" s="32">
        <f>G23+G29+G35+G41</f>
        <v>2472.721</v>
      </c>
      <c r="H47" s="44">
        <f>H23+H29+H35+H41</f>
        <v>1030.1670997593096</v>
      </c>
      <c r="I47" s="1"/>
    </row>
    <row r="48">
      <c r="A48" s="1"/>
      <c r="B48" s="61" t="s">
        <v>82</v>
      </c>
      <c r="C48" s="55">
        <f>IF(Inputs!C304*C47&gt;0,C47/Inputs!C304-1,"n/m")</f>
        <v>-0.5818078174720572</v>
      </c>
      <c r="D48" s="55">
        <f>IF(Inputs!D304*D47&gt;0,D47/Inputs!D304-1,"n/m")</f>
        <v>2.272323799617377</v>
      </c>
      <c r="E48" s="55">
        <f>IF(Inputs!E304*E47&gt;0,E47/Inputs!E304-1,"n/m")</f>
        <v>0.15615140636221647</v>
      </c>
      <c r="F48" s="55">
        <f>IF(Inputs!F304*F47&gt;0,F47/Inputs!F304-1,"n/m")</f>
        <v>-0.02125940354303446</v>
      </c>
      <c r="G48" s="55">
        <f>IF(Inputs!G304*G47&gt;0,G47/Inputs!G304-1,"n/m")</f>
        <v>0.5399980693357582</v>
      </c>
      <c r="H48" s="56">
        <f>IF(C47*H47&gt;0,H47/C47-1,"n/m")</f>
        <v>0.48124884935599055</v>
      </c>
      <c r="I48" s="1"/>
    </row>
    <row r="49">
      <c r="A49" s="1"/>
      <c r="B49" s="61" t="s">
        <v>83</v>
      </c>
      <c r="C49" s="55">
        <f>IF(Inputs!G304*C47&gt;0,C47/Inputs!G304-1,"n/m")</f>
        <v>-0.5668635736595118</v>
      </c>
      <c r="D49" s="58">
        <f>IF(C47*D47&gt;0,D47/C47-1,"n/m")</f>
        <v>1.560274173510939</v>
      </c>
      <c r="E49" s="58"/>
      <c r="F49" s="58">
        <f>IF(D47*F47&gt;0,F47/D47-1,"n/m")</f>
        <v>-0.35715846184345823</v>
      </c>
      <c r="G49" s="58">
        <f>IF(F47*G47&gt;0,G47/F47-1,"n/m")</f>
        <v>1.1602552062083986</v>
      </c>
      <c r="H49" s="56">
        <f>IF(G47*H47&gt;0,H47/G47-1,"n/m")</f>
        <v>-0.5833872483958726</v>
      </c>
      <c r="I49" s="1"/>
    </row>
    <row r="50">
      <c r="A50" s="1"/>
      <c r="B50" s="43" t="s">
        <v>118</v>
      </c>
      <c r="C50" s="15">
        <f>C47-Inputs!G304</f>
        <v>-910.1929999999999</v>
      </c>
      <c r="D50" s="4">
        <f>D47-C47</f>
        <v>1085.127</v>
      </c>
      <c r="E50" s="4"/>
      <c r="F50" s="4">
        <f>F47-D47</f>
        <v>-635.9559999999999</v>
      </c>
      <c r="G50" s="4">
        <f>G47-F47</f>
        <v>1328.078</v>
      </c>
      <c r="H50" s="33">
        <f>H47-G47</f>
        <v>-1442.5539002406904</v>
      </c>
      <c r="I50" s="1"/>
    </row>
    <row r="51">
      <c r="A51" s="1"/>
      <c r="B51" s="61" t="s">
        <v>85</v>
      </c>
      <c r="C51" s="58" t="s">
        <v>86</v>
      </c>
      <c r="D51" s="58" t="s">
        <v>86</v>
      </c>
      <c r="E51" s="58" t="s">
        <v>86</v>
      </c>
      <c r="F51" s="58" t="s">
        <v>86</v>
      </c>
      <c r="G51" s="58" t="s">
        <v>86</v>
      </c>
      <c r="H51" s="56" t="s">
        <v>86</v>
      </c>
      <c r="I51" s="8" t="s">
        <v>94</v>
      </c>
    </row>
    <row r="52">
      <c r="A52" s="1"/>
      <c r="B52" s="61" t="s">
        <v>88</v>
      </c>
      <c r="C52" s="58" t="s">
        <v>86</v>
      </c>
      <c r="D52" s="58" t="s">
        <v>86</v>
      </c>
      <c r="E52" s="58" t="s">
        <v>86</v>
      </c>
      <c r="F52" s="58" t="s">
        <v>86</v>
      </c>
      <c r="G52" s="58" t="s">
        <v>86</v>
      </c>
      <c r="H52" s="56" t="s">
        <v>86</v>
      </c>
      <c r="I52" s="8" t="s">
        <v>95</v>
      </c>
    </row>
    <row r="53">
      <c r="A53" s="1"/>
      <c r="B53" s="61" t="s">
        <v>89</v>
      </c>
      <c r="C53" s="58" t="s">
        <v>86</v>
      </c>
      <c r="D53" s="58" t="s">
        <v>86</v>
      </c>
      <c r="E53" s="58" t="s">
        <v>86</v>
      </c>
      <c r="F53" s="58" t="s">
        <v>86</v>
      </c>
      <c r="G53" s="58" t="s">
        <v>86</v>
      </c>
      <c r="H53" s="56" t="s">
        <v>86</v>
      </c>
      <c r="I53" s="8" t="s">
        <v>95</v>
      </c>
    </row>
    <row r="54">
      <c r="A54" s="1"/>
      <c r="B54" s="31" t="s">
        <v>316</v>
      </c>
      <c r="C54" s="26">
        <v>107.538</v>
      </c>
      <c r="D54" s="26">
        <v>110.746</v>
      </c>
      <c r="E54" s="15">
        <f>Inputs!F305+Inputs!G305+C54+D54</f>
        <v>416.09299999999996</v>
      </c>
      <c r="F54" s="26">
        <v>107.94</v>
      </c>
      <c r="G54" s="26">
        <v>134.224</v>
      </c>
      <c r="H54" s="60">
        <v>130</v>
      </c>
      <c r="I54" s="8" t="s">
        <v>155</v>
      </c>
    </row>
    <row r="55">
      <c r="A55" s="1"/>
      <c r="B55" s="61" t="s">
        <v>82</v>
      </c>
      <c r="C55" s="55">
        <f>IF(Inputs!C305*C54&gt;0,C54/Inputs!C305-1,"n/m")</f>
        <v>-0.020369122014320395</v>
      </c>
      <c r="D55" s="55">
        <f>IF(Inputs!D305*D54&gt;0,D54/Inputs!D305-1,"n/m")</f>
        <v>0.12378864907100162</v>
      </c>
      <c r="E55" s="55">
        <f>IF(Inputs!E305*E54&gt;0,E54/Inputs!E305-1,"n/m")</f>
        <v>0.01200022375771903</v>
      </c>
      <c r="F55" s="55">
        <f>IF(Inputs!F305*F54&gt;0,F54/Inputs!F305-1,"n/m")</f>
        <v>0.10798603982755073</v>
      </c>
      <c r="G55" s="55">
        <f>IF(Inputs!G305*G54&gt;0,G54/Inputs!G305-1,"n/m")</f>
        <v>0.3370389186066203</v>
      </c>
      <c r="H55" s="56">
        <f>IF(C54*H54&gt;0,H54/C54-1,"n/m")</f>
        <v>0.20887500232475964</v>
      </c>
      <c r="I55" s="1"/>
    </row>
    <row r="56">
      <c r="A56" s="1"/>
      <c r="B56" s="43" t="s">
        <v>118</v>
      </c>
      <c r="C56" s="15">
        <f>C54-Inputs!G305</f>
        <v>7.149000000000001</v>
      </c>
      <c r="D56" s="4">
        <f>D54-C54</f>
        <v>3.2079999999999984</v>
      </c>
      <c r="E56" s="4"/>
      <c r="F56" s="4">
        <f>F54-D54</f>
        <v>-2.8059999999999974</v>
      </c>
      <c r="G56" s="4">
        <f>G54-F54</f>
        <v>26.283999999999992</v>
      </c>
      <c r="H56" s="33">
        <f>H54-G54</f>
        <v>-4.2239999999999895</v>
      </c>
      <c r="I56" s="1"/>
    </row>
    <row r="57">
      <c r="A57" s="1"/>
      <c r="B57" s="61" t="s">
        <v>85</v>
      </c>
      <c r="C57" s="58" t="s">
        <v>86</v>
      </c>
      <c r="D57" s="58" t="s">
        <v>86</v>
      </c>
      <c r="E57" s="58" t="s">
        <v>86</v>
      </c>
      <c r="F57" s="58" t="s">
        <v>86</v>
      </c>
      <c r="G57" s="58" t="s">
        <v>86</v>
      </c>
      <c r="H57" s="56" t="s">
        <v>86</v>
      </c>
      <c r="I57" s="8" t="s">
        <v>94</v>
      </c>
    </row>
    <row r="58">
      <c r="A58" s="1"/>
      <c r="B58" s="61" t="s">
        <v>88</v>
      </c>
      <c r="C58" s="58" t="s">
        <v>86</v>
      </c>
      <c r="D58" s="58" t="s">
        <v>86</v>
      </c>
      <c r="E58" s="58" t="s">
        <v>86</v>
      </c>
      <c r="F58" s="58" t="s">
        <v>86</v>
      </c>
      <c r="G58" s="58" t="s">
        <v>86</v>
      </c>
      <c r="H58" s="56" t="s">
        <v>86</v>
      </c>
      <c r="I58" s="8" t="s">
        <v>95</v>
      </c>
    </row>
    <row r="59">
      <c r="A59" s="1"/>
      <c r="B59" s="61" t="s">
        <v>89</v>
      </c>
      <c r="C59" s="58" t="s">
        <v>86</v>
      </c>
      <c r="D59" s="58" t="s">
        <v>86</v>
      </c>
      <c r="E59" s="58" t="s">
        <v>86</v>
      </c>
      <c r="F59" s="58" t="s">
        <v>86</v>
      </c>
      <c r="G59" s="58" t="s">
        <v>86</v>
      </c>
      <c r="H59" s="56" t="s">
        <v>86</v>
      </c>
      <c r="I59" s="8" t="s">
        <v>95</v>
      </c>
    </row>
    <row r="60">
      <c r="A60" s="1"/>
      <c r="B60" s="31" t="s">
        <v>317</v>
      </c>
      <c r="C60" s="26">
        <v>28.702</v>
      </c>
      <c r="D60" s="26">
        <v>-0.902</v>
      </c>
      <c r="E60" s="15">
        <f>Inputs!F306+Inputs!G306+C60+D60</f>
        <v>-270.873</v>
      </c>
      <c r="F60" s="26">
        <v>50.973</v>
      </c>
      <c r="G60" s="26">
        <v>11.947</v>
      </c>
      <c r="H60" s="60">
        <v>0</v>
      </c>
      <c r="I60" s="8" t="s">
        <v>318</v>
      </c>
    </row>
    <row r="61">
      <c r="A61" s="1"/>
      <c r="B61" s="61" t="s">
        <v>82</v>
      </c>
      <c r="C61" s="55" t="str">
        <f>IF(Inputs!C306*C60&gt;0,C60/Inputs!C306-1,"n/m")</f>
        <v>n/m</v>
      </c>
      <c r="D61" s="55" t="str">
        <f>IF(Inputs!D306*D60&gt;0,D60/Inputs!D306-1,"n/m")</f>
        <v>n/m</v>
      </c>
      <c r="E61" s="55" t="str">
        <f>IF(Inputs!E306*E60&gt;0,E60/Inputs!E306-1,"n/m")</f>
        <v>n/m</v>
      </c>
      <c r="F61" s="55" t="str">
        <f>IF(Inputs!F306*F60&gt;0,F60/Inputs!F306-1,"n/m")</f>
        <v>n/m</v>
      </c>
      <c r="G61" s="55" t="str">
        <f>IF(Inputs!G306*G60&gt;0,G60/Inputs!G306-1,"n/m")</f>
        <v>n/m</v>
      </c>
      <c r="H61" s="56" t="str">
        <f>IF(C60*H60&gt;0,H60/C60-1,"n/m")</f>
        <v>n/m</v>
      </c>
      <c r="I61" s="1"/>
    </row>
    <row r="62">
      <c r="A62" s="1"/>
      <c r="B62" s="43" t="s">
        <v>118</v>
      </c>
      <c r="C62" s="15">
        <f>C60-Inputs!G306</f>
        <v>253.765</v>
      </c>
      <c r="D62" s="4">
        <f>D60-C60</f>
        <v>-29.604000000000003</v>
      </c>
      <c r="E62" s="4"/>
      <c r="F62" s="4">
        <f>F60-D60</f>
        <v>51.875</v>
      </c>
      <c r="G62" s="4">
        <f>G60-F60</f>
        <v>-39.025999999999996</v>
      </c>
      <c r="H62" s="33">
        <f>H60-G60</f>
        <v>-11.947</v>
      </c>
      <c r="I62" s="1"/>
    </row>
    <row r="63">
      <c r="A63" s="1"/>
      <c r="B63" s="61" t="s">
        <v>85</v>
      </c>
      <c r="C63" s="58" t="s">
        <v>86</v>
      </c>
      <c r="D63" s="58" t="s">
        <v>86</v>
      </c>
      <c r="E63" s="58" t="s">
        <v>86</v>
      </c>
      <c r="F63" s="58" t="s">
        <v>86</v>
      </c>
      <c r="G63" s="58" t="s">
        <v>86</v>
      </c>
      <c r="H63" s="56" t="s">
        <v>86</v>
      </c>
      <c r="I63" s="8" t="s">
        <v>94</v>
      </c>
    </row>
    <row r="64">
      <c r="A64" s="1"/>
      <c r="B64" s="61" t="s">
        <v>88</v>
      </c>
      <c r="C64" s="58" t="s">
        <v>86</v>
      </c>
      <c r="D64" s="58" t="s">
        <v>86</v>
      </c>
      <c r="E64" s="58" t="s">
        <v>86</v>
      </c>
      <c r="F64" s="58" t="s">
        <v>86</v>
      </c>
      <c r="G64" s="58" t="s">
        <v>86</v>
      </c>
      <c r="H64" s="56" t="s">
        <v>86</v>
      </c>
      <c r="I64" s="8" t="s">
        <v>95</v>
      </c>
    </row>
    <row r="65">
      <c r="A65" s="1"/>
      <c r="B65" s="61" t="s">
        <v>89</v>
      </c>
      <c r="C65" s="58" t="s">
        <v>86</v>
      </c>
      <c r="D65" s="58" t="s">
        <v>86</v>
      </c>
      <c r="E65" s="58" t="s">
        <v>86</v>
      </c>
      <c r="F65" s="58" t="s">
        <v>86</v>
      </c>
      <c r="G65" s="58" t="s">
        <v>86</v>
      </c>
      <c r="H65" s="56" t="s">
        <v>86</v>
      </c>
      <c r="I65" s="8" t="s">
        <v>95</v>
      </c>
    </row>
    <row r="66">
      <c r="A66" s="1"/>
      <c r="B66" s="54" t="s">
        <v>319</v>
      </c>
      <c r="C66" s="32">
        <f>C11+C17+C47+C54+C60</f>
        <v>3088.6350000000007</v>
      </c>
      <c r="D66" s="32">
        <f>D11+D17+D47+D54+D60</f>
        <v>4360.272</v>
      </c>
      <c r="E66" s="32">
        <f>E11+E17+E47+E54+E60</f>
        <v>14450.265000000001</v>
      </c>
      <c r="F66" s="32">
        <f>F11+F17+F47+F54+F60</f>
        <v>3617.595</v>
      </c>
      <c r="G66" s="32">
        <f>G11+G17+G47+G54+G60</f>
        <v>5043.978</v>
      </c>
      <c r="H66" s="44">
        <f>H11+H17+H47+H54+H60</f>
        <v>3539.5312102915013</v>
      </c>
      <c r="I66" s="1"/>
    </row>
    <row r="67">
      <c r="A67" s="1"/>
      <c r="B67" s="61" t="s">
        <v>82</v>
      </c>
      <c r="C67" s="55">
        <f>IF(Inputs!C307*C66&gt;0,C66/Inputs!C307-1,"n/m")</f>
        <v>-0.15684645694440402</v>
      </c>
      <c r="D67" s="55">
        <f>IF(Inputs!D307*D66&gt;0,D66/Inputs!D307-1,"n/m")</f>
        <v>0.4144947470694049</v>
      </c>
      <c r="E67" s="55">
        <f>IF(Inputs!E307*E66&gt;0,E66/Inputs!E307-1,"n/m")</f>
        <v>0.09223733572144699</v>
      </c>
      <c r="F67" s="55">
        <f>IF(Inputs!F307*F66&gt;0,F66/Inputs!F307-1,"n/m")</f>
        <v>0.09975412362766134</v>
      </c>
      <c r="G67" s="55">
        <f>IF(Inputs!G307*G66&gt;0,G66/Inputs!G307-1,"n/m")</f>
        <v>0.3588668875777903</v>
      </c>
      <c r="H67" s="56">
        <f>IF(C66*H66&gt;0,H66/C66-1,"n/m")</f>
        <v>0.1459855924353317</v>
      </c>
      <c r="I67" s="1"/>
    </row>
    <row r="68">
      <c r="A68" s="1"/>
      <c r="B68" s="61" t="s">
        <v>83</v>
      </c>
      <c r="C68" s="55">
        <f>IF(Inputs!G307*C66&gt;0,C66/Inputs!G307-1,"n/m")</f>
        <v>-0.16790996524690838</v>
      </c>
      <c r="D68" s="58">
        <f>IF(C66*D66&gt;0,D66/C66-1,"n/m")</f>
        <v>0.4117148837593303</v>
      </c>
      <c r="E68" s="58"/>
      <c r="F68" s="58">
        <f>IF(D66*F66&gt;0,F66/D66-1,"n/m")</f>
        <v>-0.17032813549246473</v>
      </c>
      <c r="G68" s="58">
        <f>IF(F66*G66&gt;0,G66/F66-1,"n/m")</f>
        <v>0.3942904056424228</v>
      </c>
      <c r="H68" s="56">
        <f>IF(G66*H66&gt;0,H66/G66-1,"n/m")</f>
        <v>-0.29826593012667757</v>
      </c>
      <c r="I68" s="1"/>
    </row>
    <row r="69">
      <c r="A69" s="1"/>
      <c r="B69" s="43" t="s">
        <v>118</v>
      </c>
      <c r="C69" s="15">
        <f>C66-Inputs!G307</f>
        <v>-623.2649999999994</v>
      </c>
      <c r="D69" s="4">
        <f>D66-C66</f>
        <v>1271.6369999999993</v>
      </c>
      <c r="E69" s="4"/>
      <c r="F69" s="4">
        <f>F66-D66</f>
        <v>-742.6770000000001</v>
      </c>
      <c r="G69" s="4">
        <f>G66-F66</f>
        <v>1426.3830000000003</v>
      </c>
      <c r="H69" s="33">
        <f>H66-G66</f>
        <v>-1504.4467897084987</v>
      </c>
      <c r="I69" s="1"/>
    </row>
    <row r="70">
      <c r="A70" s="1"/>
      <c r="B70" s="61" t="s">
        <v>85</v>
      </c>
      <c r="C70" s="58" t="s">
        <v>86</v>
      </c>
      <c r="D70" s="58" t="s">
        <v>86</v>
      </c>
      <c r="E70" s="58" t="s">
        <v>86</v>
      </c>
      <c r="F70" s="58" t="s">
        <v>86</v>
      </c>
      <c r="G70" s="58" t="s">
        <v>86</v>
      </c>
      <c r="H70" s="56" t="s">
        <v>86</v>
      </c>
      <c r="I70" s="8" t="s">
        <v>94</v>
      </c>
    </row>
    <row r="71">
      <c r="A71" s="1"/>
      <c r="B71" s="61" t="s">
        <v>88</v>
      </c>
      <c r="C71" s="58" t="s">
        <v>86</v>
      </c>
      <c r="D71" s="58" t="s">
        <v>86</v>
      </c>
      <c r="E71" s="58" t="s">
        <v>86</v>
      </c>
      <c r="F71" s="58" t="s">
        <v>86</v>
      </c>
      <c r="G71" s="58" t="s">
        <v>86</v>
      </c>
      <c r="H71" s="56" t="s">
        <v>86</v>
      </c>
      <c r="I71" s="8" t="s">
        <v>95</v>
      </c>
    </row>
    <row r="72">
      <c r="A72" s="1"/>
      <c r="B72" s="61" t="s">
        <v>89</v>
      </c>
      <c r="C72" s="58" t="s">
        <v>86</v>
      </c>
      <c r="D72" s="58" t="s">
        <v>86</v>
      </c>
      <c r="E72" s="58" t="s">
        <v>86</v>
      </c>
      <c r="F72" s="58" t="s">
        <v>86</v>
      </c>
      <c r="G72" s="58" t="s">
        <v>86</v>
      </c>
      <c r="H72" s="56" t="s">
        <v>86</v>
      </c>
      <c r="I72" s="8" t="s">
        <v>95</v>
      </c>
    </row>
    <row r="73">
      <c r="A73" s="1"/>
      <c r="B73" s="85" t="s">
        <v>320</v>
      </c>
      <c r="C73" s="4"/>
      <c r="D73" s="4"/>
      <c r="E73" s="4"/>
      <c r="F73" s="4"/>
      <c r="G73" s="4"/>
      <c r="H73" s="33"/>
      <c r="I73" s="1"/>
    </row>
    <row r="74">
      <c r="A74" s="1"/>
      <c r="B74" s="31" t="s">
        <v>321</v>
      </c>
      <c r="C74" s="26">
        <v>845.659</v>
      </c>
      <c r="D74" s="26">
        <v>925.814</v>
      </c>
      <c r="E74" s="15">
        <f>Inputs!F308+Inputs!G308+C74+D74</f>
        <v>3671.1929999999998</v>
      </c>
      <c r="F74" s="26">
        <v>1166.897</v>
      </c>
      <c r="G74" s="26">
        <v>963.026</v>
      </c>
      <c r="H74" s="33">
        <f>-H193-H163+H164</f>
        <v>960.0698080301643</v>
      </c>
      <c r="I74" s="8" t="s">
        <v>322</v>
      </c>
    </row>
    <row r="75">
      <c r="A75" s="1"/>
      <c r="B75" s="61" t="s">
        <v>82</v>
      </c>
      <c r="C75" s="55">
        <f>IF(Inputs!C308*C74&gt;0,C74/Inputs!C308-1,"n/m")</f>
        <v>0.15520715369767535</v>
      </c>
      <c r="D75" s="55">
        <f>IF(Inputs!D308*D74&gt;0,D74/Inputs!D308-1,"n/m")</f>
        <v>0.2266693872575647</v>
      </c>
      <c r="E75" s="55">
        <f>IF(Inputs!E308*E74&gt;0,E74/Inputs!E308-1,"n/m")</f>
        <v>0.20436915992860105</v>
      </c>
      <c r="F75" s="55">
        <f>IF(Inputs!F308*F74&gt;0,F74/Inputs!F308-1,"n/m")</f>
        <v>0.13361188775183064</v>
      </c>
      <c r="G75" s="55">
        <f>IF(Inputs!G308*G74&gt;0,G74/Inputs!G308-1,"n/m")</f>
        <v>0.10647113027053234</v>
      </c>
      <c r="H75" s="56">
        <f>IF(C74*H74&gt;0,H74/C74-1,"n/m")</f>
        <v>0.13529189428618893</v>
      </c>
      <c r="I75" s="1"/>
    </row>
    <row r="76">
      <c r="A76" s="1"/>
      <c r="B76" s="43" t="s">
        <v>118</v>
      </c>
      <c r="C76" s="15">
        <f>C74-Inputs!G308</f>
        <v>-24.698999999999955</v>
      </c>
      <c r="D76" s="4">
        <f>D74-C74</f>
        <v>80.15499999999997</v>
      </c>
      <c r="E76" s="4"/>
      <c r="F76" s="4">
        <f>F74-D74</f>
        <v>241.08299999999997</v>
      </c>
      <c r="G76" s="4">
        <f>G74-F74</f>
        <v>-203.87099999999998</v>
      </c>
      <c r="H76" s="33">
        <f>H74-G74</f>
        <v>-2.956191969835686</v>
      </c>
      <c r="I76" s="1"/>
    </row>
    <row r="77">
      <c r="A77" s="1"/>
      <c r="B77" s="31" t="s">
        <v>323</v>
      </c>
      <c r="C77" s="26">
        <v>61.882</v>
      </c>
      <c r="D77" s="26">
        <v>88.628</v>
      </c>
      <c r="E77" s="15">
        <f>Inputs!F309+Inputs!G309+C77+D77</f>
        <v>274.902</v>
      </c>
      <c r="F77" s="26">
        <v>54.368</v>
      </c>
      <c r="G77" s="26">
        <v>49.716</v>
      </c>
      <c r="H77" s="60">
        <v>50</v>
      </c>
      <c r="I77" s="8" t="s">
        <v>155</v>
      </c>
    </row>
    <row r="78">
      <c r="A78" s="1"/>
      <c r="B78" s="61" t="s">
        <v>82</v>
      </c>
      <c r="C78" s="55">
        <f>IF(Inputs!C309*C77&gt;0,C77/Inputs!C309-1,"n/m")</f>
        <v>-0.15765545028857675</v>
      </c>
      <c r="D78" s="55">
        <f>IF(Inputs!D309*D77&gt;0,D77/Inputs!D309-1,"n/m")</f>
        <v>-0.4062809828773547</v>
      </c>
      <c r="E78" s="55">
        <f>IF(Inputs!E309*E77&gt;0,E77/Inputs!E309-1,"n/m")</f>
        <v>-0.2641533676315494</v>
      </c>
      <c r="F78" s="55">
        <f>IF(Inputs!F309*F77&gt;0,F77/Inputs!F309-1,"n/m")</f>
        <v>-0.0466604709884445</v>
      </c>
      <c r="G78" s="55">
        <f>IF(Inputs!G309*G77&gt;0,G77/Inputs!G309-1,"n/m")</f>
        <v>-0.261968736546769</v>
      </c>
      <c r="H78" s="56">
        <f>IF(C77*H77&gt;0,H77/C77-1,"n/m")</f>
        <v>-0.19201060082091725</v>
      </c>
      <c r="I78" s="1"/>
    </row>
    <row r="79">
      <c r="A79" s="1"/>
      <c r="B79" s="43" t="s">
        <v>118</v>
      </c>
      <c r="C79" s="15">
        <f>C77-Inputs!G309</f>
        <v>-5.481000000000002</v>
      </c>
      <c r="D79" s="4">
        <f>D77-C77</f>
        <v>26.746000000000002</v>
      </c>
      <c r="E79" s="4"/>
      <c r="F79" s="4">
        <f>F77-D77</f>
        <v>-34.26</v>
      </c>
      <c r="G79" s="4">
        <f>G77-F77</f>
        <v>-4.652000000000001</v>
      </c>
      <c r="H79" s="33">
        <f>H77-G77</f>
        <v>0.2839999999999989</v>
      </c>
      <c r="I79" s="1"/>
    </row>
    <row r="80">
      <c r="A80" s="1"/>
      <c r="B80" s="31" t="s">
        <v>324</v>
      </c>
      <c r="C80" s="26">
        <v>354.765</v>
      </c>
      <c r="D80" s="26">
        <v>369.626</v>
      </c>
      <c r="E80" s="15">
        <f>Inputs!F310+Inputs!G310+C80+D80</f>
        <v>1297.4719999999998</v>
      </c>
      <c r="F80" s="26">
        <v>433.449</v>
      </c>
      <c r="G80" s="26">
        <v>565.264</v>
      </c>
      <c r="H80" s="33">
        <f>-H204+H163+H167-H77</f>
        <v>274.056937487865</v>
      </c>
      <c r="I80" s="1"/>
    </row>
    <row r="81">
      <c r="A81" s="1"/>
      <c r="B81" s="61" t="s">
        <v>82</v>
      </c>
      <c r="C81" s="55">
        <f>IF(Inputs!C310*C80&gt;0,C80/Inputs!C310-1,"n/m")</f>
        <v>1.0900494874513962</v>
      </c>
      <c r="D81" s="55">
        <f>IF(Inputs!D310*D80&gt;0,D80/Inputs!D310-1,"n/m")</f>
        <v>-0.5024197445772818</v>
      </c>
      <c r="E81" s="55">
        <f>IF(Inputs!E310*E80&gt;0,E80/Inputs!E310-1,"n/m")</f>
        <v>-0.09408141364053102</v>
      </c>
      <c r="F81" s="55">
        <f>IF(Inputs!F310*F80&gt;0,F80/Inputs!F310-1,"n/m")</f>
        <v>0.7919260821034355</v>
      </c>
      <c r="G81" s="55">
        <f>IF(Inputs!G310*G80&gt;0,G80/Inputs!G310-1,"n/m")</f>
        <v>0.7067613552300638</v>
      </c>
      <c r="H81" s="56">
        <f>IF(C80*H80&gt;0,H80/C80-1,"n/m")</f>
        <v>-0.2274972517360364</v>
      </c>
      <c r="I81" s="1"/>
    </row>
    <row r="82">
      <c r="A82" s="1"/>
      <c r="B82" s="43" t="s">
        <v>118</v>
      </c>
      <c r="C82" s="15">
        <f>C80-Inputs!G310</f>
        <v>23.574000000000012</v>
      </c>
      <c r="D82" s="4">
        <f>D80-C80</f>
        <v>14.86099999999999</v>
      </c>
      <c r="E82" s="4"/>
      <c r="F82" s="4">
        <f>F80-D80</f>
        <v>63.823000000000036</v>
      </c>
      <c r="G82" s="4">
        <f>G80-F80</f>
        <v>131.815</v>
      </c>
      <c r="H82" s="33">
        <f>H80-G80</f>
        <v>-291.207062512135</v>
      </c>
      <c r="I82" s="1"/>
    </row>
    <row r="83">
      <c r="A83" s="1"/>
      <c r="B83" s="31" t="s">
        <v>325</v>
      </c>
      <c r="C83" s="26">
        <v>-31.547</v>
      </c>
      <c r="D83" s="26">
        <v>152.332</v>
      </c>
      <c r="E83" s="15">
        <f>Inputs!F311+Inputs!G311+C83+D83</f>
        <v>376.962</v>
      </c>
      <c r="F83" s="26">
        <v>89.701</v>
      </c>
      <c r="G83" s="26">
        <v>236.129</v>
      </c>
      <c r="H83" s="33">
        <f>H170*H29</f>
        <v>40</v>
      </c>
      <c r="I83" s="1"/>
    </row>
    <row r="84">
      <c r="A84" s="1"/>
      <c r="B84" s="61" t="s">
        <v>82</v>
      </c>
      <c r="C84" s="55" t="str">
        <f>IF(Inputs!C311*C83&gt;0,C83/Inputs!C311-1,"n/m")</f>
        <v>n/m</v>
      </c>
      <c r="D84" s="55" t="str">
        <f>IF(Inputs!D311*D83&gt;0,D83/Inputs!D311-1,"n/m")</f>
        <v>n/m</v>
      </c>
      <c r="E84" s="55">
        <f>IF(Inputs!E311*E83&gt;0,E83/Inputs!E311-1,"n/m")</f>
        <v>1.692181887002664</v>
      </c>
      <c r="F84" s="55">
        <f>IF(Inputs!F311*F83&gt;0,F83/Inputs!F311-1,"n/m")</f>
        <v>-0.13381743740283325</v>
      </c>
      <c r="G84" s="55">
        <f>IF(Inputs!G311*G83&gt;0,G83/Inputs!G311-1,"n/m")</f>
        <v>0.5471897154988272</v>
      </c>
      <c r="H84" s="56" t="str">
        <f>IF(C83*H83&gt;0,H83/C83-1,"n/m")</f>
        <v>n/m</v>
      </c>
      <c r="I84" s="1"/>
    </row>
    <row r="85">
      <c r="A85" s="1"/>
      <c r="B85" s="43" t="s">
        <v>118</v>
      </c>
      <c r="C85" s="15">
        <f>C83-Inputs!G311</f>
        <v>-184.165</v>
      </c>
      <c r="D85" s="4">
        <f>D83-C83</f>
        <v>183.879</v>
      </c>
      <c r="E85" s="4"/>
      <c r="F85" s="4">
        <f>F83-D83</f>
        <v>-62.631</v>
      </c>
      <c r="G85" s="4">
        <f>G83-F83</f>
        <v>146.428</v>
      </c>
      <c r="H85" s="33">
        <f>H83-G83</f>
        <v>-196.129</v>
      </c>
      <c r="I85" s="1"/>
    </row>
    <row r="86">
      <c r="A86" s="1"/>
      <c r="B86" s="54" t="s">
        <v>326</v>
      </c>
      <c r="C86" s="32">
        <f>C74+C77+C80+C83</f>
        <v>1230.759</v>
      </c>
      <c r="D86" s="32">
        <f>D74+D77+D80+D83</f>
        <v>1536.4</v>
      </c>
      <c r="E86" s="32">
        <f>E74+E77+E80+E83</f>
        <v>5620.528999999999</v>
      </c>
      <c r="F86" s="32">
        <f>F74+F77+F80+F83</f>
        <v>1744.415</v>
      </c>
      <c r="G86" s="32">
        <f>G74+G77+G80+G83</f>
        <v>1814.1349999999998</v>
      </c>
      <c r="H86" s="44">
        <f>H74+H77+H80+H83</f>
        <v>1324.1267455180293</v>
      </c>
      <c r="I86" s="1"/>
    </row>
    <row r="87">
      <c r="A87" s="1"/>
      <c r="B87" s="61" t="s">
        <v>82</v>
      </c>
      <c r="C87" s="55">
        <f>IF(Inputs!C312*C86&gt;0,C86/Inputs!C312-1,"n/m")</f>
        <v>-0.14551037807634848</v>
      </c>
      <c r="D87" s="55">
        <f>IF(Inputs!D312*D86&gt;0,D86/Inputs!D312-1,"n/m")</f>
        <v>0.47844068964389064</v>
      </c>
      <c r="E87" s="55">
        <f>IF(Inputs!E312*E86&gt;0,E86/Inputs!E312-1,"n/m")</f>
        <v>0.1254444035736102</v>
      </c>
      <c r="F87" s="55">
        <f>IF(Inputs!F312*F86&gt;0,F86/Inputs!F312-1,"n/m")</f>
        <v>0.21830302268409874</v>
      </c>
      <c r="G87" s="55">
        <f>IF(Inputs!G312*G86&gt;0,G86/Inputs!G312-1,"n/m")</f>
        <v>0.2761848149529027</v>
      </c>
      <c r="H87" s="56">
        <f>IF(C86*H86&gt;0,H86/C86-1,"n/m")</f>
        <v>0.07586192383564061</v>
      </c>
      <c r="I87" s="1"/>
    </row>
    <row r="88">
      <c r="A88" s="1"/>
      <c r="B88" s="61" t="s">
        <v>83</v>
      </c>
      <c r="C88" s="55">
        <f>IF(Inputs!G312*C86&gt;0,C86/Inputs!G312-1,"n/m")</f>
        <v>-0.13420117760441208</v>
      </c>
      <c r="D88" s="58">
        <f>IF(C86*D86&gt;0,D86/C86-1,"n/m")</f>
        <v>0.24833537678781958</v>
      </c>
      <c r="E88" s="58"/>
      <c r="F88" s="58">
        <f>IF(D86*F86&gt;0,F86/D86-1,"n/m")</f>
        <v>0.1353911741733922</v>
      </c>
      <c r="G88" s="58">
        <f>IF(F86*G86&gt;0,G86/F86-1,"n/m")</f>
        <v>0.039967553592465066</v>
      </c>
      <c r="H88" s="56">
        <f>IF(G86*H86&gt;0,H86/G86-1,"n/m")</f>
        <v>-0.27010572778870945</v>
      </c>
      <c r="I88" s="1"/>
    </row>
    <row r="89">
      <c r="A89" s="1"/>
      <c r="B89" s="43" t="s">
        <v>118</v>
      </c>
      <c r="C89" s="15">
        <f>C86-Inputs!G312</f>
        <v>-190.77099999999996</v>
      </c>
      <c r="D89" s="4">
        <f>D86-C86</f>
        <v>305.6410000000001</v>
      </c>
      <c r="E89" s="4"/>
      <c r="F89" s="4">
        <f>F86-D86</f>
        <v>208.01499999999987</v>
      </c>
      <c r="G89" s="4">
        <f>G86-F86</f>
        <v>69.7199999999998</v>
      </c>
      <c r="H89" s="33">
        <f>H86-G86</f>
        <v>-490.0082544819704</v>
      </c>
      <c r="I89" s="1"/>
    </row>
    <row r="90">
      <c r="A90" s="1"/>
      <c r="B90" s="31" t="s">
        <v>327</v>
      </c>
      <c r="C90" s="26">
        <v>383.58</v>
      </c>
      <c r="D90" s="26">
        <v>447.778</v>
      </c>
      <c r="E90" s="15">
        <f>Inputs!F313+Inputs!G313+C90+D90</f>
        <v>1524.548</v>
      </c>
      <c r="F90" s="26">
        <v>372.821</v>
      </c>
      <c r="G90" s="26">
        <v>409.11</v>
      </c>
      <c r="H90" s="33">
        <f>-H194+H173</f>
        <v>407</v>
      </c>
      <c r="I90" s="1"/>
    </row>
    <row r="91">
      <c r="A91" s="1"/>
      <c r="B91" s="61" t="s">
        <v>82</v>
      </c>
      <c r="C91" s="55">
        <f>IF(Inputs!C313*C90&gt;0,C90/Inputs!C313-1,"n/m")</f>
        <v>0.12504949478654903</v>
      </c>
      <c r="D91" s="55">
        <f>IF(Inputs!D313*D90&gt;0,D90/Inputs!D313-1,"n/m")</f>
        <v>0.3205440507717807</v>
      </c>
      <c r="E91" s="55">
        <f>IF(Inputs!E313*E90&gt;0,E90/Inputs!E313-1,"n/m")</f>
        <v>0.11941987313396107</v>
      </c>
      <c r="F91" s="55">
        <f>IF(Inputs!F313*F90&gt;0,F90/Inputs!F313-1,"n/m")</f>
        <v>0.1216946021487908</v>
      </c>
      <c r="G91" s="55">
        <f>IF(Inputs!G313*G90&gt;0,G90/Inputs!G313-1,"n/m")</f>
        <v>0.1338434718984971</v>
      </c>
      <c r="H91" s="56">
        <f>IF(C90*H90&gt;0,H90/C90-1,"n/m")</f>
        <v>0.0610563637311643</v>
      </c>
      <c r="I91" s="1"/>
    </row>
    <row r="92">
      <c r="A92" s="1"/>
      <c r="B92" s="43" t="s">
        <v>118</v>
      </c>
      <c r="C92" s="15">
        <f>C90-Inputs!G313</f>
        <v>22.762999999999977</v>
      </c>
      <c r="D92" s="4">
        <f>D90-C90</f>
        <v>64.19800000000004</v>
      </c>
      <c r="E92" s="4"/>
      <c r="F92" s="4">
        <f>F90-D90</f>
        <v>-74.957</v>
      </c>
      <c r="G92" s="4">
        <f>G90-F90</f>
        <v>36.28899999999999</v>
      </c>
      <c r="H92" s="33">
        <f>H90-G90</f>
        <v>-2.1100000000000136</v>
      </c>
      <c r="I92" s="1"/>
    </row>
    <row r="93">
      <c r="A93" s="1"/>
      <c r="B93" s="31" t="s">
        <v>328</v>
      </c>
      <c r="C93" s="26">
        <v>126.288</v>
      </c>
      <c r="D93" s="26">
        <v>128.089</v>
      </c>
      <c r="E93" s="15">
        <f>Inputs!F314+Inputs!G314+C93+D93</f>
        <v>508.314</v>
      </c>
      <c r="F93" s="26">
        <v>137.053</v>
      </c>
      <c r="G93" s="26">
        <v>145.023</v>
      </c>
      <c r="H93" s="60">
        <v>146</v>
      </c>
      <c r="I93" s="8" t="s">
        <v>329</v>
      </c>
    </row>
    <row r="94">
      <c r="A94" s="1"/>
      <c r="B94" s="61" t="s">
        <v>82</v>
      </c>
      <c r="C94" s="55">
        <f>IF(Inputs!C314*C93&gt;0,C93/Inputs!C314-1,"n/m")</f>
        <v>0.1342859965689751</v>
      </c>
      <c r="D94" s="55">
        <f>IF(Inputs!D314*D93&gt;0,D93/Inputs!D314-1,"n/m")</f>
        <v>0.10868850188692303</v>
      </c>
      <c r="E94" s="55">
        <f>IF(Inputs!E314*E93&gt;0,E93/Inputs!E314-1,"n/m")</f>
        <v>0.145656407205063</v>
      </c>
      <c r="F94" s="55">
        <f>IF(Inputs!F314*F93&gt;0,F93/Inputs!F314-1,"n/m")</f>
        <v>0.16033526647758545</v>
      </c>
      <c r="G94" s="55">
        <f>IF(Inputs!G314*G93&gt;0,G93/Inputs!G314-1,"n/m")</f>
        <v>0.06774307549586944</v>
      </c>
      <c r="H94" s="56">
        <f>IF(C93*H93&gt;0,H93/C93-1,"n/m")</f>
        <v>0.15608767262131007</v>
      </c>
      <c r="I94" s="1"/>
    </row>
    <row r="95">
      <c r="A95" s="1"/>
      <c r="B95" s="43" t="s">
        <v>118</v>
      </c>
      <c r="C95" s="15">
        <f>C93-Inputs!G314</f>
        <v>-9.534000000000006</v>
      </c>
      <c r="D95" s="4">
        <f>D93-C93</f>
        <v>1.801000000000002</v>
      </c>
      <c r="E95" s="4"/>
      <c r="F95" s="4">
        <f>F93-D93</f>
        <v>8.963999999999999</v>
      </c>
      <c r="G95" s="4">
        <f>G93-F93</f>
        <v>7.969999999999999</v>
      </c>
      <c r="H95" s="33">
        <f>H93-G93</f>
        <v>0.9770000000000039</v>
      </c>
      <c r="I95" s="1"/>
    </row>
    <row r="96">
      <c r="A96" s="1"/>
      <c r="B96" s="31" t="s">
        <v>330</v>
      </c>
      <c r="C96" s="26">
        <v>10.06</v>
      </c>
      <c r="D96" s="26">
        <v>12.618</v>
      </c>
      <c r="E96" s="15">
        <f>Inputs!F315+Inputs!G315+C96+D96</f>
        <v>49.216</v>
      </c>
      <c r="F96" s="26">
        <v>8.004</v>
      </c>
      <c r="G96" s="26">
        <v>7.344</v>
      </c>
      <c r="H96" s="60">
        <v>8</v>
      </c>
      <c r="I96" s="8" t="s">
        <v>155</v>
      </c>
    </row>
    <row r="97">
      <c r="A97" s="1"/>
      <c r="B97" s="61" t="s">
        <v>82</v>
      </c>
      <c r="C97" s="55">
        <f>IF(Inputs!C315*C96&gt;0,C96/Inputs!C315-1,"n/m")</f>
        <v>1.8991354466858787</v>
      </c>
      <c r="D97" s="55">
        <f>IF(Inputs!D315*D96&gt;0,D96/Inputs!D315-1,"n/m")</f>
        <v>1.0041296060991107</v>
      </c>
      <c r="E97" s="55">
        <f>IF(Inputs!E315*E96&gt;0,E96/Inputs!E315-1,"n/m")</f>
        <v>1.501321406789998</v>
      </c>
      <c r="F97" s="55">
        <f>IF(Inputs!F315*F96&gt;0,F96/Inputs!F315-1,"n/m")</f>
        <v>-0.3387309980171844</v>
      </c>
      <c r="G97" s="55">
        <f>IF(Inputs!G315*G96&gt;0,G96/Inputs!G315-1,"n/m")</f>
        <v>-0.4912013301926007</v>
      </c>
      <c r="H97" s="56">
        <f>IF(C96*H96&gt;0,H96/C96-1,"n/m")</f>
        <v>-0.20477137176938376</v>
      </c>
      <c r="I97" s="1"/>
    </row>
    <row r="98">
      <c r="A98" s="1"/>
      <c r="B98" s="43" t="s">
        <v>118</v>
      </c>
      <c r="C98" s="15">
        <f>C96-Inputs!G315</f>
        <v>-4.373999999999999</v>
      </c>
      <c r="D98" s="4">
        <f>D96-C96</f>
        <v>2.558</v>
      </c>
      <c r="E98" s="4"/>
      <c r="F98" s="4">
        <f>F96-D96</f>
        <v>-4.614000000000001</v>
      </c>
      <c r="G98" s="4">
        <f>G96-F96</f>
        <v>-0.6599999999999993</v>
      </c>
      <c r="H98" s="33">
        <f>H96-G96</f>
        <v>0.6559999999999997</v>
      </c>
      <c r="I98" s="1"/>
    </row>
    <row r="99">
      <c r="A99" s="1"/>
      <c r="B99" s="54" t="s">
        <v>331</v>
      </c>
      <c r="C99" s="32">
        <f>C86+C90+C93+C96</f>
        <v>1750.687</v>
      </c>
      <c r="D99" s="32">
        <f>D86+D90+D93+D96</f>
        <v>2124.885</v>
      </c>
      <c r="E99" s="32">
        <f>E86+E90+E93+E96</f>
        <v>7702.606999999999</v>
      </c>
      <c r="F99" s="32">
        <f>F86+F90+F93+F96</f>
        <v>2262.2929999999997</v>
      </c>
      <c r="G99" s="32">
        <f>G86+G90+G93+G96</f>
        <v>2375.612</v>
      </c>
      <c r="H99" s="44">
        <f>H86+H90+H93+H96</f>
        <v>1885.1267455180293</v>
      </c>
      <c r="I99" s="1"/>
    </row>
    <row r="100">
      <c r="A100" s="1"/>
      <c r="B100" s="61" t="s">
        <v>82</v>
      </c>
      <c r="C100" s="55">
        <f>IF(Inputs!C316*C99&gt;0,C99/Inputs!C316-1,"n/m")</f>
        <v>-0.07668862758003825</v>
      </c>
      <c r="D100" s="55">
        <f>IF(Inputs!D316*D99&gt;0,D99/Inputs!D316-1,"n/m")</f>
        <v>0.4164795145978615</v>
      </c>
      <c r="E100" s="55">
        <f>IF(Inputs!E316*E99&gt;0,E99/Inputs!E316-1,"n/m")</f>
        <v>0.1295261437860573</v>
      </c>
      <c r="F100" s="55">
        <f>IF(Inputs!F316*F99&gt;0,F99/Inputs!F316-1,"n/m")</f>
        <v>0.19418010253205154</v>
      </c>
      <c r="G100" s="55">
        <f>IF(Inputs!G316*G99&gt;0,G99/Inputs!G316-1,"n/m")</f>
        <v>0.22922917950556831</v>
      </c>
      <c r="H100" s="56">
        <f>IF(C99*H99&gt;0,H99/C99-1,"n/m")</f>
        <v>0.0767925651575807</v>
      </c>
      <c r="I100" s="1"/>
    </row>
    <row r="101">
      <c r="A101" s="1"/>
      <c r="B101" s="61" t="s">
        <v>83</v>
      </c>
      <c r="C101" s="55">
        <f>IF(Inputs!G316*C99&gt;0,C99/Inputs!G316-1,"n/m")</f>
        <v>-0.09413004119314738</v>
      </c>
      <c r="D101" s="58">
        <f>IF(C99*D99&gt;0,D99/C99-1,"n/m")</f>
        <v>0.2137435189728376</v>
      </c>
      <c r="E101" s="58"/>
      <c r="F101" s="58">
        <f>IF(D99*F99&gt;0,F99/D99-1,"n/m")</f>
        <v>0.06466608781181082</v>
      </c>
      <c r="G101" s="58">
        <f>IF(F99*G99&gt;0,G99/F99-1,"n/m")</f>
        <v>0.050090328706317244</v>
      </c>
      <c r="H101" s="56">
        <f>IF(G99*H99&gt;0,H99/G99-1,"n/m")</f>
        <v>-0.206466903889175</v>
      </c>
      <c r="I101" s="1"/>
    </row>
    <row r="102">
      <c r="A102" s="1"/>
      <c r="B102" s="43" t="s">
        <v>118</v>
      </c>
      <c r="C102" s="15">
        <f>C99-Inputs!G316</f>
        <v>-181.91600000000017</v>
      </c>
      <c r="D102" s="4">
        <f>D99-C99</f>
        <v>374.1980000000003</v>
      </c>
      <c r="E102" s="4"/>
      <c r="F102" s="4">
        <f>F99-D99</f>
        <v>137.40799999999945</v>
      </c>
      <c r="G102" s="4">
        <f>G99-F99</f>
        <v>113.31900000000041</v>
      </c>
      <c r="H102" s="33">
        <f>H99-G99</f>
        <v>-490.48525448197074</v>
      </c>
      <c r="I102" s="1"/>
    </row>
    <row r="103">
      <c r="A103" s="1"/>
      <c r="B103" s="85" t="s">
        <v>332</v>
      </c>
      <c r="C103" s="4"/>
      <c r="D103" s="4"/>
      <c r="E103" s="4"/>
      <c r="F103" s="4"/>
      <c r="G103" s="4"/>
      <c r="H103" s="33"/>
      <c r="I103" s="1"/>
    </row>
    <row r="104">
      <c r="A104" s="1"/>
      <c r="B104" s="31" t="s">
        <v>333</v>
      </c>
      <c r="C104" s="26">
        <v>0</v>
      </c>
      <c r="D104" s="26">
        <v>6.591</v>
      </c>
      <c r="E104" s="15">
        <f>Inputs!F317+Inputs!G317+C104+D104</f>
        <v>6.591</v>
      </c>
      <c r="F104" s="26">
        <v>0</v>
      </c>
      <c r="G104" s="26">
        <v>0</v>
      </c>
      <c r="H104" s="60">
        <v>0</v>
      </c>
      <c r="I104" s="1"/>
    </row>
    <row r="105">
      <c r="A105" s="1"/>
      <c r="B105" s="31" t="s">
        <v>334</v>
      </c>
      <c r="C105" s="26">
        <v>108.634</v>
      </c>
      <c r="D105" s="26">
        <v>114.858</v>
      </c>
      <c r="E105" s="15">
        <f>Inputs!F318+Inputs!G318+C105+D105</f>
        <v>417.39700000000005</v>
      </c>
      <c r="F105" s="26">
        <v>99.755</v>
      </c>
      <c r="G105" s="26">
        <v>140.086</v>
      </c>
      <c r="H105" s="60">
        <v>110</v>
      </c>
      <c r="I105" s="8" t="s">
        <v>155</v>
      </c>
    </row>
    <row r="106">
      <c r="A106" s="1"/>
      <c r="B106" s="61" t="s">
        <v>82</v>
      </c>
      <c r="C106" s="55">
        <f>IF(Inputs!C318*C105&gt;0,C105/Inputs!C318-1,"n/m")</f>
        <v>1.53568927687783</v>
      </c>
      <c r="D106" s="55">
        <f>IF(Inputs!D318*D105&gt;0,D105/Inputs!D318-1,"n/m")</f>
        <v>4.7214445828144465</v>
      </c>
      <c r="E106" s="55">
        <f>IF(Inputs!E318*E105&gt;0,E105/Inputs!E318-1,"n/m")</f>
        <v>3.6334199191865375</v>
      </c>
      <c r="F106" s="55">
        <f>IF(Inputs!F318*F105&gt;0,F105/Inputs!F318-1,"n/m")</f>
        <v>0.7326096396005208</v>
      </c>
      <c r="G106" s="55">
        <f>IF(Inputs!G318*G105&gt;0,G105/Inputs!G318-1,"n/m")</f>
        <v>0.027550795862979482</v>
      </c>
      <c r="H106" s="56">
        <f>IF(C105*H105&gt;0,H105/C105-1,"n/m")</f>
        <v>0.01257433216120174</v>
      </c>
      <c r="I106" s="1"/>
    </row>
    <row r="107">
      <c r="A107" s="1"/>
      <c r="B107" s="43" t="s">
        <v>118</v>
      </c>
      <c r="C107" s="15">
        <f>C105-Inputs!G318</f>
        <v>-27.696000000000012</v>
      </c>
      <c r="D107" s="4">
        <f>D105-C105</f>
        <v>6.224000000000004</v>
      </c>
      <c r="E107" s="4"/>
      <c r="F107" s="4">
        <f>F105-D105</f>
        <v>-15.103000000000009</v>
      </c>
      <c r="G107" s="4">
        <f>G105-F105</f>
        <v>40.33100000000002</v>
      </c>
      <c r="H107" s="33">
        <f>H105-G105</f>
        <v>-30.086000000000013</v>
      </c>
      <c r="I107" s="1"/>
    </row>
    <row r="108">
      <c r="A108" s="1"/>
      <c r="B108" s="54" t="s">
        <v>335</v>
      </c>
      <c r="C108" s="32">
        <f>C104+C105</f>
        <v>108.634</v>
      </c>
      <c r="D108" s="32">
        <f>D104+D105</f>
        <v>121.449</v>
      </c>
      <c r="E108" s="32">
        <f>E104+E105</f>
        <v>423.98800000000006</v>
      </c>
      <c r="F108" s="32">
        <f>F104+F105</f>
        <v>99.755</v>
      </c>
      <c r="G108" s="32">
        <f>G104+G105</f>
        <v>140.086</v>
      </c>
      <c r="H108" s="44">
        <f>H104+H105</f>
        <v>110</v>
      </c>
      <c r="I108" s="1"/>
    </row>
    <row r="109">
      <c r="A109" s="1"/>
      <c r="B109" s="54" t="s">
        <v>336</v>
      </c>
      <c r="C109" s="32">
        <f>C66-C99+C108</f>
        <v>1446.5820000000008</v>
      </c>
      <c r="D109" s="32">
        <f>D66-D99+D108</f>
        <v>2356.836</v>
      </c>
      <c r="E109" s="32">
        <f>E66-E99+E108</f>
        <v>7171.6460000000025</v>
      </c>
      <c r="F109" s="32">
        <f>F66-F99+F108</f>
        <v>1455.0570000000002</v>
      </c>
      <c r="G109" s="32">
        <f>G66-G99+G108</f>
        <v>2808.452</v>
      </c>
      <c r="H109" s="44">
        <f>H66-H99+H108</f>
        <v>1764.404464773472</v>
      </c>
      <c r="I109" s="1"/>
    </row>
    <row r="110">
      <c r="A110" s="1"/>
      <c r="B110" s="61" t="s">
        <v>82</v>
      </c>
      <c r="C110" s="55">
        <f>IF(Inputs!C319*C109&gt;0,C109/Inputs!C319-1,"n/m")</f>
        <v>-0.20075693116898863</v>
      </c>
      <c r="D110" s="55">
        <f>IF(Inputs!D319*D109&gt;0,D109/Inputs!D319-1,"n/m")</f>
        <v>0.509556600142063</v>
      </c>
      <c r="E110" s="55">
        <f>IF(Inputs!E319*E109&gt;0,E109/Inputs!E319-1,"n/m")</f>
        <v>0.11025128957748964</v>
      </c>
      <c r="F110" s="55">
        <f>IF(Inputs!F319*F109&gt;0,F109/Inputs!F319-1,"n/m")</f>
        <v>0.0016907602294091717</v>
      </c>
      <c r="G110" s="55">
        <f>IF(Inputs!G319*G109&gt;0,G109/Inputs!G319-1,"n/m")</f>
        <v>0.46607455417991095</v>
      </c>
      <c r="H110" s="56">
        <f>IF(C109*H109&gt;0,H109/C109-1,"n/m")</f>
        <v>0.21970580635834747</v>
      </c>
      <c r="I110" s="1"/>
    </row>
    <row r="111">
      <c r="A111" s="1"/>
      <c r="B111" s="61" t="s">
        <v>83</v>
      </c>
      <c r="C111" s="55">
        <f>IF(Inputs!G319*C109&gt;0,C109/Inputs!G319-1,"n/m")</f>
        <v>-0.2448519466472331</v>
      </c>
      <c r="D111" s="58">
        <f>IF(C109*D109&gt;0,D109/C109-1,"n/m")</f>
        <v>0.6292446608626394</v>
      </c>
      <c r="E111" s="58"/>
      <c r="F111" s="58">
        <f>IF(D109*F109&gt;0,F109/D109-1,"n/m")</f>
        <v>-0.3826227196122257</v>
      </c>
      <c r="G111" s="58">
        <f>IF(F109*G109&gt;0,G109/F109-1,"n/m")</f>
        <v>0.9301319467209874</v>
      </c>
      <c r="H111" s="56">
        <f>IF(G109*H109&gt;0,H109/G109-1,"n/m")</f>
        <v>-0.37175195987915344</v>
      </c>
      <c r="I111" s="1"/>
    </row>
    <row r="112">
      <c r="A112" s="1"/>
      <c r="B112" s="43" t="s">
        <v>118</v>
      </c>
      <c r="C112" s="15">
        <f>C109-Inputs!G319</f>
        <v>-469.04499999999916</v>
      </c>
      <c r="D112" s="4">
        <f>D109-C109</f>
        <v>910.253999999999</v>
      </c>
      <c r="E112" s="4"/>
      <c r="F112" s="4">
        <f>F109-D109</f>
        <v>-901.7789999999995</v>
      </c>
      <c r="G112" s="4">
        <f>G109-F109</f>
        <v>1353.395</v>
      </c>
      <c r="H112" s="33">
        <f>H109-G109</f>
        <v>-1044.0475352265282</v>
      </c>
      <c r="I112" s="1"/>
    </row>
    <row r="113">
      <c r="A113" s="1"/>
      <c r="B113" s="31" t="s">
        <v>337</v>
      </c>
      <c r="C113" s="26">
        <v>209.657</v>
      </c>
      <c r="D113" s="26">
        <v>382.045</v>
      </c>
      <c r="E113" s="15">
        <f>Inputs!F320+Inputs!G320+C113+D113</f>
        <v>1125.0230000000001</v>
      </c>
      <c r="F113" s="26">
        <v>197.15</v>
      </c>
      <c r="G113" s="26">
        <v>452.386</v>
      </c>
      <c r="H113" s="33">
        <f>H136*H109</f>
        <v>264.6606697160208</v>
      </c>
      <c r="I113" s="1"/>
    </row>
    <row r="114">
      <c r="A114" s="1"/>
      <c r="B114" s="61" t="s">
        <v>82</v>
      </c>
      <c r="C114" s="55">
        <f>IF(Inputs!C320*C113&gt;0,C113/Inputs!C320-1,"n/m")</f>
        <v>-0.1453141624847637</v>
      </c>
      <c r="D114" s="55">
        <f>IF(Inputs!D320*D113&gt;0,D113/Inputs!D320-1,"n/m")</f>
        <v>0.6435506838000269</v>
      </c>
      <c r="E114" s="55">
        <f>IF(Inputs!E320*E113&gt;0,E113/Inputs!E320-1,"n/m")</f>
        <v>0.10115976669593252</v>
      </c>
      <c r="F114" s="55">
        <f>IF(Inputs!F320*F113&gt;0,F113/Inputs!F320-1,"n/m")</f>
        <v>-0.19143491081791597</v>
      </c>
      <c r="G114" s="55">
        <f>IF(Inputs!G320*G113&gt;0,G113/Inputs!G320-1,"n/m")</f>
        <v>0.56267832839368</v>
      </c>
      <c r="H114" s="56">
        <f>IF(C113*H113&gt;0,H113/C113-1,"n/m")</f>
        <v>0.26235074295645155</v>
      </c>
      <c r="I114" s="1"/>
    </row>
    <row r="115">
      <c r="A115" s="1"/>
      <c r="B115" s="43" t="s">
        <v>118</v>
      </c>
      <c r="C115" s="15">
        <f>C113-Inputs!G320</f>
        <v>-79.83700000000002</v>
      </c>
      <c r="D115" s="4">
        <f>D113-C113</f>
        <v>172.388</v>
      </c>
      <c r="E115" s="4"/>
      <c r="F115" s="4">
        <f>F113-D113</f>
        <v>-184.895</v>
      </c>
      <c r="G115" s="4">
        <f>G113-F113</f>
        <v>255.23600000000002</v>
      </c>
      <c r="H115" s="33">
        <f>H113-G113</f>
        <v>-187.72533028397925</v>
      </c>
      <c r="I115" s="1"/>
    </row>
    <row r="116">
      <c r="A116" s="1"/>
      <c r="B116" s="54" t="s">
        <v>338</v>
      </c>
      <c r="C116" s="32">
        <f>C109-C113</f>
        <v>1236.9250000000009</v>
      </c>
      <c r="D116" s="32">
        <f>D109-D113</f>
        <v>1974.7909999999997</v>
      </c>
      <c r="E116" s="32">
        <f>E109-E113</f>
        <v>6046.623000000002</v>
      </c>
      <c r="F116" s="32">
        <f>F109-F113</f>
        <v>1257.9070000000002</v>
      </c>
      <c r="G116" s="32">
        <f>G109-G113</f>
        <v>2356.0660000000003</v>
      </c>
      <c r="H116" s="44">
        <f>H109-H113</f>
        <v>1499.7437950574513</v>
      </c>
      <c r="I116" s="1"/>
    </row>
    <row r="117">
      <c r="A117" s="1"/>
      <c r="B117" s="61" t="s">
        <v>82</v>
      </c>
      <c r="C117" s="55">
        <f>IF(Inputs!C321*C116&gt;0,C116/Inputs!C321-1,"n/m")</f>
        <v>-0.2094492204901195</v>
      </c>
      <c r="D117" s="55">
        <f>IF(Inputs!D321*D116&gt;0,D116/Inputs!D321-1,"n/m")</f>
        <v>0.4861170687509122</v>
      </c>
      <c r="E117" s="55">
        <f>IF(Inputs!E321*E116&gt;0,E116/Inputs!E321-1,"n/m")</f>
        <v>0.11195943071924774</v>
      </c>
      <c r="F117" s="55">
        <f>IF(Inputs!F321*F116&gt;0,F116/Inputs!F321-1,"n/m")</f>
        <v>0.04064696957413072</v>
      </c>
      <c r="G117" s="55">
        <f>IF(Inputs!G321*G116&gt;0,G116/Inputs!G321-1,"n/m")</f>
        <v>0.4488765679068072</v>
      </c>
      <c r="H117" s="56">
        <f>IF(C116*H116&gt;0,H116/C116-1,"n/m")</f>
        <v>0.2124775512318453</v>
      </c>
      <c r="I117" s="1"/>
    </row>
    <row r="118">
      <c r="A118" s="1"/>
      <c r="B118" s="61" t="s">
        <v>83</v>
      </c>
      <c r="C118" s="55">
        <f>IF(Inputs!G321*C116&gt;0,C116/Inputs!G321-1,"n/m")</f>
        <v>-0.23934573617287092</v>
      </c>
      <c r="D118" s="58">
        <f>IF(C116*D116&gt;0,D116/C116-1,"n/m")</f>
        <v>0.5965325302665871</v>
      </c>
      <c r="E118" s="58"/>
      <c r="F118" s="58">
        <f>IF(D116*F116&gt;0,F116/D116-1,"n/m")</f>
        <v>-0.36301765604562697</v>
      </c>
      <c r="G118" s="58">
        <f>IF(F116*G116&gt;0,G116/F116-1,"n/m")</f>
        <v>0.8730049200775574</v>
      </c>
      <c r="H118" s="56">
        <f>IF(G116*H116&gt;0,H116/G116-1,"n/m")</f>
        <v>-0.3634542516816375</v>
      </c>
      <c r="I118" s="1"/>
    </row>
    <row r="119">
      <c r="A119" s="1"/>
      <c r="B119" s="43" t="s">
        <v>118</v>
      </c>
      <c r="C119" s="15">
        <f>C116-Inputs!G321</f>
        <v>-389.2079999999992</v>
      </c>
      <c r="D119" s="4">
        <f>D116-C116</f>
        <v>737.8659999999988</v>
      </c>
      <c r="E119" s="4"/>
      <c r="F119" s="4">
        <f>F116-D116</f>
        <v>-716.8839999999996</v>
      </c>
      <c r="G119" s="4">
        <f>G116-F116</f>
        <v>1098.159</v>
      </c>
      <c r="H119" s="33">
        <f>H116-G116</f>
        <v>-856.322204942549</v>
      </c>
      <c r="I119" s="1"/>
    </row>
    <row r="120">
      <c r="A120" s="1"/>
      <c r="B120" s="31" t="s">
        <v>339</v>
      </c>
      <c r="C120" s="26">
        <v>29.008</v>
      </c>
      <c r="D120" s="26">
        <v>-9.617</v>
      </c>
      <c r="E120" s="15">
        <f>Inputs!F322+Inputs!G322+C120+D120</f>
        <v>45.5</v>
      </c>
      <c r="F120" s="26">
        <v>21.01</v>
      </c>
      <c r="G120" s="26">
        <v>5.154</v>
      </c>
      <c r="H120" s="60">
        <v>10</v>
      </c>
      <c r="I120" s="8" t="s">
        <v>155</v>
      </c>
    </row>
    <row r="121">
      <c r="A121" s="1"/>
      <c r="B121" s="31" t="s">
        <v>340</v>
      </c>
      <c r="C121" s="26">
        <v>125.89</v>
      </c>
      <c r="D121" s="26">
        <v>193.295</v>
      </c>
      <c r="E121" s="15">
        <f>Inputs!F323+Inputs!G323+C121+D121</f>
        <v>660.568</v>
      </c>
      <c r="F121" s="26">
        <v>117.367</v>
      </c>
      <c r="G121" s="26">
        <v>175.649</v>
      </c>
      <c r="H121" s="60">
        <v>140</v>
      </c>
      <c r="I121" s="8" t="s">
        <v>155</v>
      </c>
    </row>
    <row r="122">
      <c r="A122" s="1"/>
      <c r="B122" s="31" t="s">
        <v>341</v>
      </c>
      <c r="C122" s="26">
        <v>457.11</v>
      </c>
      <c r="D122" s="26">
        <v>775.912</v>
      </c>
      <c r="E122" s="15">
        <f>Inputs!F324+Inputs!G324+C122+D122</f>
        <v>2321.3410000000003</v>
      </c>
      <c r="F122" s="26">
        <v>469.801</v>
      </c>
      <c r="G122" s="26">
        <v>946.074</v>
      </c>
      <c r="H122" s="33">
        <f>H176*(H116-H120-H121)</f>
        <v>573.6411128994167</v>
      </c>
      <c r="I122" s="1"/>
    </row>
    <row r="123">
      <c r="A123" s="1"/>
      <c r="B123" s="54" t="s">
        <v>342</v>
      </c>
      <c r="C123" s="32">
        <f>C116-C120-C121-C122</f>
        <v>624.9170000000007</v>
      </c>
      <c r="D123" s="32">
        <f>D116-D120-D121-D122</f>
        <v>1015.2009999999996</v>
      </c>
      <c r="E123" s="32">
        <f>E116-E120-E121-E122</f>
        <v>3019.2140000000018</v>
      </c>
      <c r="F123" s="32">
        <f>F116-F120-F121-F122</f>
        <v>649.7290000000003</v>
      </c>
      <c r="G123" s="32">
        <f>G116-G120-G121-G122</f>
        <v>1229.1890000000003</v>
      </c>
      <c r="H123" s="44">
        <f>H116-H120-H121-H122</f>
        <v>776.1026821580346</v>
      </c>
      <c r="I123" s="1"/>
    </row>
    <row r="124">
      <c r="A124" s="1"/>
      <c r="B124" s="61" t="s">
        <v>82</v>
      </c>
      <c r="C124" s="55">
        <f>IF(Inputs!C325*C123&gt;0,C123/Inputs!C325-1,"n/m")</f>
        <v>-0.19968111060595306</v>
      </c>
      <c r="D124" s="55">
        <f>IF(Inputs!D325*D123&gt;0,D123/Inputs!D325-1,"n/m")</f>
        <v>0.4423070639163591</v>
      </c>
      <c r="E124" s="55">
        <f>IF(Inputs!E325*E123&gt;0,E123/Inputs!E325-1,"n/m")</f>
        <v>0.08741411874195992</v>
      </c>
      <c r="F124" s="55">
        <f>IF(Inputs!F325*F123&gt;0,F123/Inputs!F325-1,"n/m")</f>
        <v>0.056724219812247956</v>
      </c>
      <c r="G124" s="55">
        <f>IF(Inputs!G325*G123&gt;0,G123/Inputs!G325-1,"n/m")</f>
        <v>0.6083724569640065</v>
      </c>
      <c r="H124" s="56">
        <f>IF(C123*H123&gt;0,H123/C123-1,"n/m")</f>
        <v>0.2419292196532239</v>
      </c>
      <c r="I124" s="1"/>
    </row>
    <row r="125">
      <c r="A125" s="1"/>
      <c r="B125" s="61" t="s">
        <v>83</v>
      </c>
      <c r="C125" s="55">
        <f>IF(Inputs!G325*C123&gt;0,C123/Inputs!G325-1,"n/m")</f>
        <v>-0.18230695955741794</v>
      </c>
      <c r="D125" s="58">
        <f>IF(C123*D123&gt;0,D123/C123-1,"n/m")</f>
        <v>0.624537338558558</v>
      </c>
      <c r="E125" s="58"/>
      <c r="F125" s="58">
        <f>IF(D123*F123&gt;0,F123/D123-1,"n/m")</f>
        <v>-0.35999964539041973</v>
      </c>
      <c r="G125" s="58">
        <f>IF(F123*G123&gt;0,G123/F123-1,"n/m")</f>
        <v>0.8918487554041759</v>
      </c>
      <c r="H125" s="56">
        <f>IF(G123*H123&gt;0,H123/G123-1,"n/m")</f>
        <v>-0.3686059001845653</v>
      </c>
      <c r="I125" s="1"/>
    </row>
    <row r="126">
      <c r="A126" s="1"/>
      <c r="B126" s="43" t="s">
        <v>118</v>
      </c>
      <c r="C126" s="15">
        <f>C123-Inputs!G325</f>
        <v>-139.32699999999932</v>
      </c>
      <c r="D126" s="4">
        <f>D123-C123</f>
        <v>390.28399999999885</v>
      </c>
      <c r="E126" s="4"/>
      <c r="F126" s="4">
        <f>F123-D123</f>
        <v>-365.4719999999993</v>
      </c>
      <c r="G126" s="4">
        <f>G123-F123</f>
        <v>579.46</v>
      </c>
      <c r="H126" s="33">
        <f>H123-G123</f>
        <v>-453.08631784196575</v>
      </c>
      <c r="I126" s="1"/>
    </row>
    <row r="127">
      <c r="A127" s="1"/>
      <c r="B127" s="43" t="s">
        <v>343</v>
      </c>
      <c r="C127" s="26">
        <v>624.917</v>
      </c>
      <c r="D127" s="26">
        <v>1015.201</v>
      </c>
      <c r="E127" s="26">
        <v>3019.214</v>
      </c>
      <c r="F127" s="26">
        <v>649.729</v>
      </c>
      <c r="G127" s="26">
        <v>1229.189</v>
      </c>
      <c r="H127" s="33"/>
      <c r="I127" s="1"/>
    </row>
    <row r="128">
      <c r="A128" s="1"/>
      <c r="B128" s="43" t="s">
        <v>344</v>
      </c>
      <c r="C128" s="4">
        <f>ROUND(C123-C127,3)</f>
        <v>0</v>
      </c>
      <c r="D128" s="4">
        <f>ROUND(D123-D127,3)</f>
        <v>0</v>
      </c>
      <c r="E128" s="4">
        <f>ROUND(E123-E127,3)</f>
        <v>0</v>
      </c>
      <c r="F128" s="4">
        <f>ROUND(F123-F127,3)</f>
        <v>0</v>
      </c>
      <c r="G128" s="4">
        <f>ROUND(G123-G127,3)</f>
        <v>0</v>
      </c>
      <c r="H128" s="33"/>
      <c r="I128" s="1"/>
    </row>
    <row r="129">
      <c r="A129" s="1"/>
      <c r="B129" s="43" t="s">
        <v>345</v>
      </c>
      <c r="C129" s="26">
        <v>3088.635</v>
      </c>
      <c r="D129" s="26">
        <v>4360.272</v>
      </c>
      <c r="E129" s="26">
        <v>14450.265</v>
      </c>
      <c r="F129" s="26">
        <v>3617.595</v>
      </c>
      <c r="G129" s="26">
        <v>5043.978</v>
      </c>
      <c r="H129" s="33"/>
      <c r="I129" s="1"/>
    </row>
    <row r="130">
      <c r="A130" s="1"/>
      <c r="B130" s="43" t="s">
        <v>344</v>
      </c>
      <c r="C130" s="4">
        <f>ROUND(C66-C129,3)</f>
        <v>0</v>
      </c>
      <c r="D130" s="4">
        <f>ROUND(D66-D129,3)</f>
        <v>0</v>
      </c>
      <c r="E130" s="4">
        <f>ROUND(E66-E129,3)</f>
        <v>0</v>
      </c>
      <c r="F130" s="4">
        <f>ROUND(F66-F129,3)</f>
        <v>0</v>
      </c>
      <c r="G130" s="4">
        <f>ROUND(G66-G129,3)</f>
        <v>0</v>
      </c>
      <c r="H130" s="33"/>
      <c r="I130" s="1"/>
    </row>
    <row r="131">
      <c r="A131" s="1"/>
      <c r="B131" s="1"/>
      <c r="C131" s="3"/>
      <c r="D131" s="3"/>
      <c r="E131" s="3"/>
      <c r="F131" s="3"/>
      <c r="G131" s="3"/>
      <c r="H131" s="37"/>
      <c r="I131" s="1"/>
    </row>
    <row r="132">
      <c r="A132" s="1"/>
      <c r="B132" s="2" t="s">
        <v>346</v>
      </c>
      <c r="C132" s="4"/>
      <c r="D132" s="4"/>
      <c r="E132" s="4"/>
      <c r="F132" s="4"/>
      <c r="G132" s="4"/>
      <c r="H132" s="33"/>
      <c r="I132" s="1"/>
    </row>
    <row r="133">
      <c r="A133" s="1"/>
      <c r="B133" s="40" t="s">
        <v>347</v>
      </c>
      <c r="C133" s="58">
        <f>C109/C66</f>
        <v>0.4683564098703798</v>
      </c>
      <c r="D133" s="58">
        <f>D109/D66</f>
        <v>0.5405249947709684</v>
      </c>
      <c r="E133" s="58">
        <f>E109/E66</f>
        <v>0.4962985799914397</v>
      </c>
      <c r="F133" s="58">
        <f>F109/F66</f>
        <v>0.4022166660447066</v>
      </c>
      <c r="G133" s="58">
        <f>G109/G66</f>
        <v>0.556793070865892</v>
      </c>
      <c r="H133" s="56">
        <f>H109/H66</f>
        <v>0.4984853529877938</v>
      </c>
      <c r="I133" s="1"/>
    </row>
    <row r="134">
      <c r="A134" s="1"/>
      <c r="B134" s="43" t="s">
        <v>121</v>
      </c>
      <c r="C134" s="57">
        <f>IFERROR((C133-(Inputs!G319/Inputs!G307))*10000,"n/m")</f>
        <v>-477.20801261385617</v>
      </c>
      <c r="D134" s="62">
        <f>IFERROR((D133-C133)*10000,"n/m")</f>
        <v>721.6858490058859</v>
      </c>
      <c r="E134" s="62"/>
      <c r="F134" s="62">
        <f>IFERROR((F133-D133)*10000,"n/m")</f>
        <v>-1383.0832872626181</v>
      </c>
      <c r="G134" s="62">
        <f>IFERROR((G133-F133)*10000,"n/m")</f>
        <v>1545.7640482118545</v>
      </c>
      <c r="H134" s="59">
        <f>IFERROR((H133-G133)*10000,"n/m")</f>
        <v>-583.0771787809824</v>
      </c>
      <c r="I134" s="1"/>
    </row>
    <row r="135">
      <c r="A135" s="1"/>
      <c r="B135" s="43" t="s">
        <v>122</v>
      </c>
      <c r="C135" s="57">
        <f>IFERROR((C133-(Inputs!C319/Inputs!C307))*10000,"n/m")</f>
        <v>-257.31536331759673</v>
      </c>
      <c r="D135" s="57">
        <f>IFERROR((D133-(Inputs!D319/Inputs!D307))*10000,"n/m")</f>
        <v>340.38675747687483</v>
      </c>
      <c r="E135" s="57">
        <f>IFERROR((E133-(Inputs!E319/Inputs!E307))*10000,"n/m")</f>
        <v>80.52501089359288</v>
      </c>
      <c r="F135" s="57">
        <f>IFERROR((F133-(Inputs!F319/Inputs!F307))*10000,"n/m")</f>
        <v>-393.7614346980922</v>
      </c>
      <c r="G135" s="57">
        <f>IFERROR((G133-(Inputs!G319/Inputs!G307))*10000,"n/m")</f>
        <v>407.15859734126616</v>
      </c>
      <c r="H135" s="59">
        <f>IFERROR((H133-C133)*10000,"n/m")</f>
        <v>301.28943117413985</v>
      </c>
      <c r="I135" s="1"/>
    </row>
    <row r="136">
      <c r="A136" s="1"/>
      <c r="B136" s="40" t="s">
        <v>348</v>
      </c>
      <c r="C136" s="58">
        <f>C113/C109</f>
        <v>0.1449326757833292</v>
      </c>
      <c r="D136" s="58">
        <f>D113/D109</f>
        <v>0.1621007995465107</v>
      </c>
      <c r="E136" s="58">
        <f>E113/E109</f>
        <v>0.15687096100393128</v>
      </c>
      <c r="F136" s="58">
        <f>F113/F109</f>
        <v>0.1354929738147715</v>
      </c>
      <c r="G136" s="58">
        <f>G113/G109</f>
        <v>0.16108019649258737</v>
      </c>
      <c r="H136" s="71">
        <v>0.15</v>
      </c>
      <c r="I136" s="8" t="s">
        <v>349</v>
      </c>
    </row>
    <row r="137">
      <c r="A137" s="1"/>
      <c r="B137" s="43" t="s">
        <v>121</v>
      </c>
      <c r="C137" s="57">
        <f>IFERROR((C136-(Inputs!G320/Inputs!G319))*10000,"n/m")</f>
        <v>-61.896460465468984</v>
      </c>
      <c r="D137" s="62">
        <f>IFERROR((D136-C136)*10000,"n/m")</f>
        <v>171.68123763181498</v>
      </c>
      <c r="E137" s="62"/>
      <c r="F137" s="62">
        <f>IFERROR((F136-D136)*10000,"n/m")</f>
        <v>-266.078257317392</v>
      </c>
      <c r="G137" s="62">
        <f>IFERROR((G136-F136)*10000,"n/m")</f>
        <v>255.8722267781588</v>
      </c>
      <c r="H137" s="59">
        <f>IFERROR((H136-G136)*10000,"n/m")</f>
        <v>-110.80196492587375</v>
      </c>
      <c r="I137" s="1"/>
    </row>
    <row r="138">
      <c r="A138" s="1"/>
      <c r="B138" s="43" t="s">
        <v>122</v>
      </c>
      <c r="C138" s="57">
        <f>IFERROR((C136-(Inputs!C320/Inputs!C319))*10000,"n/m")</f>
        <v>94.01663705580765</v>
      </c>
      <c r="D138" s="57">
        <f>IFERROR((D136-(Inputs!D320/Inputs!D319))*10000,"n/m")</f>
        <v>132.156241420181</v>
      </c>
      <c r="E138" s="57">
        <f>IFERROR((E136-(Inputs!E320/Inputs!E319))*10000,"n/m")</f>
        <v>-12.951762083520945</v>
      </c>
      <c r="F138" s="57">
        <f>IFERROR((F136-(Inputs!F320/Inputs!F319))*10000,"n/m")</f>
        <v>-323.6247995401978</v>
      </c>
      <c r="G138" s="57">
        <f>IFERROR((G136-(Inputs!G320/Inputs!G319))*10000,"n/m")</f>
        <v>99.5787466271128</v>
      </c>
      <c r="H138" s="59">
        <f>IFERROR((H136-C136)*10000,"n/m")</f>
        <v>50.67324216670804</v>
      </c>
      <c r="I138" s="1"/>
    </row>
    <row r="139">
      <c r="A139" s="1"/>
      <c r="B139" s="40" t="s">
        <v>350</v>
      </c>
      <c r="C139" s="58">
        <f>C123/C66</f>
        <v>0.20232788918081954</v>
      </c>
      <c r="D139" s="58">
        <f>D123/D66</f>
        <v>0.2328297408968981</v>
      </c>
      <c r="E139" s="58">
        <f>E123/E66</f>
        <v>0.2089383135880208</v>
      </c>
      <c r="F139" s="58">
        <f>F123/F66</f>
        <v>0.17960247070222077</v>
      </c>
      <c r="G139" s="58">
        <f>G123/G66</f>
        <v>0.24369436187072988</v>
      </c>
      <c r="H139" s="56">
        <f>H123/H66</f>
        <v>0.21926708257337782</v>
      </c>
      <c r="I139" s="1"/>
    </row>
    <row r="140">
      <c r="A140" s="1"/>
      <c r="B140" s="43" t="s">
        <v>121</v>
      </c>
      <c r="C140" s="57">
        <f>IFERROR((C139-(Inputs!G325/Inputs!G307))*10000,"n/m")</f>
        <v>-35.6235570724317</v>
      </c>
      <c r="D140" s="62">
        <f>IFERROR((D139-C139)*10000,"n/m")</f>
        <v>305.01851716078556</v>
      </c>
      <c r="E140" s="62"/>
      <c r="F140" s="62">
        <f>IFERROR((F139-D139)*10000,"n/m")</f>
        <v>-532.2727019467733</v>
      </c>
      <c r="G140" s="62">
        <f>IFERROR((G139-F139)*10000,"n/m")</f>
        <v>640.9189116850911</v>
      </c>
      <c r="H140" s="59">
        <f>IFERROR((H139-G139)*10000,"n/m")</f>
        <v>-244.27279297352055</v>
      </c>
      <c r="I140" s="1"/>
    </row>
    <row r="141">
      <c r="A141" s="1"/>
      <c r="B141" s="43" t="s">
        <v>122</v>
      </c>
      <c r="C141" s="57">
        <f>IFERROR((C139-(Inputs!C325/Inputs!C307))*10000,"n/m")</f>
        <v>-108.2898976143687</v>
      </c>
      <c r="D141" s="57">
        <f>IFERROR((D139-(Inputs!D325/Inputs!D307))*10000,"n/m")</f>
        <v>44.89705893581025</v>
      </c>
      <c r="E141" s="57">
        <f>IFERROR((E139-(Inputs!E325/Inputs!E307))*10000,"n/m")</f>
        <v>-9.267442866467412</v>
      </c>
      <c r="F141" s="57">
        <f>IFERROR((F139-(Inputs!F325/Inputs!F307))*10000,"n/m")</f>
        <v>-73.13428512786685</v>
      </c>
      <c r="G141" s="57">
        <f>IFERROR((G139-(Inputs!G325/Inputs!G307))*10000,"n/m")</f>
        <v>378.0411698266717</v>
      </c>
      <c r="H141" s="59">
        <f>IFERROR((H139-C139)*10000,"n/m")</f>
        <v>169.39193392558283</v>
      </c>
      <c r="I141" s="1"/>
    </row>
    <row r="142">
      <c r="A142" s="1"/>
      <c r="B142" s="31" t="s">
        <v>351</v>
      </c>
      <c r="C142" s="15">
        <f>'Share Count'!C10</f>
        <v>782.633394</v>
      </c>
      <c r="D142" s="15">
        <f>'Share Count'!D10</f>
        <v>783.106052</v>
      </c>
      <c r="E142" s="15">
        <f>'Share Count'!E10</f>
        <v>780.018738</v>
      </c>
      <c r="F142" s="15">
        <f>'Share Count'!F10</f>
        <v>785.332239</v>
      </c>
      <c r="G142" s="15">
        <f>'Share Count'!G10</f>
        <v>799.882459</v>
      </c>
      <c r="H142" s="36">
        <f>'Share Count'!H10</f>
        <v>800.184579</v>
      </c>
      <c r="I142" s="1"/>
    </row>
    <row r="143">
      <c r="A143" s="1"/>
      <c r="B143" s="31" t="s">
        <v>352</v>
      </c>
      <c r="C143" s="15">
        <f>'Share Count'!C16</f>
        <v>782.6811349999999</v>
      </c>
      <c r="D143" s="15">
        <f>'Share Count'!D16</f>
        <v>783.193449</v>
      </c>
      <c r="E143" s="15">
        <f>'Share Count'!E16</f>
        <v>780.215856</v>
      </c>
      <c r="F143" s="15">
        <f>'Share Count'!F16</f>
        <v>786.29631</v>
      </c>
      <c r="G143" s="15">
        <f>'Share Count'!G16</f>
        <v>799.8974350000001</v>
      </c>
      <c r="H143" s="36">
        <f>'Share Count'!H16</f>
        <v>800.2345789999999</v>
      </c>
      <c r="I143" s="1"/>
    </row>
    <row r="144">
      <c r="A144" s="1"/>
      <c r="B144" s="54" t="s">
        <v>353</v>
      </c>
      <c r="C144" s="80">
        <f>C123/C142</f>
        <v>0.7984798563297706</v>
      </c>
      <c r="D144" s="80">
        <f>D123/D142</f>
        <v>1.2963774158139179</v>
      </c>
      <c r="E144" s="80">
        <f>E123/E142</f>
        <v>3.8706941935028256</v>
      </c>
      <c r="F144" s="80">
        <f>F123/F142</f>
        <v>0.8273301002227165</v>
      </c>
      <c r="G144" s="80">
        <f>G123/G142</f>
        <v>1.5367120333363884</v>
      </c>
      <c r="H144" s="77">
        <f>H123/H142</f>
        <v>0.9699045726773929</v>
      </c>
      <c r="I144" s="1"/>
    </row>
    <row r="145">
      <c r="A145" s="1"/>
      <c r="B145" s="54" t="s">
        <v>354</v>
      </c>
      <c r="C145" s="80">
        <f>C123/C143</f>
        <v>0.7984311516592268</v>
      </c>
      <c r="D145" s="80">
        <f>D123/D143</f>
        <v>1.2962327523247703</v>
      </c>
      <c r="E145" s="80">
        <f>E123/E143</f>
        <v>3.8697162801572205</v>
      </c>
      <c r="F145" s="80">
        <f>F123/F143</f>
        <v>0.8263157180529059</v>
      </c>
      <c r="G145" s="80">
        <f>G123/G143</f>
        <v>1.53668326239851</v>
      </c>
      <c r="H145" s="77">
        <f>H123/H143</f>
        <v>0.9698439714113312</v>
      </c>
      <c r="I145" s="1"/>
    </row>
    <row r="146">
      <c r="A146" s="1"/>
      <c r="B146" s="43" t="s">
        <v>355</v>
      </c>
      <c r="C146" s="30">
        <v>0.8</v>
      </c>
      <c r="D146" s="30">
        <v>1.3</v>
      </c>
      <c r="E146" s="30">
        <v>3.87</v>
      </c>
      <c r="F146" s="30">
        <v>0.83</v>
      </c>
      <c r="G146" s="30">
        <v>1.54</v>
      </c>
      <c r="H146" s="78"/>
      <c r="I146" s="8" t="s">
        <v>356</v>
      </c>
    </row>
    <row r="147">
      <c r="A147" s="1"/>
      <c r="B147" s="43" t="s">
        <v>357</v>
      </c>
      <c r="C147" s="18">
        <f>ROUND(C145,2)-C146</f>
        <v>0</v>
      </c>
      <c r="D147" s="18">
        <f>ROUND(D145,2)-D146</f>
        <v>0</v>
      </c>
      <c r="E147" s="18">
        <f>ROUND(E145,2)-E146</f>
        <v>0</v>
      </c>
      <c r="F147" s="18">
        <f>ROUND(F145,2)-F146</f>
        <v>0</v>
      </c>
      <c r="G147" s="18">
        <f>ROUND(G145,2)-G146</f>
        <v>0</v>
      </c>
      <c r="H147" s="78"/>
      <c r="I147" s="1"/>
    </row>
    <row r="148">
      <c r="A148" s="1"/>
      <c r="B148" s="1"/>
      <c r="C148" s="3"/>
      <c r="D148" s="3"/>
      <c r="E148" s="3"/>
      <c r="F148" s="3"/>
      <c r="G148" s="3"/>
      <c r="H148" s="37"/>
      <c r="I148" s="1"/>
    </row>
    <row r="149">
      <c r="A149" s="1"/>
      <c r="B149" s="2" t="s">
        <v>358</v>
      </c>
      <c r="C149" s="4"/>
      <c r="D149" s="4"/>
      <c r="E149" s="4"/>
      <c r="F149" s="4"/>
      <c r="G149" s="4"/>
      <c r="H149" s="33"/>
      <c r="I149" s="1"/>
    </row>
    <row r="150">
      <c r="A150" s="1"/>
      <c r="B150" s="31" t="s">
        <v>359</v>
      </c>
      <c r="C150" s="15">
        <f>C11-'Revenue summary'!C71</f>
        <v>14.428000000000111</v>
      </c>
      <c r="D150" s="15">
        <f>D11-'Revenue summary'!D71</f>
        <v>17.32200000000057</v>
      </c>
      <c r="E150" s="15">
        <f>E11-'Revenue summary'!E71</f>
        <v>59.55199999999968</v>
      </c>
      <c r="F150" s="15">
        <f>F11-'Revenue summary'!F71</f>
        <v>15.811999999999898</v>
      </c>
      <c r="G150" s="15">
        <f>G11-'Revenue summary'!G71</f>
        <v>15.710000000000036</v>
      </c>
      <c r="H150" s="60">
        <v>15.7</v>
      </c>
      <c r="I150" s="8" t="s">
        <v>360</v>
      </c>
    </row>
    <row r="151">
      <c r="A151" s="1"/>
      <c r="B151" s="61" t="s">
        <v>82</v>
      </c>
      <c r="C151" s="58" t="s">
        <v>32</v>
      </c>
      <c r="D151" s="58" t="s">
        <v>32</v>
      </c>
      <c r="E151" s="58" t="s">
        <v>32</v>
      </c>
      <c r="F151" s="58" t="s">
        <v>32</v>
      </c>
      <c r="G151" s="58" t="s">
        <v>32</v>
      </c>
      <c r="H151" s="56">
        <f>IF(C150*H150&gt;0,H150/C150-1,"n/m")</f>
        <v>0.08816190740226504</v>
      </c>
      <c r="I151" s="1"/>
    </row>
    <row r="152">
      <c r="A152" s="1"/>
      <c r="B152" s="43" t="s">
        <v>118</v>
      </c>
      <c r="C152" s="4" t="s">
        <v>32</v>
      </c>
      <c r="D152" s="4">
        <f>D150-C150</f>
        <v>2.89400000000046</v>
      </c>
      <c r="E152" s="4"/>
      <c r="F152" s="4">
        <f>F150-D150</f>
        <v>-1.510000000000673</v>
      </c>
      <c r="G152" s="4">
        <f>G150-F150</f>
        <v>-0.10199999999986176</v>
      </c>
      <c r="H152" s="33">
        <f>H150-G150</f>
        <v>-0.01000000000003709</v>
      </c>
      <c r="I152" s="1"/>
    </row>
    <row r="153">
      <c r="A153" s="1"/>
      <c r="B153" s="31" t="s">
        <v>361</v>
      </c>
      <c r="C153" s="4">
        <f>C17</f>
        <v>200.675</v>
      </c>
      <c r="D153" s="4">
        <f>D17</f>
        <v>390.288</v>
      </c>
      <c r="E153" s="4">
        <f>E17</f>
        <v>978.202</v>
      </c>
      <c r="F153" s="4">
        <f>F17</f>
        <v>165.419</v>
      </c>
      <c r="G153" s="4">
        <f>G17</f>
        <v>159.08</v>
      </c>
      <c r="H153" s="60">
        <v>160</v>
      </c>
      <c r="I153" s="8" t="s">
        <v>362</v>
      </c>
    </row>
    <row r="154">
      <c r="A154" s="1"/>
      <c r="B154" s="31" t="s">
        <v>363</v>
      </c>
      <c r="C154" s="4">
        <f>C29</f>
        <v>-215.818</v>
      </c>
      <c r="D154" s="4">
        <f>D29</f>
        <v>282.397</v>
      </c>
      <c r="E154" s="4">
        <f>E29</f>
        <v>643.0630000000001</v>
      </c>
      <c r="F154" s="4">
        <f>F29</f>
        <v>283.452</v>
      </c>
      <c r="G154" s="4">
        <f>G29</f>
        <v>587.14</v>
      </c>
      <c r="H154" s="60">
        <v>100</v>
      </c>
      <c r="I154" s="8" t="s">
        <v>364</v>
      </c>
    </row>
    <row r="155">
      <c r="A155" s="1"/>
      <c r="B155" s="31" t="s">
        <v>365</v>
      </c>
      <c r="C155" s="15">
        <f>C35-'Revenue summary'!C99</f>
        <v>90.11699999999999</v>
      </c>
      <c r="D155" s="15">
        <f>D35-'Revenue summary'!D99</f>
        <v>52.389999999999986</v>
      </c>
      <c r="E155" s="15">
        <f>E35-'Revenue summary'!E99</f>
        <v>277.88900000000007</v>
      </c>
      <c r="F155" s="15">
        <f>F35-'Revenue summary'!F99</f>
        <v>111.04700000000001</v>
      </c>
      <c r="G155" s="15">
        <f>G35-'Revenue summary'!G99</f>
        <v>78.08599999999998</v>
      </c>
      <c r="H155" s="60">
        <v>90</v>
      </c>
      <c r="I155" s="1"/>
    </row>
    <row r="156">
      <c r="A156" s="1"/>
      <c r="B156" s="61" t="s">
        <v>82</v>
      </c>
      <c r="C156" s="58" t="s">
        <v>32</v>
      </c>
      <c r="D156" s="58" t="s">
        <v>32</v>
      </c>
      <c r="E156" s="58" t="s">
        <v>32</v>
      </c>
      <c r="F156" s="58" t="s">
        <v>32</v>
      </c>
      <c r="G156" s="58" t="s">
        <v>32</v>
      </c>
      <c r="H156" s="56">
        <f>IF(C155*H155&gt;0,H155/C155-1,"n/m")</f>
        <v>-0.001298312194147555</v>
      </c>
      <c r="I156" s="1"/>
    </row>
    <row r="157">
      <c r="A157" s="1"/>
      <c r="B157" s="43" t="s">
        <v>118</v>
      </c>
      <c r="C157" s="4" t="s">
        <v>32</v>
      </c>
      <c r="D157" s="4">
        <f>D155-C155</f>
        <v>-37.727000000000004</v>
      </c>
      <c r="E157" s="4"/>
      <c r="F157" s="4">
        <f>F155-D155</f>
        <v>58.657000000000025</v>
      </c>
      <c r="G157" s="4">
        <f>G155-F155</f>
        <v>-32.96100000000003</v>
      </c>
      <c r="H157" s="33">
        <f>H155-G155</f>
        <v>11.914000000000016</v>
      </c>
      <c r="I157" s="1"/>
    </row>
    <row r="158">
      <c r="A158" s="1"/>
      <c r="B158" s="31" t="s">
        <v>366</v>
      </c>
      <c r="C158" s="4">
        <f>C41</f>
        <v>-238.658</v>
      </c>
      <c r="D158" s="4">
        <f>D41</f>
        <v>-37.142</v>
      </c>
      <c r="E158" s="4">
        <f>E41</f>
        <v>248.30400000000003</v>
      </c>
      <c r="F158" s="4">
        <f>F41</f>
        <v>-385.002</v>
      </c>
      <c r="G158" s="4">
        <f>G41</f>
        <v>414.821</v>
      </c>
      <c r="H158" s="60">
        <v>50</v>
      </c>
      <c r="I158" s="1"/>
    </row>
    <row r="159">
      <c r="A159" s="1"/>
      <c r="B159" s="31" t="s">
        <v>367</v>
      </c>
      <c r="C159" s="26">
        <v>108.949</v>
      </c>
      <c r="D159" s="26">
        <v>135.134</v>
      </c>
      <c r="E159" s="4"/>
      <c r="F159" s="26">
        <v>112.247</v>
      </c>
      <c r="G159" s="26">
        <v>262.446</v>
      </c>
      <c r="H159" s="33"/>
      <c r="I159" s="8" t="s">
        <v>368</v>
      </c>
    </row>
    <row r="160">
      <c r="A160" s="1"/>
      <c r="B160" s="40" t="s">
        <v>369</v>
      </c>
      <c r="C160" s="58">
        <f>C159/C181</f>
        <v>0.24049596263283135</v>
      </c>
      <c r="D160" s="58">
        <f>D159/D181</f>
        <v>0.22282977021823905</v>
      </c>
      <c r="E160" s="58"/>
      <c r="F160" s="58">
        <f>F159/F181</f>
        <v>0.22996816213137528</v>
      </c>
      <c r="G160" s="58">
        <f>G159/G181</f>
        <v>0.33079024087744885</v>
      </c>
      <c r="H160" s="71">
        <v>0.26</v>
      </c>
      <c r="I160" s="1"/>
    </row>
    <row r="161">
      <c r="A161" s="1"/>
      <c r="B161" s="43" t="s">
        <v>121</v>
      </c>
      <c r="C161" s="62" t="s">
        <v>32</v>
      </c>
      <c r="D161" s="62">
        <f>IFERROR((D160-C160)*10000,"n/m")</f>
        <v>-176.66192414592302</v>
      </c>
      <c r="E161" s="62"/>
      <c r="F161" s="62">
        <f>IFERROR((F160-D160)*10000,"n/m")</f>
        <v>71.38391913136228</v>
      </c>
      <c r="G161" s="62">
        <f>IFERROR((G160-F160)*10000,"n/m")</f>
        <v>1008.2207874607358</v>
      </c>
      <c r="H161" s="59">
        <f>IFERROR((H160-G160)*10000,"n/m")</f>
        <v>-707.9024087744884</v>
      </c>
      <c r="I161" s="1"/>
    </row>
    <row r="162">
      <c r="A162" s="1"/>
      <c r="B162" s="43" t="s">
        <v>122</v>
      </c>
      <c r="C162" s="62" t="s">
        <v>32</v>
      </c>
      <c r="D162" s="62" t="s">
        <v>32</v>
      </c>
      <c r="E162" s="62"/>
      <c r="F162" s="62" t="s">
        <v>32</v>
      </c>
      <c r="G162" s="62" t="s">
        <v>32</v>
      </c>
      <c r="H162" s="59">
        <f>IFERROR((H160-C160)*10000,"n/m")</f>
        <v>195.04037367168658</v>
      </c>
      <c r="I162" s="1"/>
    </row>
    <row r="163">
      <c r="A163" s="1"/>
      <c r="B163" s="31" t="s">
        <v>370</v>
      </c>
      <c r="C163" s="4"/>
      <c r="D163" s="4"/>
      <c r="E163" s="4"/>
      <c r="F163" s="4"/>
      <c r="G163" s="4"/>
      <c r="H163" s="33">
        <f>H160*H181</f>
        <v>123.04883731397811</v>
      </c>
      <c r="I163" s="1"/>
    </row>
    <row r="164">
      <c r="A164" s="1"/>
      <c r="B164" s="31" t="s">
        <v>371</v>
      </c>
      <c r="C164" s="26">
        <v>296.506</v>
      </c>
      <c r="D164" s="26">
        <v>345.649</v>
      </c>
      <c r="E164" s="4"/>
      <c r="F164" s="26">
        <v>549.703</v>
      </c>
      <c r="G164" s="26">
        <v>345.343</v>
      </c>
      <c r="H164" s="60">
        <v>330</v>
      </c>
      <c r="I164" s="8" t="s">
        <v>372</v>
      </c>
    </row>
    <row r="165">
      <c r="A165" s="1"/>
      <c r="B165" s="61" t="s">
        <v>82</v>
      </c>
      <c r="C165" s="58" t="s">
        <v>32</v>
      </c>
      <c r="D165" s="58" t="s">
        <v>32</v>
      </c>
      <c r="E165" s="58"/>
      <c r="F165" s="58" t="s">
        <v>32</v>
      </c>
      <c r="G165" s="58" t="s">
        <v>32</v>
      </c>
      <c r="H165" s="56">
        <f>IF(C164*H164&gt;0,H164/C164-1,"n/m")</f>
        <v>0.11296230093151594</v>
      </c>
      <c r="I165" s="1"/>
    </row>
    <row r="166">
      <c r="A166" s="1"/>
      <c r="B166" s="43" t="s">
        <v>118</v>
      </c>
      <c r="C166" s="4" t="s">
        <v>32</v>
      </c>
      <c r="D166" s="4">
        <f>D164-C164</f>
        <v>49.14300000000003</v>
      </c>
      <c r="E166" s="4"/>
      <c r="F166" s="4">
        <f>F164-D164</f>
        <v>204.05399999999997</v>
      </c>
      <c r="G166" s="4">
        <f>G164-F164</f>
        <v>-204.35999999999996</v>
      </c>
      <c r="H166" s="33">
        <f>H164-G164</f>
        <v>-15.343000000000018</v>
      </c>
      <c r="I166" s="1"/>
    </row>
    <row r="167">
      <c r="A167" s="1"/>
      <c r="B167" s="31" t="s">
        <v>373</v>
      </c>
      <c r="C167" s="26">
        <v>5.056</v>
      </c>
      <c r="D167" s="26">
        <v>12.715</v>
      </c>
      <c r="E167" s="4"/>
      <c r="F167" s="26">
        <v>11.514</v>
      </c>
      <c r="G167" s="26">
        <v>8.41</v>
      </c>
      <c r="H167" s="60">
        <v>8</v>
      </c>
      <c r="I167" s="1"/>
    </row>
    <row r="168">
      <c r="A168" s="1"/>
      <c r="B168" s="61" t="s">
        <v>82</v>
      </c>
      <c r="C168" s="58" t="s">
        <v>32</v>
      </c>
      <c r="D168" s="58" t="s">
        <v>32</v>
      </c>
      <c r="E168" s="58"/>
      <c r="F168" s="58" t="s">
        <v>32</v>
      </c>
      <c r="G168" s="58" t="s">
        <v>32</v>
      </c>
      <c r="H168" s="56">
        <f>IF(C167*H167&gt;0,H167/C167-1,"n/m")</f>
        <v>0.5822784810126582</v>
      </c>
      <c r="I168" s="1"/>
    </row>
    <row r="169">
      <c r="A169" s="1"/>
      <c r="B169" s="43" t="s">
        <v>118</v>
      </c>
      <c r="C169" s="4" t="s">
        <v>32</v>
      </c>
      <c r="D169" s="4">
        <f>D167-C167</f>
        <v>7.659</v>
      </c>
      <c r="E169" s="4"/>
      <c r="F169" s="4">
        <f>F167-D167</f>
        <v>-1.2010000000000005</v>
      </c>
      <c r="G169" s="4">
        <f>G167-F167</f>
        <v>-3.103999999999999</v>
      </c>
      <c r="H169" s="33">
        <f>H167-G167</f>
        <v>-0.41000000000000014</v>
      </c>
      <c r="I169" s="1"/>
    </row>
    <row r="170">
      <c r="A170" s="1"/>
      <c r="B170" s="40" t="s">
        <v>374</v>
      </c>
      <c r="C170" s="58">
        <f>IFERROR(C83/C29,0)</f>
        <v>0.14617409113234298</v>
      </c>
      <c r="D170" s="58">
        <f>IFERROR(D83/D29,0)</f>
        <v>0.5394249938915782</v>
      </c>
      <c r="E170" s="58">
        <f>IFERROR(E83/E29,0)</f>
        <v>0.5861976198288502</v>
      </c>
      <c r="F170" s="58">
        <f>IFERROR(F83/F29,0)</f>
        <v>0.31645922413671446</v>
      </c>
      <c r="G170" s="58">
        <f>IFERROR(G83/G29,0)</f>
        <v>0.4021681370712266</v>
      </c>
      <c r="H170" s="71">
        <v>0.4</v>
      </c>
      <c r="I170" s="1"/>
    </row>
    <row r="171">
      <c r="A171" s="1"/>
      <c r="B171" s="43" t="s">
        <v>121</v>
      </c>
      <c r="C171" s="57">
        <f>IFERROR((C170-(IFERROR(Inputs!G311/Inputs!G301,0)))*10000,"n/m")</f>
        <v>-3409.8288833989136</v>
      </c>
      <c r="D171" s="62">
        <f>IFERROR((D170-C170)*10000,"n/m")</f>
        <v>3932.5090275923517</v>
      </c>
      <c r="E171" s="62"/>
      <c r="F171" s="62">
        <f>IFERROR((F170-D170)*10000,"n/m")</f>
        <v>-2229.657697548637</v>
      </c>
      <c r="G171" s="62">
        <f>IFERROR((G170-F170)*10000,"n/m")</f>
        <v>857.0891293451216</v>
      </c>
      <c r="H171" s="59">
        <f>IFERROR((H170-G170)*10000,"n/m")</f>
        <v>-21.681370712265945</v>
      </c>
      <c r="I171" s="1"/>
    </row>
    <row r="172">
      <c r="A172" s="1"/>
      <c r="B172" s="43" t="s">
        <v>122</v>
      </c>
      <c r="C172" s="57">
        <f>IFERROR((C170-(IFERROR(Inputs!C311/Inputs!C301,0)))*10000,"n/m")</f>
        <v>-2565.3761653867787</v>
      </c>
      <c r="D172" s="57">
        <f>IFERROR((D170-(IFERROR(Inputs!D311/Inputs!D301,0)))*10000,"n/m")</f>
        <v>898.6840406985219</v>
      </c>
      <c r="E172" s="57">
        <f>IFERROR((E170-(IFERROR(Inputs!E311/Inputs!E301,0)))*10000,"n/m")</f>
        <v>2091.961093565113</v>
      </c>
      <c r="F172" s="57">
        <f>IFERROR((F170-(IFERROR(Inputs!F311/Inputs!F301,0)))*10000,"n/m")</f>
        <v>-770.0052715602374</v>
      </c>
      <c r="G172" s="57">
        <f>IFERROR((G170-(IFERROR(Inputs!G311/Inputs!G301,0)))*10000,"n/m")</f>
        <v>-849.8884240100774</v>
      </c>
      <c r="H172" s="59">
        <f>IFERROR((H170-C170)*10000,"n/m")</f>
        <v>2538.2590886765706</v>
      </c>
      <c r="I172" s="1"/>
    </row>
    <row r="173">
      <c r="A173" s="1"/>
      <c r="B173" s="31" t="s">
        <v>375</v>
      </c>
      <c r="C173" s="4">
        <f>C90+C194</f>
        <v>27.50999999999999</v>
      </c>
      <c r="D173" s="4">
        <f>D90+D194</f>
        <v>29.726999999999975</v>
      </c>
      <c r="E173" s="4">
        <f>E90+E194</f>
        <v>111.30899999999974</v>
      </c>
      <c r="F173" s="4">
        <f>F90+F194</f>
        <v>29.366000000000042</v>
      </c>
      <c r="G173" s="4">
        <f>G90+G194</f>
        <v>28.980000000000018</v>
      </c>
      <c r="H173" s="60">
        <v>29</v>
      </c>
      <c r="I173" s="1"/>
    </row>
    <row r="174">
      <c r="A174" s="1"/>
      <c r="B174" s="61" t="s">
        <v>82</v>
      </c>
      <c r="C174" s="58" t="s">
        <v>32</v>
      </c>
      <c r="D174" s="58" t="s">
        <v>32</v>
      </c>
      <c r="E174" s="58" t="s">
        <v>32</v>
      </c>
      <c r="F174" s="58" t="s">
        <v>32</v>
      </c>
      <c r="G174" s="58" t="s">
        <v>32</v>
      </c>
      <c r="H174" s="56">
        <f>IF(C173*H173&gt;0,H173/C173-1,"n/m")</f>
        <v>0.05416212286441335</v>
      </c>
      <c r="I174" s="1"/>
    </row>
    <row r="175">
      <c r="A175" s="1"/>
      <c r="B175" s="43" t="s">
        <v>118</v>
      </c>
      <c r="C175" s="4" t="s">
        <v>32</v>
      </c>
      <c r="D175" s="4">
        <f>D173-C173</f>
        <v>2.2169999999999845</v>
      </c>
      <c r="E175" s="4"/>
      <c r="F175" s="4">
        <f>F173-D173</f>
        <v>-0.36099999999993315</v>
      </c>
      <c r="G175" s="4">
        <f>G173-F173</f>
        <v>-0.3860000000000241</v>
      </c>
      <c r="H175" s="33">
        <f>H173-G173</f>
        <v>0.01999999999998181</v>
      </c>
      <c r="I175" s="1"/>
    </row>
    <row r="176">
      <c r="A176" s="1"/>
      <c r="B176" s="40" t="s">
        <v>376</v>
      </c>
      <c r="C176" s="58">
        <f>C122/(C116-C120-C121)</f>
        <v>0.42245711058966157</v>
      </c>
      <c r="D176" s="58">
        <f>D122/(D116-D120-D121)</f>
        <v>0.43320103198402343</v>
      </c>
      <c r="E176" s="58">
        <f>E122/(E116-E120-E121)</f>
        <v>0.43466287679838506</v>
      </c>
      <c r="F176" s="58">
        <f>F122/(F116-F120-F121)</f>
        <v>0.41964127803631873</v>
      </c>
      <c r="G176" s="58">
        <f>G122/(G116-G120-G121)</f>
        <v>0.4349239609187486</v>
      </c>
      <c r="H176" s="71">
        <v>0.425</v>
      </c>
      <c r="I176" s="1"/>
    </row>
    <row r="177">
      <c r="A177" s="1"/>
      <c r="B177" s="43" t="s">
        <v>121</v>
      </c>
      <c r="C177" s="57">
        <f>IFERROR((C176-(Inputs!G324/(Inputs!G321-Inputs!G322-Inputs!G323)))*10000,"n/m")</f>
        <v>-185.1230761896877</v>
      </c>
      <c r="D177" s="62">
        <f>IFERROR((D176-C176)*10000,"n/m")</f>
        <v>107.43921394361865</v>
      </c>
      <c r="E177" s="62"/>
      <c r="F177" s="62">
        <f>IFERROR((F176-D176)*10000,"n/m")</f>
        <v>-135.597539477047</v>
      </c>
      <c r="G177" s="62">
        <f>IFERROR((G176-F176)*10000,"n/m")</f>
        <v>152.82682882429845</v>
      </c>
      <c r="H177" s="59">
        <f>IFERROR((H176-G176)*10000,"n/m")</f>
        <v>-99.23960918748587</v>
      </c>
      <c r="I177" s="1"/>
    </row>
    <row r="178">
      <c r="A178" s="1"/>
      <c r="B178" s="43" t="s">
        <v>122</v>
      </c>
      <c r="C178" s="57">
        <f>IFERROR((C176-(Inputs!C324/(Inputs!C321-Inputs!C322-Inputs!C323)))*10000,"n/m")</f>
        <v>-133.11721082174154</v>
      </c>
      <c r="D178" s="57">
        <f>IFERROR((D176-(Inputs!D324/(Inputs!D321-Inputs!D322-Inputs!D323)))*10000,"n/m")</f>
        <v>-86.27215175249947</v>
      </c>
      <c r="E178" s="57">
        <f>IFERROR((E176-(Inputs!E324/(Inputs!E321-Inputs!E322-Inputs!E323)))*10000,"n/m")</f>
        <v>-128.28124683723797</v>
      </c>
      <c r="F178" s="57">
        <f>IFERROR((F176-(Inputs!F324/(Inputs!F321-Inputs!F322-Inputs!F323)))*10000,"n/m")</f>
        <v>-215.6847142906759</v>
      </c>
      <c r="G178" s="57">
        <f>IFERROR((G176-(Inputs!G324/(Inputs!G321-Inputs!G322-Inputs!G323)))*10000,"n/m")</f>
        <v>-60.45457289881762</v>
      </c>
      <c r="H178" s="59">
        <f>IFERROR((H176-C176)*10000,"n/m")</f>
        <v>25.428894103384224</v>
      </c>
      <c r="I178" s="1"/>
    </row>
    <row r="179">
      <c r="A179" s="1"/>
      <c r="B179" s="1"/>
      <c r="C179" s="3"/>
      <c r="D179" s="3"/>
      <c r="E179" s="3"/>
      <c r="F179" s="3"/>
      <c r="G179" s="3"/>
      <c r="H179" s="37"/>
      <c r="I179" s="1"/>
    </row>
    <row r="180">
      <c r="A180" s="1"/>
      <c r="B180" s="2" t="s">
        <v>377</v>
      </c>
      <c r="C180" s="4"/>
      <c r="D180" s="4"/>
      <c r="E180" s="4"/>
      <c r="F180" s="4"/>
      <c r="G180" s="4"/>
      <c r="H180" s="33"/>
      <c r="I180" s="1"/>
    </row>
    <row r="181">
      <c r="A181" s="1"/>
      <c r="B181" s="31" t="s">
        <v>378</v>
      </c>
      <c r="C181" s="15">
        <f>'Segment - Real Estate'!C147+'Segment - Private Equity'!C149+'Segment - Credit &amp; Insurance'!C102</f>
        <v>453.01800000000003</v>
      </c>
      <c r="D181" s="15">
        <f>'Segment - Real Estate'!D147+'Segment - Private Equity'!D149+'Segment - Credit &amp; Insurance'!D102</f>
        <v>606.445</v>
      </c>
      <c r="E181" s="15">
        <f>'Segment - Real Estate'!E147+'Segment - Private Equity'!E149+'Segment - Credit &amp; Insurance'!E102</f>
        <v>1825.428</v>
      </c>
      <c r="F181" s="15">
        <f>'Segment - Real Estate'!F147+'Segment - Private Equity'!F149+'Segment - Credit &amp; Insurance'!F102</f>
        <v>488.09799999999996</v>
      </c>
      <c r="G181" s="15">
        <f>'Segment - Real Estate'!G147+'Segment - Private Equity'!G149+'Segment - Credit &amp; Insurance'!G102</f>
        <v>793.3910000000001</v>
      </c>
      <c r="H181" s="36">
        <f>'Segment - Real Estate'!H147+'Segment - Private Equity'!H149+'Segment - Credit &amp; Insurance'!H102</f>
        <v>473.2647588999158</v>
      </c>
      <c r="I181" s="1"/>
    </row>
    <row r="182">
      <c r="A182" s="1"/>
      <c r="B182" s="61" t="s">
        <v>82</v>
      </c>
      <c r="C182" s="55">
        <f>IF(Inputs!C327*C181&gt;0,C181/Inputs!C327-1,"n/m")</f>
        <v>0.7153210324837846</v>
      </c>
      <c r="D182" s="55">
        <f>IF(Inputs!D327*D181&gt;0,D181/Inputs!D327-1,"n/m")</f>
        <v>-0.5666008707360092</v>
      </c>
      <c r="E182" s="55">
        <f>IF(Inputs!E327*E181&gt;0,E181/Inputs!E327-1,"n/m")</f>
        <v>-0.14537687065912275</v>
      </c>
      <c r="F182" s="55">
        <f>IF(Inputs!F327*F181&gt;0,F181/Inputs!F327-1,"n/m")</f>
        <v>0.660677406733239</v>
      </c>
      <c r="G182" s="55">
        <f>IF(Inputs!G327*G181&gt;0,G181/Inputs!G327-1,"n/m")</f>
        <v>0.6807350916216504</v>
      </c>
      <c r="H182" s="56">
        <f>IF(C181*H181&gt;0,H181/C181-1,"n/m")</f>
        <v>0.04469305612561936</v>
      </c>
      <c r="I182" s="1"/>
    </row>
    <row r="183">
      <c r="A183" s="1"/>
      <c r="B183" s="43" t="s">
        <v>118</v>
      </c>
      <c r="C183" s="15">
        <f>C181-Inputs!G327</f>
        <v>-19.031999999999982</v>
      </c>
      <c r="D183" s="4">
        <f>D181-C181</f>
        <v>153.42700000000002</v>
      </c>
      <c r="E183" s="4"/>
      <c r="F183" s="4">
        <f>F181-D181</f>
        <v>-118.3470000000001</v>
      </c>
      <c r="G183" s="4">
        <f>G181-F181</f>
        <v>305.2930000000001</v>
      </c>
      <c r="H183" s="33">
        <f>H181-G181</f>
        <v>-320.12624110008426</v>
      </c>
      <c r="I183" s="1"/>
    </row>
    <row r="184">
      <c r="A184" s="1"/>
      <c r="B184" s="61" t="s">
        <v>85</v>
      </c>
      <c r="C184" s="58" t="s">
        <v>86</v>
      </c>
      <c r="D184" s="58" t="s">
        <v>86</v>
      </c>
      <c r="E184" s="58" t="s">
        <v>86</v>
      </c>
      <c r="F184" s="58" t="s">
        <v>86</v>
      </c>
      <c r="G184" s="58" t="s">
        <v>86</v>
      </c>
      <c r="H184" s="56" t="s">
        <v>86</v>
      </c>
      <c r="I184" s="8" t="s">
        <v>94</v>
      </c>
    </row>
    <row r="185">
      <c r="A185" s="1"/>
      <c r="B185" s="61" t="s">
        <v>88</v>
      </c>
      <c r="C185" s="58" t="s">
        <v>86</v>
      </c>
      <c r="D185" s="58" t="s">
        <v>86</v>
      </c>
      <c r="E185" s="58" t="s">
        <v>86</v>
      </c>
      <c r="F185" s="58" t="s">
        <v>86</v>
      </c>
      <c r="G185" s="58" t="s">
        <v>86</v>
      </c>
      <c r="H185" s="56" t="s">
        <v>86</v>
      </c>
      <c r="I185" s="8" t="s">
        <v>95</v>
      </c>
    </row>
    <row r="186">
      <c r="A186" s="1"/>
      <c r="B186" s="61" t="s">
        <v>89</v>
      </c>
      <c r="C186" s="58" t="s">
        <v>86</v>
      </c>
      <c r="D186" s="58" t="s">
        <v>86</v>
      </c>
      <c r="E186" s="58" t="s">
        <v>86</v>
      </c>
      <c r="F186" s="58" t="s">
        <v>86</v>
      </c>
      <c r="G186" s="58" t="s">
        <v>86</v>
      </c>
      <c r="H186" s="56" t="s">
        <v>86</v>
      </c>
      <c r="I186" s="8" t="s">
        <v>95</v>
      </c>
    </row>
    <row r="187">
      <c r="A187" s="1"/>
      <c r="B187" s="54" t="s">
        <v>108</v>
      </c>
      <c r="C187" s="64">
        <f>'Segment - Real Estate'!C153+'Segment - Private Equity'!C155+'Segment - Credit &amp; Insurance'!C108+'Segment - Multi-Asset Investing'!C102</f>
        <v>2494.8380000000006</v>
      </c>
      <c r="D187" s="64">
        <f>'Segment - Real Estate'!D153+'Segment - Private Equity'!D155+'Segment - Credit &amp; Insurance'!D108+'Segment - Multi-Asset Investing'!D102</f>
        <v>2668.664</v>
      </c>
      <c r="E187" s="64">
        <f>'Segment - Real Estate'!E153+'Segment - Private Equity'!E155+'Segment - Credit &amp; Insurance'!E108+'Segment - Multi-Asset Investing'!E102</f>
        <v>9841.476999999999</v>
      </c>
      <c r="F187" s="64">
        <f>'Segment - Real Estate'!F153+'Segment - Private Equity'!F155+'Segment - Credit &amp; Insurance'!F108+'Segment - Multi-Asset Investing'!F102</f>
        <v>2620.906</v>
      </c>
      <c r="G187" s="64">
        <f>'Segment - Real Estate'!G153+'Segment - Private Equity'!G155+'Segment - Credit &amp; Insurance'!G108+'Segment - Multi-Asset Investing'!G102</f>
        <v>3043.687</v>
      </c>
      <c r="H187" s="82">
        <f>'Segment - Real Estate'!H153+'Segment - Private Equity'!H155+'Segment - Credit &amp; Insurance'!H108+'Segment - Multi-Asset Investing'!H102</f>
        <v>2676.9288694321076</v>
      </c>
      <c r="I187" s="1"/>
    </row>
    <row r="188">
      <c r="A188" s="1"/>
      <c r="B188" s="61" t="s">
        <v>82</v>
      </c>
      <c r="C188" s="55">
        <f>IF(Inputs!C328*C187&gt;0,C187/Inputs!C328-1,"n/m")</f>
        <v>0.21649864567359178</v>
      </c>
      <c r="D188" s="55">
        <f>IF(Inputs!D328*D187&gt;0,D187/Inputs!D328-1,"n/m")</f>
        <v>-0.18103141657053534</v>
      </c>
      <c r="E188" s="55">
        <f>IF(Inputs!E328*E187&gt;0,E187/Inputs!E328-1,"n/m")</f>
        <v>0.06170767526416521</v>
      </c>
      <c r="F188" s="55">
        <f>IF(Inputs!F328*F187&gt;0,F187/Inputs!F328-1,"n/m")</f>
        <v>0.19899831329060214</v>
      </c>
      <c r="G188" s="55">
        <f>IF(Inputs!G328*G187&gt;0,G187/Inputs!G328-1,"n/m")</f>
        <v>0.22135283953609508</v>
      </c>
      <c r="H188" s="56">
        <f>IF(C187*H187&gt;0,H187/C187-1,"n/m")</f>
        <v>0.07298705143664908</v>
      </c>
      <c r="I188" s="1"/>
    </row>
    <row r="189">
      <c r="A189" s="1"/>
      <c r="B189" s="43" t="s">
        <v>118</v>
      </c>
      <c r="C189" s="15">
        <f>C187-Inputs!G328</f>
        <v>2.7760000000007494</v>
      </c>
      <c r="D189" s="4">
        <f>D187-C187</f>
        <v>173.82599999999957</v>
      </c>
      <c r="E189" s="4"/>
      <c r="F189" s="4">
        <f>F187-D187</f>
        <v>-47.758000000000266</v>
      </c>
      <c r="G189" s="4">
        <f>G187-F187</f>
        <v>422.78099999999995</v>
      </c>
      <c r="H189" s="33">
        <f>H187-G187</f>
        <v>-366.7581305678923</v>
      </c>
      <c r="I189" s="1"/>
    </row>
    <row r="190">
      <c r="A190" s="1"/>
      <c r="B190" s="61" t="s">
        <v>85</v>
      </c>
      <c r="C190" s="58" t="s">
        <v>86</v>
      </c>
      <c r="D190" s="58" t="s">
        <v>86</v>
      </c>
      <c r="E190" s="58" t="s">
        <v>86</v>
      </c>
      <c r="F190" s="58" t="s">
        <v>86</v>
      </c>
      <c r="G190" s="58" t="s">
        <v>86</v>
      </c>
      <c r="H190" s="56" t="s">
        <v>86</v>
      </c>
      <c r="I190" s="8" t="s">
        <v>94</v>
      </c>
    </row>
    <row r="191">
      <c r="A191" s="1"/>
      <c r="B191" s="61" t="s">
        <v>88</v>
      </c>
      <c r="C191" s="58" t="s">
        <v>86</v>
      </c>
      <c r="D191" s="58" t="s">
        <v>86</v>
      </c>
      <c r="E191" s="58" t="s">
        <v>86</v>
      </c>
      <c r="F191" s="58" t="s">
        <v>86</v>
      </c>
      <c r="G191" s="58" t="s">
        <v>86</v>
      </c>
      <c r="H191" s="56" t="s">
        <v>86</v>
      </c>
      <c r="I191" s="8" t="s">
        <v>95</v>
      </c>
    </row>
    <row r="192">
      <c r="A192" s="1"/>
      <c r="B192" s="61" t="s">
        <v>89</v>
      </c>
      <c r="C192" s="58" t="s">
        <v>86</v>
      </c>
      <c r="D192" s="58" t="s">
        <v>86</v>
      </c>
      <c r="E192" s="58" t="s">
        <v>86</v>
      </c>
      <c r="F192" s="58" t="s">
        <v>86</v>
      </c>
      <c r="G192" s="58" t="s">
        <v>86</v>
      </c>
      <c r="H192" s="56" t="s">
        <v>86</v>
      </c>
      <c r="I192" s="8" t="s">
        <v>95</v>
      </c>
    </row>
    <row r="193">
      <c r="A193" s="1"/>
      <c r="B193" s="31" t="s">
        <v>220</v>
      </c>
      <c r="C193" s="15">
        <f>'Segment - Real Estate'!C187+'Segment - Private Equity'!C189+'Segment - Credit &amp; Insurance'!C142+'Segment - Multi-Asset Investing'!C136</f>
        <v>-658.0910000000001</v>
      </c>
      <c r="D193" s="15">
        <f>'Segment - Real Estate'!D187+'Segment - Private Equity'!D189+'Segment - Credit &amp; Insurance'!D142+'Segment - Multi-Asset Investing'!D136</f>
        <v>-715.312</v>
      </c>
      <c r="E193" s="15">
        <f>'Segment - Real Estate'!E187+'Segment - Private Equity'!E189+'Segment - Credit &amp; Insurance'!E142+'Segment - Multi-Asset Investing'!E136</f>
        <v>-2690.701</v>
      </c>
      <c r="F193" s="15">
        <f>'Segment - Real Estate'!F187+'Segment - Private Equity'!F189+'Segment - Credit &amp; Insurance'!F142+'Segment - Multi-Asset Investing'!F136</f>
        <v>-729.47</v>
      </c>
      <c r="G193" s="15">
        <f>'Segment - Real Estate'!G187+'Segment - Private Equity'!G189+'Segment - Credit &amp; Insurance'!G142+'Segment - Multi-Asset Investing'!G136</f>
        <v>-880.129</v>
      </c>
      <c r="H193" s="36">
        <f>'Segment - Real Estate'!H187+'Segment - Private Equity'!H189+'Segment - Credit &amp; Insurance'!H142+'Segment - Multi-Asset Investing'!H136</f>
        <v>-753.1186453441424</v>
      </c>
      <c r="I193" s="1"/>
    </row>
    <row r="194">
      <c r="A194" s="1"/>
      <c r="B194" s="31" t="s">
        <v>223</v>
      </c>
      <c r="C194" s="15">
        <f>'Segment - Real Estate'!C193+'Segment - Private Equity'!C195+'Segment - Credit &amp; Insurance'!C148+'Segment - Multi-Asset Investing'!C142</f>
        <v>-356.07</v>
      </c>
      <c r="D194" s="15">
        <f>'Segment - Real Estate'!D193+'Segment - Private Equity'!D195+'Segment - Credit &amp; Insurance'!D148+'Segment - Multi-Asset Investing'!D142</f>
        <v>-418.05100000000004</v>
      </c>
      <c r="E194" s="15">
        <f>'Segment - Real Estate'!E193+'Segment - Private Equity'!E195+'Segment - Credit &amp; Insurance'!E148+'Segment - Multi-Asset Investing'!E142</f>
        <v>-1413.2390000000003</v>
      </c>
      <c r="F194" s="15">
        <f>'Segment - Real Estate'!F193+'Segment - Private Equity'!F195+'Segment - Credit &amp; Insurance'!F148+'Segment - Multi-Asset Investing'!F142</f>
        <v>-343.455</v>
      </c>
      <c r="G194" s="15">
        <f>'Segment - Real Estate'!G193+'Segment - Private Equity'!G195+'Segment - Credit &amp; Insurance'!G148+'Segment - Multi-Asset Investing'!G142</f>
        <v>-380.13</v>
      </c>
      <c r="H194" s="36">
        <f>'Segment - Real Estate'!H193+'Segment - Private Equity'!H195+'Segment - Credit &amp; Insurance'!H148+'Segment - Multi-Asset Investing'!H142</f>
        <v>-378</v>
      </c>
      <c r="I194" s="1"/>
    </row>
    <row r="195">
      <c r="A195" s="1"/>
      <c r="B195" s="54" t="s">
        <v>379</v>
      </c>
      <c r="C195" s="64">
        <f>'Segment - Real Estate'!C196+'Segment - Private Equity'!C198+'Segment - Credit &amp; Insurance'!C151+'Segment - Multi-Asset Investing'!C145</f>
        <v>1480.6770000000001</v>
      </c>
      <c r="D195" s="64">
        <f>'Segment - Real Estate'!D196+'Segment - Private Equity'!D198+'Segment - Credit &amp; Insurance'!D151+'Segment - Multi-Asset Investing'!D145</f>
        <v>1535.301</v>
      </c>
      <c r="E195" s="64">
        <f>'Segment - Real Estate'!E196+'Segment - Private Equity'!E198+'Segment - Credit &amp; Insurance'!E151+'Segment - Multi-Asset Investing'!E145</f>
        <v>5737.537</v>
      </c>
      <c r="F195" s="64">
        <f>'Segment - Real Estate'!F196+'Segment - Private Equity'!F198+'Segment - Credit &amp; Insurance'!F151+'Segment - Multi-Asset Investing'!F145</f>
        <v>1547.9810000000002</v>
      </c>
      <c r="G195" s="64">
        <f>'Segment - Real Estate'!G196+'Segment - Private Equity'!G198+'Segment - Credit &amp; Insurance'!G151+'Segment - Multi-Asset Investing'!G145</f>
        <v>1783.428</v>
      </c>
      <c r="H195" s="82">
        <f>'Segment - Real Estate'!H196+'Segment - Private Equity'!H198+'Segment - Credit &amp; Insurance'!H151+'Segment - Multi-Asset Investing'!H145</f>
        <v>1545.8102240879653</v>
      </c>
      <c r="I195" s="1"/>
    </row>
    <row r="196">
      <c r="A196" s="1"/>
      <c r="B196" s="61" t="s">
        <v>82</v>
      </c>
      <c r="C196" s="55">
        <f>IF(Inputs!C329*C195&gt;0,C195/Inputs!C329-1,"n/m")</f>
        <v>0.2599822832183276</v>
      </c>
      <c r="D196" s="55">
        <f>IF(Inputs!D329*D195&gt;0,D195/Inputs!D329-1,"n/m")</f>
        <v>-0.1637434290473283</v>
      </c>
      <c r="E196" s="55">
        <f>IF(Inputs!E329*E195&gt;0,E195/Inputs!E329-1,"n/m")</f>
        <v>0.08622991197571417</v>
      </c>
      <c r="F196" s="55">
        <f>IF(Inputs!F329*F195&gt;0,F195/Inputs!F329-1,"n/m")</f>
        <v>0.22655492307789848</v>
      </c>
      <c r="G196" s="55">
        <f>IF(Inputs!G329*G195&gt;0,G195/Inputs!G329-1,"n/m")</f>
        <v>0.22194198984174762</v>
      </c>
      <c r="H196" s="56">
        <f>IF(C195*H195&gt;0,H195/C195-1,"n/m")</f>
        <v>0.04398881328471038</v>
      </c>
      <c r="I196" s="1"/>
    </row>
    <row r="197">
      <c r="A197" s="1"/>
      <c r="B197" s="43" t="s">
        <v>118</v>
      </c>
      <c r="C197" s="15">
        <f>C195-Inputs!G329</f>
        <v>21.174000000000206</v>
      </c>
      <c r="D197" s="4">
        <f>D195-C195</f>
        <v>54.623999999999796</v>
      </c>
      <c r="E197" s="4"/>
      <c r="F197" s="4">
        <f>F195-D195</f>
        <v>12.680000000000291</v>
      </c>
      <c r="G197" s="4">
        <f>G195-F195</f>
        <v>235.4469999999999</v>
      </c>
      <c r="H197" s="33">
        <f>H195-G195</f>
        <v>-237.61777591203486</v>
      </c>
      <c r="I197" s="1"/>
    </row>
    <row r="198">
      <c r="A198" s="1"/>
      <c r="B198" s="31" t="s">
        <v>109</v>
      </c>
      <c r="C198" s="15">
        <f>'Segment - Real Estate'!C159+'Segment - Private Equity'!C161+'Segment - Credit &amp; Insurance'!C114+'Segment - Multi-Asset Investing'!C108</f>
        <v>744.9530000000001</v>
      </c>
      <c r="D198" s="15">
        <f>'Segment - Real Estate'!D159+'Segment - Private Equity'!D161+'Segment - Credit &amp; Insurance'!D114+'Segment - Multi-Asset Investing'!D108</f>
        <v>1057.432</v>
      </c>
      <c r="E198" s="15">
        <f>'Segment - Real Estate'!E159+'Segment - Private Equity'!E161+'Segment - Credit &amp; Insurance'!E114+'Segment - Multi-Asset Investing'!E108</f>
        <v>2815.5290000000005</v>
      </c>
      <c r="F198" s="15">
        <f>'Segment - Real Estate'!F159+'Segment - Private Equity'!F161+'Segment - Credit &amp; Insurance'!F114+'Segment - Multi-Asset Investing'!F108</f>
        <v>780.4939999999999</v>
      </c>
      <c r="G198" s="15">
        <f>'Segment - Real Estate'!G159+'Segment - Private Equity'!G161+'Segment - Credit &amp; Insurance'!G114+'Segment - Multi-Asset Investing'!G108</f>
        <v>730.8849999999999</v>
      </c>
      <c r="H198" s="36">
        <f>'Segment - Real Estate'!H159+'Segment - Private Equity'!H161+'Segment - Credit &amp; Insurance'!H114+'Segment - Multi-Asset Investing'!H108</f>
        <v>419.67405995626643</v>
      </c>
      <c r="I198" s="1"/>
    </row>
    <row r="199">
      <c r="A199" s="1"/>
      <c r="B199" s="61" t="s">
        <v>82</v>
      </c>
      <c r="C199" s="55">
        <f>IF(Inputs!C330*C198&gt;0,C198/Inputs!C330-1,"n/m")</f>
        <v>1.1739725507705692</v>
      </c>
      <c r="D199" s="55">
        <f>IF(Inputs!D330*D198&gt;0,D198/Inputs!D330-1,"n/m")</f>
        <v>0.2223516900171083</v>
      </c>
      <c r="E199" s="55">
        <f>IF(Inputs!E330*E198&gt;0,E198/Inputs!E330-1,"n/m")</f>
        <v>0.23108475573789788</v>
      </c>
      <c r="F199" s="55">
        <f>IF(Inputs!F330*F198&gt;0,F198/Inputs!F330-1,"n/m")</f>
        <v>0.6966412548937768</v>
      </c>
      <c r="G199" s="55">
        <f>IF(Inputs!G330*G198&gt;0,G198/Inputs!G330-1,"n/m")</f>
        <v>0.3213835670676035</v>
      </c>
      <c r="H199" s="56">
        <f>IF(C198*H198&gt;0,H198/C198-1,"n/m")</f>
        <v>-0.436643573545893</v>
      </c>
      <c r="I199" s="1"/>
    </row>
    <row r="200">
      <c r="A200" s="1"/>
      <c r="B200" s="43" t="s">
        <v>118</v>
      </c>
      <c r="C200" s="15">
        <f>C198-Inputs!G330</f>
        <v>191.8320000000001</v>
      </c>
      <c r="D200" s="4">
        <f>D198-C198</f>
        <v>312.4789999999999</v>
      </c>
      <c r="E200" s="4"/>
      <c r="F200" s="4">
        <f>F198-D198</f>
        <v>-276.9380000000001</v>
      </c>
      <c r="G200" s="4">
        <f>G198-F198</f>
        <v>-49.60900000000004</v>
      </c>
      <c r="H200" s="33">
        <f>H198-G198</f>
        <v>-311.21094004373344</v>
      </c>
      <c r="I200" s="1"/>
    </row>
    <row r="201">
      <c r="A201" s="1"/>
      <c r="B201" s="61" t="s">
        <v>85</v>
      </c>
      <c r="C201" s="58" t="s">
        <v>86</v>
      </c>
      <c r="D201" s="58" t="s">
        <v>86</v>
      </c>
      <c r="E201" s="58" t="s">
        <v>86</v>
      </c>
      <c r="F201" s="58" t="s">
        <v>86</v>
      </c>
      <c r="G201" s="58" t="s">
        <v>86</v>
      </c>
      <c r="H201" s="56" t="s">
        <v>86</v>
      </c>
      <c r="I201" s="8" t="s">
        <v>94</v>
      </c>
    </row>
    <row r="202">
      <c r="A202" s="1"/>
      <c r="B202" s="61" t="s">
        <v>88</v>
      </c>
      <c r="C202" s="58" t="s">
        <v>86</v>
      </c>
      <c r="D202" s="58" t="s">
        <v>86</v>
      </c>
      <c r="E202" s="58" t="s">
        <v>86</v>
      </c>
      <c r="F202" s="58" t="s">
        <v>86</v>
      </c>
      <c r="G202" s="58" t="s">
        <v>86</v>
      </c>
      <c r="H202" s="56" t="s">
        <v>86</v>
      </c>
      <c r="I202" s="8" t="s">
        <v>95</v>
      </c>
    </row>
    <row r="203">
      <c r="A203" s="1"/>
      <c r="B203" s="61" t="s">
        <v>89</v>
      </c>
      <c r="C203" s="58" t="s">
        <v>86</v>
      </c>
      <c r="D203" s="58" t="s">
        <v>86</v>
      </c>
      <c r="E203" s="58" t="s">
        <v>86</v>
      </c>
      <c r="F203" s="58" t="s">
        <v>86</v>
      </c>
      <c r="G203" s="58" t="s">
        <v>86</v>
      </c>
      <c r="H203" s="56" t="s">
        <v>86</v>
      </c>
      <c r="I203" s="8" t="s">
        <v>95</v>
      </c>
    </row>
    <row r="204">
      <c r="A204" s="1"/>
      <c r="B204" s="31" t="s">
        <v>380</v>
      </c>
      <c r="C204" s="15">
        <f>'Segment - Real Estate'!C202+'Segment - Private Equity'!C204+'Segment - Credit &amp; Insurance'!C157+'Segment - Multi-Asset Investing'!C151</f>
        <v>-302.642</v>
      </c>
      <c r="D204" s="15">
        <f>'Segment - Real Estate'!D202+'Segment - Private Equity'!D204+'Segment - Credit &amp; Insurance'!D157+'Segment - Multi-Asset Investing'!D151</f>
        <v>-310.405</v>
      </c>
      <c r="E204" s="15">
        <f>'Segment - Real Estate'!E202+'Segment - Private Equity'!E204+'Segment - Credit &amp; Insurance'!E157+'Segment - Multi-Asset Investing'!E151</f>
        <v>-1090.5949999999998</v>
      </c>
      <c r="F204" s="15">
        <f>'Segment - Real Estate'!F202+'Segment - Private Equity'!F204+'Segment - Credit &amp; Insurance'!F157+'Segment - Multi-Asset Investing'!F151</f>
        <v>-364.05600000000004</v>
      </c>
      <c r="G204" s="15">
        <f>'Segment - Real Estate'!G202+'Segment - Private Equity'!G204+'Segment - Credit &amp; Insurance'!G157+'Segment - Multi-Asset Investing'!G151</f>
        <v>-344.124</v>
      </c>
      <c r="H204" s="36">
        <f>'Segment - Real Estate'!H202+'Segment - Private Equity'!H204+'Segment - Credit &amp; Insurance'!H157+'Segment - Multi-Asset Investing'!H151</f>
        <v>-193.0081001738869</v>
      </c>
      <c r="I204" s="1"/>
    </row>
    <row r="205">
      <c r="A205" s="1"/>
      <c r="B205" s="31" t="s">
        <v>381</v>
      </c>
      <c r="C205" s="15">
        <f>'Segment - Real Estate'!C168+'Segment - Private Equity'!C170+'Segment - Credit &amp; Insurance'!C123+'Segment - Multi-Asset Investing'!C117</f>
        <v>62.535000000000004</v>
      </c>
      <c r="D205" s="15">
        <f>'Segment - Real Estate'!D168+'Segment - Private Equity'!D170+'Segment - Credit &amp; Insurance'!D123+'Segment - Multi-Asset Investing'!D117</f>
        <v>209.877</v>
      </c>
      <c r="E205" s="15">
        <f>'Segment - Real Estate'!E168+'Segment - Private Equity'!E170+'Segment - Credit &amp; Insurance'!E123+'Segment - Multi-Asset Investing'!E117</f>
        <v>419.743</v>
      </c>
      <c r="F205" s="15">
        <f>'Segment - Real Estate'!F168+'Segment - Private Equity'!F170+'Segment - Credit &amp; Insurance'!F123+'Segment - Multi-Asset Investing'!F117</f>
        <v>31.973000000000003</v>
      </c>
      <c r="G205" s="15">
        <f>'Segment - Real Estate'!G168+'Segment - Private Equity'!G170+'Segment - Credit &amp; Insurance'!G123+'Segment - Multi-Asset Investing'!G117</f>
        <v>27.499000000000002</v>
      </c>
      <c r="H205" s="36">
        <f>'Segment - Real Estate'!H168+'Segment - Private Equity'!H170+'Segment - Credit &amp; Insurance'!H123+'Segment - Multi-Asset Investing'!H117</f>
        <v>57.22828090312723</v>
      </c>
      <c r="I205" s="1"/>
    </row>
    <row r="206">
      <c r="A206" s="1"/>
      <c r="B206" s="61" t="s">
        <v>82</v>
      </c>
      <c r="C206" s="55">
        <f>IF(Inputs!C331*C205&gt;0,C205/Inputs!C331-1,"n/m")</f>
        <v>0.5477811053634634</v>
      </c>
      <c r="D206" s="55">
        <f>IF(Inputs!D331*D205&gt;0,D205/Inputs!D331-1,"n/m")</f>
        <v>7.194159216023113</v>
      </c>
      <c r="E206" s="55">
        <f>IF(Inputs!E331*E205&gt;0,E205/Inputs!E331-1,"n/m")</f>
        <v>3.5364870414802327</v>
      </c>
      <c r="F206" s="55">
        <f>IF(Inputs!F331*F205&gt;0,F205/Inputs!F331-1,"n/m")</f>
        <v>-0.7288355525400729</v>
      </c>
      <c r="G206" s="55">
        <f>IF(Inputs!G331*G205&gt;0,G205/Inputs!G331-1,"n/m")</f>
        <v>-0.06532748716902881</v>
      </c>
      <c r="H206" s="56">
        <f>IF(C205*H205&gt;0,H205/C205-1,"n/m")</f>
        <v>-0.08485998395894745</v>
      </c>
      <c r="I206" s="1"/>
    </row>
    <row r="207">
      <c r="A207" s="1"/>
      <c r="B207" s="43" t="s">
        <v>118</v>
      </c>
      <c r="C207" s="15">
        <f>C205-Inputs!G331</f>
        <v>33.114000000000004</v>
      </c>
      <c r="D207" s="4">
        <f>D205-C205</f>
        <v>147.342</v>
      </c>
      <c r="E207" s="4"/>
      <c r="F207" s="4">
        <f>F205-D205</f>
        <v>-177.904</v>
      </c>
      <c r="G207" s="4">
        <f>G205-F205</f>
        <v>-4.474</v>
      </c>
      <c r="H207" s="33">
        <f>H205-G205</f>
        <v>29.729280903127226</v>
      </c>
      <c r="I207" s="1"/>
    </row>
    <row r="208">
      <c r="A208" s="1"/>
      <c r="B208" s="61" t="s">
        <v>85</v>
      </c>
      <c r="C208" s="58" t="s">
        <v>86</v>
      </c>
      <c r="D208" s="58" t="s">
        <v>86</v>
      </c>
      <c r="E208" s="58" t="s">
        <v>86</v>
      </c>
      <c r="F208" s="58" t="s">
        <v>86</v>
      </c>
      <c r="G208" s="58" t="s">
        <v>86</v>
      </c>
      <c r="H208" s="56" t="s">
        <v>86</v>
      </c>
      <c r="I208" s="8" t="s">
        <v>94</v>
      </c>
    </row>
    <row r="209">
      <c r="A209" s="1"/>
      <c r="B209" s="61" t="s">
        <v>88</v>
      </c>
      <c r="C209" s="58" t="s">
        <v>86</v>
      </c>
      <c r="D209" s="58" t="s">
        <v>86</v>
      </c>
      <c r="E209" s="58" t="s">
        <v>86</v>
      </c>
      <c r="F209" s="58" t="s">
        <v>86</v>
      </c>
      <c r="G209" s="58" t="s">
        <v>86</v>
      </c>
      <c r="H209" s="56" t="s">
        <v>86</v>
      </c>
      <c r="I209" s="8" t="s">
        <v>95</v>
      </c>
    </row>
    <row r="210">
      <c r="A210" s="1"/>
      <c r="B210" s="61" t="s">
        <v>89</v>
      </c>
      <c r="C210" s="58" t="s">
        <v>86</v>
      </c>
      <c r="D210" s="58" t="s">
        <v>86</v>
      </c>
      <c r="E210" s="58" t="s">
        <v>86</v>
      </c>
      <c r="F210" s="58" t="s">
        <v>86</v>
      </c>
      <c r="G210" s="58" t="s">
        <v>86</v>
      </c>
      <c r="H210" s="56" t="s">
        <v>86</v>
      </c>
      <c r="I210" s="8" t="s">
        <v>95</v>
      </c>
    </row>
    <row r="211">
      <c r="A211" s="1"/>
      <c r="B211" s="54" t="s">
        <v>229</v>
      </c>
      <c r="C211" s="64">
        <f>'Segment - Real Estate'!C208+'Segment - Private Equity'!C210+'Segment - Credit &amp; Insurance'!C163+'Segment - Multi-Asset Investing'!C157</f>
        <v>504.846</v>
      </c>
      <c r="D211" s="64">
        <f>'Segment - Real Estate'!D208+'Segment - Private Equity'!D210+'Segment - Credit &amp; Insurance'!D163+'Segment - Multi-Asset Investing'!D157</f>
        <v>956.904</v>
      </c>
      <c r="E211" s="64">
        <f>'Segment - Real Estate'!E208+'Segment - Private Equity'!E210+'Segment - Credit &amp; Insurance'!E163+'Segment - Multi-Asset Investing'!E157</f>
        <v>2144.677</v>
      </c>
      <c r="F211" s="64">
        <f>'Segment - Real Estate'!F208+'Segment - Private Equity'!F210+'Segment - Credit &amp; Insurance'!F163+'Segment - Multi-Asset Investing'!F157</f>
        <v>448.411</v>
      </c>
      <c r="G211" s="64">
        <f>'Segment - Real Estate'!G208+'Segment - Private Equity'!G210+'Segment - Credit &amp; Insurance'!G163+'Segment - Multi-Asset Investing'!G157</f>
        <v>414.26000000000005</v>
      </c>
      <c r="H211" s="82">
        <f>'Segment - Real Estate'!H208+'Segment - Private Equity'!H210+'Segment - Credit &amp; Insurance'!H163+'Segment - Multi-Asset Investing'!H157</f>
        <v>283.89424068550676</v>
      </c>
      <c r="I211" s="1"/>
    </row>
    <row r="212">
      <c r="A212" s="1"/>
      <c r="B212" s="61" t="s">
        <v>82</v>
      </c>
      <c r="C212" s="55">
        <f>IF(Inputs!C332*C211&gt;0,C211/Inputs!C332-1,"n/m")</f>
        <v>1.2387650663852203</v>
      </c>
      <c r="D212" s="55">
        <f>IF(Inputs!D332*D211&gt;0,D211/Inputs!D332-1,"n/m")</f>
        <v>0.5919267740035736</v>
      </c>
      <c r="E212" s="55">
        <f>IF(Inputs!E332*E211&gt;0,E211/Inputs!E332-1,"n/m")</f>
        <v>0.5015476321333381</v>
      </c>
      <c r="F212" s="55">
        <f>IF(Inputs!F332*F211&gt;0,F211/Inputs!F332-1,"n/m")</f>
        <v>0.25602155687951833</v>
      </c>
      <c r="G212" s="55">
        <f>IF(Inputs!G332*G211&gt;0,G211/Inputs!G332-1,"n/m")</f>
        <v>0.27105590976871485</v>
      </c>
      <c r="H212" s="56">
        <f>IF(C211*H211&gt;0,H211/C211-1,"n/m")</f>
        <v>-0.4376617014188351</v>
      </c>
      <c r="I212" s="1"/>
    </row>
    <row r="213">
      <c r="A213" s="1"/>
      <c r="B213" s="43" t="s">
        <v>118</v>
      </c>
      <c r="C213" s="15">
        <f>C211-Inputs!G332</f>
        <v>178.928</v>
      </c>
      <c r="D213" s="4">
        <f>D211-C211</f>
        <v>452.058</v>
      </c>
      <c r="E213" s="4"/>
      <c r="F213" s="4">
        <f>F211-D211</f>
        <v>-508.493</v>
      </c>
      <c r="G213" s="4">
        <f>G211-F211</f>
        <v>-34.150999999999954</v>
      </c>
      <c r="H213" s="33">
        <f>H211-G211</f>
        <v>-130.3657593144933</v>
      </c>
      <c r="I213" s="1"/>
    </row>
    <row r="214">
      <c r="A214" s="1"/>
      <c r="B214" s="54" t="s">
        <v>382</v>
      </c>
      <c r="C214" s="64">
        <f>'Segment - Real Estate'!C211+'Segment - Private Equity'!C213+'Segment - Credit &amp; Insurance'!C166+'Segment - Multi-Asset Investing'!C160</f>
        <v>1985.5230000000001</v>
      </c>
      <c r="D214" s="64">
        <f>'Segment - Real Estate'!D211+'Segment - Private Equity'!D213+'Segment - Credit &amp; Insurance'!D166+'Segment - Multi-Asset Investing'!D160</f>
        <v>2492.205</v>
      </c>
      <c r="E214" s="64">
        <f>'Segment - Real Estate'!E211+'Segment - Private Equity'!E213+'Segment - Credit &amp; Insurance'!E166+'Segment - Multi-Asset Investing'!E160</f>
        <v>7882.214000000001</v>
      </c>
      <c r="F214" s="64">
        <f>'Segment - Real Estate'!F211+'Segment - Private Equity'!F213+'Segment - Credit &amp; Insurance'!F166+'Segment - Multi-Asset Investing'!F160</f>
        <v>1996.392</v>
      </c>
      <c r="G214" s="64">
        <f>'Segment - Real Estate'!G211+'Segment - Private Equity'!G213+'Segment - Credit &amp; Insurance'!G166+'Segment - Multi-Asset Investing'!G160</f>
        <v>2197.688</v>
      </c>
      <c r="H214" s="82">
        <f>'Segment - Real Estate'!H211+'Segment - Private Equity'!H213+'Segment - Credit &amp; Insurance'!H166+'Segment - Multi-Asset Investing'!H160</f>
        <v>1829.704464773472</v>
      </c>
      <c r="I214" s="1"/>
    </row>
    <row r="215">
      <c r="A215" s="1"/>
      <c r="B215" s="61" t="s">
        <v>82</v>
      </c>
      <c r="C215" s="55">
        <f>IF(Inputs!C333*C214&gt;0,C214/Inputs!C333-1,"n/m")</f>
        <v>0.4175634469203424</v>
      </c>
      <c r="D215" s="55">
        <f>IF(Inputs!D333*D214&gt;0,D214/Inputs!D333-1,"n/m")</f>
        <v>0.022644878845835992</v>
      </c>
      <c r="E215" s="55">
        <f>IF(Inputs!E333*E214&gt;0,E214/Inputs!E333-1,"n/m")</f>
        <v>0.17463075094450753</v>
      </c>
      <c r="F215" s="55">
        <f>IF(Inputs!F333*F214&gt;0,F214/Inputs!F333-1,"n/m")</f>
        <v>0.23305240987854092</v>
      </c>
      <c r="G215" s="55">
        <f>IF(Inputs!G333*G214&gt;0,G214/Inputs!G333-1,"n/m")</f>
        <v>0.23090744423864185</v>
      </c>
      <c r="H215" s="56">
        <f>IF(C214*H214&gt;0,H214/C214-1,"n/m")</f>
        <v>-0.07847732573560129</v>
      </c>
      <c r="I215" s="1"/>
    </row>
    <row r="216">
      <c r="A216" s="1"/>
      <c r="B216" s="43" t="s">
        <v>118</v>
      </c>
      <c r="C216" s="15">
        <f>C214-Inputs!G333</f>
        <v>200.1020000000001</v>
      </c>
      <c r="D216" s="4">
        <f>D214-C214</f>
        <v>506.6819999999998</v>
      </c>
      <c r="E216" s="4"/>
      <c r="F216" s="4">
        <f>F214-D214</f>
        <v>-495.8129999999999</v>
      </c>
      <c r="G216" s="4">
        <f>G214-F214</f>
        <v>201.29600000000005</v>
      </c>
      <c r="H216" s="33">
        <f>H214-G214</f>
        <v>-367.98353522652815</v>
      </c>
      <c r="I216" s="1"/>
    </row>
    <row r="217">
      <c r="A217" s="1"/>
      <c r="B217" s="40" t="s">
        <v>225</v>
      </c>
      <c r="C217" s="58">
        <f>C195/C187</f>
        <v>0.5934962510591869</v>
      </c>
      <c r="D217" s="58">
        <f>D195/D187</f>
        <v>0.5753069700794105</v>
      </c>
      <c r="E217" s="58">
        <f>E195/E187</f>
        <v>0.5829955198797905</v>
      </c>
      <c r="F217" s="58">
        <f>F195/F187</f>
        <v>0.5906282026139054</v>
      </c>
      <c r="G217" s="58">
        <f>G195/G187</f>
        <v>0.5859432983746358</v>
      </c>
      <c r="H217" s="56">
        <f>H195/H187</f>
        <v>0.5774565927916862</v>
      </c>
      <c r="I217" s="1"/>
    </row>
    <row r="218">
      <c r="A218" s="1"/>
      <c r="B218" s="43" t="s">
        <v>121</v>
      </c>
      <c r="C218" s="57">
        <f>IFERROR((C217-(Inputs!G329/Inputs!G328))*10000,"n/m")</f>
        <v>78.3546091833165</v>
      </c>
      <c r="D218" s="62">
        <f>IFERROR((D217-C217)*10000,"n/m")</f>
        <v>-181.89280979776456</v>
      </c>
      <c r="E218" s="62"/>
      <c r="F218" s="62">
        <f>IFERROR((F217-D217)*10000,"n/m")</f>
        <v>153.2123253449491</v>
      </c>
      <c r="G218" s="62">
        <f>IFERROR((G217-F217)*10000,"n/m")</f>
        <v>-46.849042392695935</v>
      </c>
      <c r="H218" s="59">
        <f>IFERROR((H217-G217)*10000,"n/m")</f>
        <v>-84.86705582949617</v>
      </c>
      <c r="I218" s="1"/>
    </row>
    <row r="219">
      <c r="A219" s="1"/>
      <c r="B219" s="43" t="s">
        <v>122</v>
      </c>
      <c r="C219" s="57">
        <f>IFERROR((C217-(Inputs!C329/Inputs!C328))*10000,"n/m")</f>
        <v>204.82332338275677</v>
      </c>
      <c r="D219" s="57">
        <f>IFERROR((D217-(Inputs!D329/Inputs!D328))*10000,"n/m")</f>
        <v>118.93359127111425</v>
      </c>
      <c r="E219" s="57">
        <f>IFERROR((E217-(Inputs!E329/Inputs!E328))*10000,"n/m")</f>
        <v>131.6144398404706</v>
      </c>
      <c r="F219" s="57">
        <f>IFERROR((F217-(Inputs!F329/Inputs!F328))*10000,"n/m")</f>
        <v>132.69451373576936</v>
      </c>
      <c r="G219" s="57">
        <f>IFERROR((G217-(Inputs!G329/Inputs!G328))*10000,"n/m")</f>
        <v>2.825082337805096</v>
      </c>
      <c r="H219" s="59">
        <f>IFERROR((H217-C217)*10000,"n/m")</f>
        <v>-160.39658267500755</v>
      </c>
      <c r="I219" s="1"/>
    </row>
    <row r="220">
      <c r="A220" s="1"/>
      <c r="B220" s="1"/>
      <c r="C220" s="3"/>
      <c r="D220" s="3"/>
      <c r="E220" s="3"/>
      <c r="F220" s="3"/>
      <c r="G220" s="3"/>
      <c r="H220" s="37"/>
      <c r="I220" s="1"/>
    </row>
    <row r="221">
      <c r="A221" s="1"/>
      <c r="B221" s="2" t="s">
        <v>383</v>
      </c>
      <c r="C221" s="4"/>
      <c r="D221" s="4"/>
      <c r="E221" s="4"/>
      <c r="F221" s="4"/>
      <c r="G221" s="4"/>
      <c r="H221" s="33"/>
      <c r="I221" s="1"/>
    </row>
    <row r="222">
      <c r="A222" s="1"/>
      <c r="B222" s="31" t="s">
        <v>382</v>
      </c>
      <c r="C222" s="4">
        <f>C214</f>
        <v>1985.5230000000001</v>
      </c>
      <c r="D222" s="4">
        <f>D214</f>
        <v>2492.205</v>
      </c>
      <c r="E222" s="4">
        <f>E214</f>
        <v>7882.214000000001</v>
      </c>
      <c r="F222" s="4">
        <f>F214</f>
        <v>1996.392</v>
      </c>
      <c r="G222" s="4">
        <f>G214</f>
        <v>2197.688</v>
      </c>
      <c r="H222" s="33">
        <f>H214</f>
        <v>1829.704464773472</v>
      </c>
      <c r="I222" s="1"/>
    </row>
    <row r="223">
      <c r="A223" s="1"/>
      <c r="B223" s="31" t="s">
        <v>384</v>
      </c>
      <c r="C223" s="26">
        <v>-18.552</v>
      </c>
      <c r="D223" s="26">
        <v>-17.276</v>
      </c>
      <c r="E223" s="15">
        <f>Inputs!F334+Inputs!G334+C223+D223</f>
        <v>-81.001</v>
      </c>
      <c r="F223" s="26">
        <v>-22.118</v>
      </c>
      <c r="G223" s="26">
        <v>-10.606</v>
      </c>
      <c r="H223" s="60">
        <v>-12</v>
      </c>
      <c r="I223" s="8" t="s">
        <v>155</v>
      </c>
    </row>
    <row r="224">
      <c r="A224" s="1"/>
      <c r="B224" s="61" t="s">
        <v>82</v>
      </c>
      <c r="C224" s="55">
        <f>IF(Inputs!C334*C223&gt;0,C223/Inputs!C334-1,"n/m")</f>
        <v>9.717504332755631</v>
      </c>
      <c r="D224" s="55">
        <f>IF(Inputs!D334*D223&gt;0,D223/Inputs!D334-1,"n/m")</f>
        <v>-0.06515151515151518</v>
      </c>
      <c r="E224" s="55">
        <f>IF(Inputs!E334*E223&gt;0,E223/Inputs!E334-1,"n/m")</f>
        <v>1.4224960373239228</v>
      </c>
      <c r="F224" s="55">
        <f>IF(Inputs!F334*F223&gt;0,F223/Inputs!F334-1,"n/m")</f>
        <v>0.07735021919142704</v>
      </c>
      <c r="G224" s="55">
        <f>IF(Inputs!G334*G223&gt;0,G223/Inputs!G334-1,"n/m")</f>
        <v>-0.5696140891936858</v>
      </c>
      <c r="H224" s="56">
        <f>IF(C223*H223&gt;0,H223/C223-1,"n/m")</f>
        <v>-0.353169469598965</v>
      </c>
      <c r="I224" s="1"/>
    </row>
    <row r="225">
      <c r="A225" s="1"/>
      <c r="B225" s="43" t="s">
        <v>118</v>
      </c>
      <c r="C225" s="15">
        <f>C223-Inputs!G334</f>
        <v>6.091000000000001</v>
      </c>
      <c r="D225" s="4">
        <f>D223-C223</f>
        <v>1.2759999999999998</v>
      </c>
      <c r="E225" s="4"/>
      <c r="F225" s="4">
        <f>F223-D223</f>
        <v>-4.841999999999999</v>
      </c>
      <c r="G225" s="4">
        <f>G223-F223</f>
        <v>11.511999999999999</v>
      </c>
      <c r="H225" s="33">
        <f>H223-G223</f>
        <v>-1.3940000000000001</v>
      </c>
      <c r="I225" s="1"/>
    </row>
    <row r="226">
      <c r="A226" s="1"/>
      <c r="B226" s="54" t="s">
        <v>385</v>
      </c>
      <c r="C226" s="32">
        <f>C222+C223</f>
        <v>1966.9710000000002</v>
      </c>
      <c r="D226" s="32">
        <f>D222+D223</f>
        <v>2474.929</v>
      </c>
      <c r="E226" s="32">
        <f>E222+E223</f>
        <v>7801.213000000001</v>
      </c>
      <c r="F226" s="32">
        <f>F222+F223</f>
        <v>1974.2740000000001</v>
      </c>
      <c r="G226" s="32">
        <f>G222+G223</f>
        <v>2187.082</v>
      </c>
      <c r="H226" s="44">
        <f>H222+H223</f>
        <v>1817.704464773472</v>
      </c>
      <c r="I226" s="1"/>
    </row>
    <row r="227">
      <c r="A227" s="1"/>
      <c r="B227" s="40" t="s">
        <v>386</v>
      </c>
      <c r="C227" s="58">
        <f>-C230/C226</f>
        <v>0.03939254823787437</v>
      </c>
      <c r="D227" s="58">
        <f>-D230/D226</f>
        <v>0.09298044509559668</v>
      </c>
      <c r="E227" s="58">
        <f>-E230/E226</f>
        <v>0.08849252032985125</v>
      </c>
      <c r="F227" s="58">
        <f>-F230/F226</f>
        <v>0.10608253970826745</v>
      </c>
      <c r="G227" s="58">
        <f>-G230/G226</f>
        <v>0.09594199028660105</v>
      </c>
      <c r="H227" s="71">
        <v>0.085</v>
      </c>
      <c r="I227" s="8" t="s">
        <v>387</v>
      </c>
    </row>
    <row r="228">
      <c r="A228" s="1"/>
      <c r="B228" s="43" t="s">
        <v>121</v>
      </c>
      <c r="C228" s="57">
        <f>IFERROR((C227-(-Inputs!G335/Inputs!G336))*10000,"n/m")</f>
        <v>-713.6247028234793</v>
      </c>
      <c r="D228" s="62">
        <f>IFERROR((D227-C227)*10000,"n/m")</f>
        <v>535.8789685772231</v>
      </c>
      <c r="E228" s="62"/>
      <c r="F228" s="62">
        <f>IFERROR((F227-D227)*10000,"n/m")</f>
        <v>131.0209461267077</v>
      </c>
      <c r="G228" s="62">
        <f>IFERROR((G227-F227)*10000,"n/m")</f>
        <v>-101.40549421666395</v>
      </c>
      <c r="H228" s="59">
        <f>IFERROR((H227-G227)*10000,"n/m")</f>
        <v>-109.41990286601047</v>
      </c>
      <c r="I228" s="1"/>
    </row>
    <row r="229">
      <c r="A229" s="1"/>
      <c r="B229" s="43" t="s">
        <v>122</v>
      </c>
      <c r="C229" s="57">
        <f>IFERROR((C227-(-Inputs!C335/Inputs!C336))*10000,"n/m")</f>
        <v>-465.86144017910055</v>
      </c>
      <c r="D229" s="57">
        <f>IFERROR((D227-(-Inputs!D335/Inputs!D336))*10000,"n/m")</f>
        <v>-99.93292354988151</v>
      </c>
      <c r="E229" s="57">
        <f>IFERROR((E227-(-Inputs!E335/Inputs!E336))*10000,"n/m")</f>
        <v>-178.7313614836429</v>
      </c>
      <c r="F229" s="57">
        <f>IFERROR((F227-(-Inputs!F335/Inputs!F336))*10000,"n/m")</f>
        <v>-113.56240174562757</v>
      </c>
      <c r="G229" s="57">
        <f>IFERROR((G227-(-Inputs!G335/Inputs!G336))*10000,"n/m")</f>
        <v>-148.13028233621253</v>
      </c>
      <c r="H229" s="59">
        <f>IFERROR((H227-C227)*10000,"n/m")</f>
        <v>456.07451762125635</v>
      </c>
      <c r="I229" s="1"/>
    </row>
    <row r="230">
      <c r="A230" s="1"/>
      <c r="B230" s="31" t="s">
        <v>388</v>
      </c>
      <c r="C230" s="26">
        <v>-77.484</v>
      </c>
      <c r="D230" s="26">
        <v>-230.12</v>
      </c>
      <c r="E230" s="15">
        <f>Inputs!F335+Inputs!G335+C230+D230</f>
        <v>-690.3489999999999</v>
      </c>
      <c r="F230" s="26">
        <v>-209.436</v>
      </c>
      <c r="G230" s="26">
        <v>-209.833</v>
      </c>
      <c r="H230" s="33">
        <f>-H227*H226</f>
        <v>-154.50487950574512</v>
      </c>
      <c r="I230" s="1"/>
    </row>
    <row r="231">
      <c r="A231" s="1"/>
      <c r="B231" s="54" t="s">
        <v>389</v>
      </c>
      <c r="C231" s="32">
        <f>C226+C230</f>
        <v>1889.4870000000003</v>
      </c>
      <c r="D231" s="32">
        <f>D226+D230</f>
        <v>2244.809</v>
      </c>
      <c r="E231" s="32">
        <f>E226+E230</f>
        <v>7110.8640000000005</v>
      </c>
      <c r="F231" s="32">
        <f>F226+F230</f>
        <v>1764.8380000000002</v>
      </c>
      <c r="G231" s="32">
        <f>G226+G230</f>
        <v>1977.2489999999998</v>
      </c>
      <c r="H231" s="44">
        <f>H226+H230</f>
        <v>1663.199585267727</v>
      </c>
      <c r="I231" s="1"/>
    </row>
    <row r="232">
      <c r="A232" s="1"/>
      <c r="B232" s="61" t="s">
        <v>82</v>
      </c>
      <c r="C232" s="55">
        <f>IF(Inputs!C337*C231&gt;0,C231/Inputs!C337-1,"n/m")</f>
        <v>0.4777202518281001</v>
      </c>
      <c r="D232" s="55">
        <f>IF(Inputs!D337*D231&gt;0,D231/Inputs!D337-1,"n/m")</f>
        <v>0.03471594515400622</v>
      </c>
      <c r="E232" s="55">
        <f>IF(Inputs!E337*E231&gt;0,E231/Inputs!E337-1,"n/m")</f>
        <v>0.19174986952678696</v>
      </c>
      <c r="F232" s="55">
        <f>IF(Inputs!F337*F231&gt;0,F231/Inputs!F337-1,"n/m")</f>
        <v>0.25094396461594637</v>
      </c>
      <c r="G232" s="55">
        <f>IF(Inputs!G337*G231&gt;0,G231/Inputs!G337-1,"n/m")</f>
        <v>0.2628022248577848</v>
      </c>
      <c r="H232" s="56">
        <f>IF(C231*H231&gt;0,H231/C231-1,"n/m")</f>
        <v>-0.11976129750152997</v>
      </c>
      <c r="I232" s="1"/>
    </row>
    <row r="233">
      <c r="A233" s="1"/>
      <c r="B233" s="61" t="s">
        <v>83</v>
      </c>
      <c r="C233" s="55">
        <f>IF(Inputs!G337*C231&gt;0,C231/Inputs!G337-1,"n/m")</f>
        <v>0.20675159650598496</v>
      </c>
      <c r="D233" s="58">
        <f>IF(C231*D231&gt;0,D231/C231-1,"n/m")</f>
        <v>0.18805210091416336</v>
      </c>
      <c r="E233" s="58"/>
      <c r="F233" s="58">
        <f>IF(D231*F231&gt;0,F231/D231-1,"n/m")</f>
        <v>-0.2138137364916124</v>
      </c>
      <c r="G233" s="58">
        <f>IF(F231*G231&gt;0,G231/F231-1,"n/m")</f>
        <v>0.12035722258926862</v>
      </c>
      <c r="H233" s="56">
        <f>IF(G231*H231&gt;0,H231/G231-1,"n/m")</f>
        <v>-0.15883149503794058</v>
      </c>
      <c r="I233" s="1"/>
    </row>
    <row r="234">
      <c r="A234" s="1"/>
      <c r="B234" s="43" t="s">
        <v>118</v>
      </c>
      <c r="C234" s="15">
        <f>C231-Inputs!G337</f>
        <v>323.7240000000004</v>
      </c>
      <c r="D234" s="4">
        <f>D231-C231</f>
        <v>355.3219999999999</v>
      </c>
      <c r="E234" s="4"/>
      <c r="F234" s="4">
        <f>F231-D231</f>
        <v>-479.971</v>
      </c>
      <c r="G234" s="4">
        <f>G231-F231</f>
        <v>212.4109999999996</v>
      </c>
      <c r="H234" s="33">
        <f>H231-G231</f>
        <v>-314.0494147322729</v>
      </c>
      <c r="I234" s="1"/>
    </row>
    <row r="235">
      <c r="A235" s="1"/>
      <c r="B235" s="43" t="s">
        <v>390</v>
      </c>
      <c r="C235" s="26">
        <v>1889.487</v>
      </c>
      <c r="D235" s="26">
        <v>2244.809</v>
      </c>
      <c r="E235" s="26">
        <v>7110.864</v>
      </c>
      <c r="F235" s="26">
        <v>1764.838</v>
      </c>
      <c r="G235" s="26">
        <v>1977.249</v>
      </c>
      <c r="H235" s="33"/>
      <c r="I235" s="1"/>
    </row>
    <row r="236">
      <c r="A236" s="1"/>
      <c r="B236" s="43" t="s">
        <v>218</v>
      </c>
      <c r="C236" s="4">
        <f>ROUND(C231-C235,3)</f>
        <v>0</v>
      </c>
      <c r="D236" s="4">
        <f>ROUND(D231-D235,3)</f>
        <v>0</v>
      </c>
      <c r="E236" s="4">
        <f>ROUND(E231-E235,3)</f>
        <v>0</v>
      </c>
      <c r="F236" s="4">
        <f>ROUND(F231-F235,3)</f>
        <v>0</v>
      </c>
      <c r="G236" s="4">
        <f>ROUND(G231-G235,3)</f>
        <v>0</v>
      </c>
      <c r="H236" s="33"/>
      <c r="I236" s="1"/>
    </row>
    <row r="237">
      <c r="A237" s="1"/>
      <c r="B237" s="40" t="s">
        <v>391</v>
      </c>
      <c r="C237" s="55">
        <f>C231/'Revenue summary'!C38</f>
        <v>0.5721685260631447</v>
      </c>
      <c r="D237" s="55">
        <f>D231/'Revenue summary'!D38</f>
        <v>0.5703314021717121</v>
      </c>
      <c r="E237" s="55">
        <f>E231/'Revenue summary'!E38</f>
        <v>0.5437791916018271</v>
      </c>
      <c r="F237" s="55">
        <f>F231/'Revenue summary'!F38</f>
        <v>0.5140245467066934</v>
      </c>
      <c r="G237" s="55">
        <f>G231/'Revenue summary'!G38</f>
        <v>0.5200452595440748</v>
      </c>
      <c r="H237" s="79">
        <f>H231/'Revenue summary'!H38</f>
        <v>0.5273584647905114</v>
      </c>
      <c r="I237" s="1"/>
    </row>
    <row r="238">
      <c r="A238" s="1"/>
      <c r="B238" s="43" t="s">
        <v>121</v>
      </c>
      <c r="C238" s="57">
        <f>IFERROR((C237-(Inputs!G337/Inputs!G290))*10000,"n/m")</f>
        <v>629.1172421158919</v>
      </c>
      <c r="D238" s="62">
        <f>IFERROR((D237-C237)*10000,"n/m")</f>
        <v>-18.37123891432646</v>
      </c>
      <c r="E238" s="62"/>
      <c r="F238" s="62">
        <f>IFERROR((F237-D237)*10000,"n/m")</f>
        <v>-563.0685546501868</v>
      </c>
      <c r="G238" s="62">
        <f>IFERROR((G237-F237)*10000,"n/m")</f>
        <v>60.2071283738137</v>
      </c>
      <c r="H238" s="59">
        <f>IFERROR((H237-G237)*10000,"n/m")</f>
        <v>73.13205246436638</v>
      </c>
      <c r="I238" s="1"/>
    </row>
    <row r="239">
      <c r="A239" s="1"/>
      <c r="B239" s="43" t="s">
        <v>122</v>
      </c>
      <c r="C239" s="57">
        <f>IFERROR((C237-(Inputs!C337/Inputs!C290))*10000,"n/m")</f>
        <v>468.1977609036436</v>
      </c>
      <c r="D239" s="57">
        <f>IFERROR((D237-(Inputs!D337/Inputs!D290))*10000,"n/m")</f>
        <v>474.68771244751684</v>
      </c>
      <c r="E239" s="57">
        <f>IFERROR((E237-(Inputs!E337/Inputs!E290))*10000,"n/m")</f>
        <v>315.7011267031717</v>
      </c>
      <c r="F239" s="57">
        <f>IFERROR((F237-(Inputs!F337/Inputs!F290))*10000,"n/m")</f>
        <v>35.74615704748929</v>
      </c>
      <c r="G239" s="57">
        <f>IFERROR((G237-(Inputs!G337/Inputs!G290))*10000,"n/m")</f>
        <v>107.88457692519238</v>
      </c>
      <c r="H239" s="59">
        <f>IFERROR((H237-C237)*10000,"n/m")</f>
        <v>-448.10061272633317</v>
      </c>
      <c r="I239" s="1"/>
    </row>
    <row r="240">
      <c r="A240" s="1"/>
      <c r="B240" s="1"/>
      <c r="C240" s="3"/>
      <c r="D240" s="3"/>
      <c r="E240" s="3"/>
      <c r="F240" s="3"/>
      <c r="G240" s="3"/>
      <c r="H240" s="37"/>
      <c r="I240" s="1"/>
    </row>
    <row r="241">
      <c r="A241" s="1"/>
      <c r="B241" s="2" t="s">
        <v>392</v>
      </c>
      <c r="C241" s="4"/>
      <c r="D241" s="4"/>
      <c r="E241" s="4"/>
      <c r="F241" s="4"/>
      <c r="G241" s="4"/>
      <c r="H241" s="33"/>
      <c r="I241" s="1"/>
    </row>
    <row r="242">
      <c r="A242" s="1"/>
      <c r="B242" s="31" t="s">
        <v>336</v>
      </c>
      <c r="C242" s="4">
        <f>C109</f>
        <v>1446.5820000000008</v>
      </c>
      <c r="D242" s="4">
        <f>D109</f>
        <v>2356.836</v>
      </c>
      <c r="E242" s="4">
        <f>E109</f>
        <v>7171.6460000000025</v>
      </c>
      <c r="F242" s="4">
        <f>F109</f>
        <v>1455.0570000000002</v>
      </c>
      <c r="G242" s="4">
        <f>G109</f>
        <v>2808.452</v>
      </c>
      <c r="H242" s="33">
        <f>H109</f>
        <v>1764.404464773472</v>
      </c>
      <c r="I242" s="1"/>
    </row>
    <row r="243">
      <c r="A243" s="1"/>
      <c r="B243" s="43" t="s">
        <v>393</v>
      </c>
      <c r="C243" s="26">
        <v>-9.412</v>
      </c>
      <c r="D243" s="26">
        <v>-6.822</v>
      </c>
      <c r="E243" s="15">
        <f>Inputs!F338+Inputs!G338+C243+D243</f>
        <v>12.971</v>
      </c>
      <c r="F243" s="26">
        <v>6.967</v>
      </c>
      <c r="G243" s="26">
        <v>0.071</v>
      </c>
      <c r="H243" s="60">
        <v>0</v>
      </c>
      <c r="I243" s="1"/>
    </row>
    <row r="244">
      <c r="A244" s="1"/>
      <c r="B244" s="43" t="s">
        <v>394</v>
      </c>
      <c r="C244" s="26">
        <v>7.333</v>
      </c>
      <c r="D244" s="26">
        <v>7.327</v>
      </c>
      <c r="E244" s="15">
        <f>Inputs!F339+Inputs!G339+C244+D244</f>
        <v>29.326</v>
      </c>
      <c r="F244" s="26">
        <v>7.288</v>
      </c>
      <c r="G244" s="26">
        <v>7.288</v>
      </c>
      <c r="H244" s="60">
        <v>7.3</v>
      </c>
      <c r="I244" s="1"/>
    </row>
    <row r="245">
      <c r="A245" s="1"/>
      <c r="B245" s="43" t="s">
        <v>395</v>
      </c>
      <c r="C245" s="26">
        <v>-154.898</v>
      </c>
      <c r="D245" s="26">
        <v>-183.678</v>
      </c>
      <c r="E245" s="15">
        <f>Inputs!F340+Inputs!G340+C245+D245</f>
        <v>-706.068</v>
      </c>
      <c r="F245" s="26">
        <v>-138.377</v>
      </c>
      <c r="G245" s="26">
        <v>-180.803</v>
      </c>
      <c r="H245" s="33">
        <f>H231-(H242+H243+H244+H246+H247+H248+H249+H250+H251+H252)</f>
        <v>-186.5</v>
      </c>
      <c r="I245" s="8" t="s">
        <v>396</v>
      </c>
    </row>
    <row r="246">
      <c r="A246" s="1"/>
      <c r="B246" s="43" t="s">
        <v>397</v>
      </c>
      <c r="C246" s="26">
        <v>215.872</v>
      </c>
      <c r="D246" s="26">
        <v>-282.372</v>
      </c>
      <c r="E246" s="15">
        <f>Inputs!F341+Inputs!G341+C246+D246</f>
        <v>-642.957</v>
      </c>
      <c r="F246" s="26">
        <v>-283.355</v>
      </c>
      <c r="G246" s="26">
        <v>-587.15</v>
      </c>
      <c r="H246" s="33">
        <f>-H29</f>
        <v>-100</v>
      </c>
      <c r="I246" s="1"/>
    </row>
    <row r="247">
      <c r="A247" s="1"/>
      <c r="B247" s="43" t="s">
        <v>398</v>
      </c>
      <c r="C247" s="26">
        <v>-31.547</v>
      </c>
      <c r="D247" s="26">
        <v>152.332</v>
      </c>
      <c r="E247" s="15">
        <f>Inputs!F342+Inputs!G342+C247+D247</f>
        <v>376.962</v>
      </c>
      <c r="F247" s="26">
        <v>89.701</v>
      </c>
      <c r="G247" s="26">
        <v>236.129</v>
      </c>
      <c r="H247" s="33">
        <f>H83</f>
        <v>40</v>
      </c>
      <c r="I247" s="1"/>
    </row>
    <row r="248">
      <c r="A248" s="1"/>
      <c r="B248" s="43" t="s">
        <v>399</v>
      </c>
      <c r="C248" s="26">
        <v>216.084</v>
      </c>
      <c r="D248" s="26">
        <v>67.826</v>
      </c>
      <c r="E248" s="15">
        <f>Inputs!F343+Inputs!G343+C248+D248</f>
        <v>-171.44000000000003</v>
      </c>
      <c r="F248" s="26">
        <v>322.136</v>
      </c>
      <c r="G248" s="26">
        <v>-443.186</v>
      </c>
      <c r="H248" s="33">
        <f>-H41</f>
        <v>-50</v>
      </c>
      <c r="I248" s="1"/>
    </row>
    <row r="249">
      <c r="A249" s="1"/>
      <c r="B249" s="43" t="s">
        <v>400</v>
      </c>
      <c r="C249" s="26">
        <v>-28.702</v>
      </c>
      <c r="D249" s="26">
        <v>1.174</v>
      </c>
      <c r="E249" s="15">
        <f>Inputs!F344+Inputs!G344+C249+D249</f>
        <v>271.19</v>
      </c>
      <c r="F249" s="26">
        <v>-50.928</v>
      </c>
      <c r="G249" s="26">
        <v>-11.898</v>
      </c>
      <c r="H249" s="33">
        <f>-H60</f>
        <v>0</v>
      </c>
      <c r="I249" s="1"/>
    </row>
    <row r="250">
      <c r="A250" s="1"/>
      <c r="B250" s="43" t="s">
        <v>401</v>
      </c>
      <c r="C250" s="26">
        <v>301.562</v>
      </c>
      <c r="D250" s="26">
        <v>358.364</v>
      </c>
      <c r="E250" s="15">
        <f>Inputs!F345+Inputs!G345+C250+D250</f>
        <v>1443.246</v>
      </c>
      <c r="F250" s="26">
        <v>561.217</v>
      </c>
      <c r="G250" s="26">
        <v>353.753</v>
      </c>
      <c r="H250" s="33">
        <f>H164+H167</f>
        <v>338</v>
      </c>
      <c r="I250" s="1"/>
    </row>
    <row r="251">
      <c r="A251" s="1"/>
      <c r="B251" s="43" t="s">
        <v>402</v>
      </c>
      <c r="C251" s="26">
        <v>4.097</v>
      </c>
      <c r="D251" s="26">
        <v>3.942</v>
      </c>
      <c r="E251" s="15">
        <f>Inputs!F346+Inputs!G346+C251+D251</f>
        <v>16.337</v>
      </c>
      <c r="F251" s="26">
        <v>4.568</v>
      </c>
      <c r="G251" s="26">
        <v>4.426</v>
      </c>
      <c r="H251" s="60">
        <v>4.5</v>
      </c>
      <c r="I251" s="1"/>
    </row>
    <row r="252">
      <c r="A252" s="1"/>
      <c r="B252" s="43" t="s">
        <v>388</v>
      </c>
      <c r="C252" s="26">
        <v>-77.484</v>
      </c>
      <c r="D252" s="26">
        <v>-230.12</v>
      </c>
      <c r="E252" s="15">
        <f>Inputs!F347+Inputs!G347+C252+D252</f>
        <v>-690.3489999999999</v>
      </c>
      <c r="F252" s="26">
        <v>-209.436</v>
      </c>
      <c r="G252" s="26">
        <v>-209.833</v>
      </c>
      <c r="H252" s="33">
        <f>H230</f>
        <v>-154.50487950574512</v>
      </c>
      <c r="I252" s="1"/>
    </row>
    <row r="253">
      <c r="A253" s="1"/>
      <c r="B253" s="54" t="s">
        <v>403</v>
      </c>
      <c r="C253" s="32">
        <f>C242+C243+C244+C245+C246+C247+C248+C249+C250+C251+C252</f>
        <v>1889.4870000000012</v>
      </c>
      <c r="D253" s="32">
        <f>D242+D243+D244+D245+D246+D247+D248+D249+D250+D251+D252</f>
        <v>2244.809</v>
      </c>
      <c r="E253" s="32">
        <f>E242+E243+E244+E245+E246+E247+E248+E249+E250+E251+E252</f>
        <v>7110.864000000001</v>
      </c>
      <c r="F253" s="32">
        <f>F242+F243+F244+F245+F246+F247+F248+F249+F250+F251+F252</f>
        <v>1764.8380000000006</v>
      </c>
      <c r="G253" s="32">
        <f>G242+G243+G244+G245+G246+G247+G248+G249+G250+G251+G252</f>
        <v>1977.2490000000003</v>
      </c>
      <c r="H253" s="44">
        <f>H242+H243+H244+H245+H246+H247+H248+H249+H250+H251+H252</f>
        <v>1663.199585267727</v>
      </c>
      <c r="I253" s="1"/>
    </row>
    <row r="254">
      <c r="A254" s="1"/>
      <c r="B254" s="43" t="s">
        <v>404</v>
      </c>
      <c r="C254" s="4">
        <f>ROUND(C253-C231,3)</f>
        <v>0</v>
      </c>
      <c r="D254" s="4">
        <f>ROUND(D253-D231,3)</f>
        <v>0</v>
      </c>
      <c r="E254" s="4">
        <f>ROUND(E253-E231,3)</f>
        <v>0</v>
      </c>
      <c r="F254" s="4">
        <f>ROUND(F253-F231,3)</f>
        <v>0</v>
      </c>
      <c r="G254" s="4">
        <f>ROUND(G253-G231,3)</f>
        <v>0</v>
      </c>
      <c r="H254" s="33">
        <f>ROUND(H253-H231,3)</f>
        <v>0</v>
      </c>
      <c r="I254" s="102" t="s">
        <v>405</v>
      </c>
    </row>
    <row r="255">
      <c r="A255" s="1"/>
      <c r="B255" s="43" t="s">
        <v>406</v>
      </c>
      <c r="C255" s="4">
        <f>-C252</f>
        <v>77.484</v>
      </c>
      <c r="D255" s="4">
        <f>-D252</f>
        <v>230.12</v>
      </c>
      <c r="E255" s="4">
        <f>-E252</f>
        <v>690.3489999999999</v>
      </c>
      <c r="F255" s="4">
        <f>-F252</f>
        <v>209.436</v>
      </c>
      <c r="G255" s="4">
        <f>-G252</f>
        <v>209.833</v>
      </c>
      <c r="H255" s="33">
        <f>-H252</f>
        <v>154.50487950574512</v>
      </c>
      <c r="I255" s="1"/>
    </row>
    <row r="256">
      <c r="A256" s="1"/>
      <c r="B256" s="43" t="s">
        <v>407</v>
      </c>
      <c r="C256" s="4">
        <f>-C223</f>
        <v>18.552</v>
      </c>
      <c r="D256" s="4">
        <f>-D223</f>
        <v>17.276</v>
      </c>
      <c r="E256" s="4">
        <f>-E223</f>
        <v>81.001</v>
      </c>
      <c r="F256" s="4">
        <f>-F223</f>
        <v>22.118</v>
      </c>
      <c r="G256" s="4">
        <f>-G223</f>
        <v>10.606</v>
      </c>
      <c r="H256" s="33">
        <f>-H223</f>
        <v>12</v>
      </c>
      <c r="I256" s="1"/>
    </row>
    <row r="257">
      <c r="A257" s="1"/>
      <c r="B257" s="54" t="s">
        <v>408</v>
      </c>
      <c r="C257" s="32">
        <f>C253+C255+C256</f>
        <v>1985.523000000001</v>
      </c>
      <c r="D257" s="32">
        <f>D253+D255+D256</f>
        <v>2492.205</v>
      </c>
      <c r="E257" s="32">
        <f>E253+E255+E256</f>
        <v>7882.214000000002</v>
      </c>
      <c r="F257" s="32">
        <f>F253+F255+F256</f>
        <v>1996.3920000000005</v>
      </c>
      <c r="G257" s="32">
        <f>G253+G255+G256</f>
        <v>2197.6880000000006</v>
      </c>
      <c r="H257" s="44">
        <f>H253+H255+H256</f>
        <v>1829.704464773472</v>
      </c>
      <c r="I257" s="1"/>
    </row>
    <row r="258">
      <c r="A258" s="1"/>
      <c r="B258" s="43" t="s">
        <v>409</v>
      </c>
      <c r="C258" s="4">
        <f>ROUND(C257-C214,3)</f>
        <v>0</v>
      </c>
      <c r="D258" s="4">
        <f>ROUND(D257-D214,3)</f>
        <v>0</v>
      </c>
      <c r="E258" s="4">
        <f>ROUND(E257-E214,3)</f>
        <v>0</v>
      </c>
      <c r="F258" s="4">
        <f>ROUND(F257-F214,3)</f>
        <v>0</v>
      </c>
      <c r="G258" s="4">
        <f>ROUND(G257-G214,3)</f>
        <v>0</v>
      </c>
      <c r="H258" s="33">
        <f>ROUND(H257-H214,3)</f>
        <v>0</v>
      </c>
      <c r="I258" s="102" t="s">
        <v>405</v>
      </c>
    </row>
    <row r="259">
      <c r="A259" s="1"/>
      <c r="B259" s="43" t="s">
        <v>410</v>
      </c>
      <c r="C259" s="4">
        <f>-C198</f>
        <v>-744.9530000000001</v>
      </c>
      <c r="D259" s="4">
        <f>-D198</f>
        <v>-1057.432</v>
      </c>
      <c r="E259" s="4">
        <f>-E198</f>
        <v>-2815.5290000000005</v>
      </c>
      <c r="F259" s="4">
        <f>-F198</f>
        <v>-780.4939999999999</v>
      </c>
      <c r="G259" s="4">
        <f>-G198</f>
        <v>-730.8849999999999</v>
      </c>
      <c r="H259" s="33">
        <f>-H198</f>
        <v>-419.67405995626643</v>
      </c>
      <c r="I259" s="1"/>
    </row>
    <row r="260">
      <c r="A260" s="1"/>
      <c r="B260" s="43" t="s">
        <v>411</v>
      </c>
      <c r="C260" s="4">
        <f>-C204</f>
        <v>302.642</v>
      </c>
      <c r="D260" s="4">
        <f>-D204</f>
        <v>310.405</v>
      </c>
      <c r="E260" s="4">
        <f>-E204</f>
        <v>1090.5949999999998</v>
      </c>
      <c r="F260" s="4">
        <f>-F204</f>
        <v>364.05600000000004</v>
      </c>
      <c r="G260" s="4">
        <f>-G204</f>
        <v>344.124</v>
      </c>
      <c r="H260" s="33">
        <f>-H204</f>
        <v>193.0081001738869</v>
      </c>
      <c r="I260" s="1"/>
    </row>
    <row r="261">
      <c r="A261" s="1"/>
      <c r="B261" s="43" t="s">
        <v>412</v>
      </c>
      <c r="C261" s="4">
        <f>-C205</f>
        <v>-62.535000000000004</v>
      </c>
      <c r="D261" s="4">
        <f>-D205</f>
        <v>-209.877</v>
      </c>
      <c r="E261" s="4">
        <f>-E205</f>
        <v>-419.743</v>
      </c>
      <c r="F261" s="4">
        <f>-F205</f>
        <v>-31.973000000000003</v>
      </c>
      <c r="G261" s="4">
        <f>-G205</f>
        <v>-27.499000000000002</v>
      </c>
      <c r="H261" s="33">
        <f>-H205</f>
        <v>-57.22828090312723</v>
      </c>
      <c r="I261" s="1"/>
    </row>
    <row r="262">
      <c r="A262" s="1"/>
      <c r="B262" s="54" t="s">
        <v>413</v>
      </c>
      <c r="C262" s="32">
        <f>C257+C259+C260+C261</f>
        <v>1480.677000000001</v>
      </c>
      <c r="D262" s="32">
        <f>D257+D259+D260+D261</f>
        <v>1535.301</v>
      </c>
      <c r="E262" s="32">
        <f>E257+E259+E260+E261</f>
        <v>5737.537</v>
      </c>
      <c r="F262" s="32">
        <f>F257+F259+F260+F261</f>
        <v>1547.9810000000007</v>
      </c>
      <c r="G262" s="32">
        <f>G257+G259+G260+G261</f>
        <v>1783.4280000000008</v>
      </c>
      <c r="H262" s="44">
        <f>H257+H259+H260+H261</f>
        <v>1545.8102240879655</v>
      </c>
      <c r="I262" s="1"/>
    </row>
    <row r="263">
      <c r="A263" s="1"/>
      <c r="B263" s="43" t="s">
        <v>414</v>
      </c>
      <c r="C263" s="4">
        <f>ROUND(C262-C195,3)</f>
        <v>0</v>
      </c>
      <c r="D263" s="4">
        <f>ROUND(D262-D195,3)</f>
        <v>0</v>
      </c>
      <c r="E263" s="4">
        <f>ROUND(E262-E195,3)</f>
        <v>0</v>
      </c>
      <c r="F263" s="4">
        <f>ROUND(F262-F195,3)</f>
        <v>0</v>
      </c>
      <c r="G263" s="4">
        <f>ROUND(G262-G195,3)</f>
        <v>0</v>
      </c>
      <c r="H263" s="33">
        <f>ROUND(H262-H195,3)</f>
        <v>0</v>
      </c>
      <c r="I263" s="102" t="s">
        <v>415</v>
      </c>
    </row>
    <row r="264">
      <c r="A264" s="1"/>
      <c r="B264" s="1"/>
      <c r="C264" s="3"/>
      <c r="D264" s="3"/>
      <c r="E264" s="3"/>
      <c r="F264" s="3"/>
      <c r="G264" s="3"/>
      <c r="H264" s="37"/>
      <c r="I264" s="1"/>
    </row>
    <row r="265">
      <c r="A265" s="1"/>
      <c r="B265" s="2" t="s">
        <v>416</v>
      </c>
      <c r="C265" s="4"/>
      <c r="D265" s="4"/>
      <c r="E265" s="4"/>
      <c r="F265" s="4"/>
      <c r="G265" s="4"/>
      <c r="H265" s="33"/>
      <c r="I265" s="1"/>
    </row>
    <row r="266">
      <c r="A266" s="1"/>
      <c r="B266" s="31" t="s">
        <v>417</v>
      </c>
      <c r="C266" s="26">
        <v>26.913</v>
      </c>
      <c r="D266" s="26">
        <v>167.504</v>
      </c>
      <c r="E266" s="15">
        <f>Inputs!F348+Inputs!G348+C266+D266</f>
        <v>475.506</v>
      </c>
      <c r="F266" s="26">
        <v>160.943</v>
      </c>
      <c r="G266" s="26">
        <v>166.382</v>
      </c>
      <c r="H266" s="33">
        <f>-H230-H267</f>
        <v>108.50487950574512</v>
      </c>
      <c r="I266" s="8" t="s">
        <v>418</v>
      </c>
    </row>
    <row r="267">
      <c r="A267" s="1"/>
      <c r="B267" s="43" t="s">
        <v>419</v>
      </c>
      <c r="C267" s="4">
        <f>-C230-C266</f>
        <v>50.571</v>
      </c>
      <c r="D267" s="4">
        <f>-D230-D266</f>
        <v>62.616000000000014</v>
      </c>
      <c r="E267" s="4">
        <f>-E230-E266</f>
        <v>214.84299999999996</v>
      </c>
      <c r="F267" s="4">
        <f>-F230-F266</f>
        <v>48.492999999999995</v>
      </c>
      <c r="G267" s="4">
        <f>-G230-G266</f>
        <v>43.45099999999999</v>
      </c>
      <c r="H267" s="60">
        <v>46</v>
      </c>
      <c r="I267" s="8" t="s">
        <v>420</v>
      </c>
    </row>
    <row r="268">
      <c r="A268" s="1"/>
      <c r="B268" s="65" t="s">
        <v>82</v>
      </c>
      <c r="C268" s="58" t="s">
        <v>32</v>
      </c>
      <c r="D268" s="58" t="s">
        <v>32</v>
      </c>
      <c r="E268" s="58" t="s">
        <v>32</v>
      </c>
      <c r="F268" s="58" t="s">
        <v>32</v>
      </c>
      <c r="G268" s="58" t="s">
        <v>32</v>
      </c>
      <c r="H268" s="56">
        <f>IF(C267*H267&gt;0,H267/C267-1,"n/m")</f>
        <v>-0.09038777164778233</v>
      </c>
      <c r="I268" s="1"/>
    </row>
    <row r="269">
      <c r="A269" s="1"/>
      <c r="B269" s="66" t="s">
        <v>118</v>
      </c>
      <c r="C269" s="4" t="s">
        <v>32</v>
      </c>
      <c r="D269" s="4">
        <f>D267-C267</f>
        <v>12.045000000000016</v>
      </c>
      <c r="E269" s="4"/>
      <c r="F269" s="4">
        <f>F267-D267</f>
        <v>-14.123000000000019</v>
      </c>
      <c r="G269" s="4">
        <f>G267-F267</f>
        <v>-5.042000000000002</v>
      </c>
      <c r="H269" s="33">
        <f>H267-G267</f>
        <v>2.5490000000000066</v>
      </c>
      <c r="I269" s="1"/>
    </row>
    <row r="270">
      <c r="A270" s="1"/>
      <c r="B270" s="54" t="s">
        <v>421</v>
      </c>
      <c r="C270" s="32">
        <f>C231+C266</f>
        <v>1916.4000000000003</v>
      </c>
      <c r="D270" s="32">
        <f>D231+D266</f>
        <v>2412.313</v>
      </c>
      <c r="E270" s="32">
        <f>E231+E266</f>
        <v>7586.370000000001</v>
      </c>
      <c r="F270" s="32">
        <f>F231+F266</f>
        <v>1925.7810000000002</v>
      </c>
      <c r="G270" s="32">
        <f>G231+G266</f>
        <v>2143.631</v>
      </c>
      <c r="H270" s="44">
        <f>H231+H266</f>
        <v>1771.704464773472</v>
      </c>
      <c r="I270" s="1"/>
    </row>
    <row r="271">
      <c r="A271" s="1"/>
      <c r="B271" s="40" t="s">
        <v>422</v>
      </c>
      <c r="C271" s="55">
        <f>'Share Count'!C27/'Share Count'!C33</f>
        <v>0.6367869562634483</v>
      </c>
      <c r="D271" s="55">
        <f>'Share Count'!D27/'Share Count'!D33</f>
        <v>0.6373718776810413</v>
      </c>
      <c r="E271" s="58">
        <f>E272/E270</f>
        <v>0.6360290876068077</v>
      </c>
      <c r="F271" s="55">
        <f>'Share Count'!F27/'Share Count'!F33</f>
        <v>0.6385273486976754</v>
      </c>
      <c r="G271" s="55">
        <f>'Share Count'!G27/'Share Count'!G33</f>
        <v>0.6431308878930696</v>
      </c>
      <c r="H271" s="79">
        <f>'Share Count'!H27/'Share Count'!H33</f>
        <v>0.6436881311620127</v>
      </c>
      <c r="I271" s="8" t="s">
        <v>423</v>
      </c>
    </row>
    <row r="272">
      <c r="A272" s="1"/>
      <c r="B272" s="31" t="s">
        <v>424</v>
      </c>
      <c r="C272" s="4">
        <f>C270*C271</f>
        <v>1220.3385229832725</v>
      </c>
      <c r="D272" s="4">
        <f>D270*D271</f>
        <v>1537.5404663643858</v>
      </c>
      <c r="E272" s="15">
        <f>Inputs!F349+Inputs!G349+C272+D272</f>
        <v>4825.151989347658</v>
      </c>
      <c r="F272" s="4">
        <f>F270*F271</f>
        <v>1229.6638361023581</v>
      </c>
      <c r="G272" s="4">
        <f>G270*G271</f>
        <v>1378.6353083451086</v>
      </c>
      <c r="H272" s="33">
        <f>H270*H271</f>
        <v>1140.4251359014302</v>
      </c>
      <c r="I272" s="1"/>
    </row>
    <row r="273">
      <c r="A273" s="1"/>
      <c r="B273" s="54" t="s">
        <v>425</v>
      </c>
      <c r="C273" s="32">
        <f>C272-C266</f>
        <v>1193.4255229832725</v>
      </c>
      <c r="D273" s="32">
        <f>D272-D266</f>
        <v>1370.036466364386</v>
      </c>
      <c r="E273" s="32">
        <f>E272-E266</f>
        <v>4349.645989347658</v>
      </c>
      <c r="F273" s="32">
        <f>F272-F266</f>
        <v>1068.7208361023581</v>
      </c>
      <c r="G273" s="32">
        <f>G272-G266</f>
        <v>1212.2533083451085</v>
      </c>
      <c r="H273" s="44">
        <f>H272-H266</f>
        <v>1031.920256395685</v>
      </c>
      <c r="I273" s="1"/>
    </row>
    <row r="274">
      <c r="A274" s="1"/>
      <c r="B274" s="43" t="s">
        <v>118</v>
      </c>
      <c r="C274" s="15">
        <f>C273-Inputs!G350</f>
        <v>249.25652298327248</v>
      </c>
      <c r="D274" s="4">
        <f>D273-C273</f>
        <v>176.61094338111343</v>
      </c>
      <c r="E274" s="4"/>
      <c r="F274" s="4">
        <f>F273-D273</f>
        <v>-301.31563026202775</v>
      </c>
      <c r="G274" s="4">
        <f>G273-F273</f>
        <v>143.53247224275037</v>
      </c>
      <c r="H274" s="33">
        <f>H273-G273</f>
        <v>-180.3330519494234</v>
      </c>
      <c r="I274" s="1"/>
    </row>
    <row r="275">
      <c r="A275" s="1"/>
      <c r="B275" s="31" t="s">
        <v>426</v>
      </c>
      <c r="C275" s="15">
        <f>'Share Count'!C27</f>
        <v>782.728403</v>
      </c>
      <c r="D275" s="15">
        <f>'Share Count'!D27</f>
        <v>783.1830100000001</v>
      </c>
      <c r="E275" s="15">
        <f>'Share Count'!E27</f>
        <v>783.1830100000001</v>
      </c>
      <c r="F275" s="15">
        <f>'Share Count'!F27</f>
        <v>785.497027</v>
      </c>
      <c r="G275" s="15">
        <f>'Share Count'!G27</f>
        <v>799.934579</v>
      </c>
      <c r="H275" s="36">
        <f>'Share Count'!H27</f>
        <v>800.434579</v>
      </c>
      <c r="I275" s="1"/>
    </row>
    <row r="276">
      <c r="A276" s="1"/>
      <c r="B276" s="54" t="s">
        <v>427</v>
      </c>
      <c r="C276" s="80">
        <f>C273/C275</f>
        <v>1.524699395613056</v>
      </c>
      <c r="D276" s="80">
        <f>D273/D275</f>
        <v>1.7493184209452983</v>
      </c>
      <c r="E276" s="87">
        <f>Inputs!F351+Inputs!G351+C276+D276</f>
        <v>5.574017816558355</v>
      </c>
      <c r="F276" s="80">
        <f>F273/F275</f>
        <v>1.3605663667296835</v>
      </c>
      <c r="G276" s="80">
        <f>G273/G275</f>
        <v>1.515440562477683</v>
      </c>
      <c r="H276" s="77">
        <f>H273/H275</f>
        <v>1.2891999964380414</v>
      </c>
      <c r="I276" s="8" t="s">
        <v>428</v>
      </c>
    </row>
    <row r="277">
      <c r="A277" s="1"/>
      <c r="B277" s="61" t="s">
        <v>82</v>
      </c>
      <c r="C277" s="55">
        <f>IF(Inputs!C351&gt;0,C276/Inputs!C351-1,"n/m")</f>
        <v>0.5096033619931246</v>
      </c>
      <c r="D277" s="55">
        <f>IF(Inputs!D351&gt;0,D276/Inputs!D351-1,"n/m")</f>
        <v>0.03509965736408183</v>
      </c>
      <c r="E277" s="55">
        <f>IF(Inputs!E351&gt;0,E276/Inputs!E351-1,"n/m")</f>
        <v>0.20129694322378344</v>
      </c>
      <c r="F277" s="55">
        <f>IF(Inputs!F351&gt;0,F276/Inputs!F351-1,"n/m")</f>
        <v>0.2482260245226453</v>
      </c>
      <c r="G277" s="55">
        <f>IF(Inputs!G351&gt;0,G276/Inputs!G351-1,"n/m")</f>
        <v>0.25243021692370493</v>
      </c>
      <c r="H277" s="56">
        <f>H276/C276-1</f>
        <v>-0.15445628158088442</v>
      </c>
      <c r="I277" s="1"/>
    </row>
    <row r="278">
      <c r="A278" s="1"/>
      <c r="B278" s="43" t="s">
        <v>429</v>
      </c>
      <c r="C278" s="109">
        <f>C276-Inputs!G351</f>
        <v>0.31469939561305593</v>
      </c>
      <c r="D278" s="95">
        <f>D276-C276</f>
        <v>0.22461902533224243</v>
      </c>
      <c r="E278" s="18"/>
      <c r="F278" s="95">
        <f>F276-D276</f>
        <v>-0.3887520542156149</v>
      </c>
      <c r="G278" s="95">
        <f>G276-F276</f>
        <v>0.15487419574799954</v>
      </c>
      <c r="H278" s="108">
        <f>H276-G276</f>
        <v>-0.2262405660396416</v>
      </c>
      <c r="I278" s="1"/>
    </row>
    <row r="279">
      <c r="A279" s="1"/>
      <c r="B279" s="43" t="s">
        <v>430</v>
      </c>
      <c r="C279" s="30">
        <v>1.52</v>
      </c>
      <c r="D279" s="30">
        <v>1.75</v>
      </c>
      <c r="E279" s="30">
        <v>5.57</v>
      </c>
      <c r="F279" s="30">
        <v>1.36</v>
      </c>
      <c r="G279" s="30">
        <v>1.52</v>
      </c>
      <c r="H279" s="78"/>
      <c r="I279" s="8" t="s">
        <v>431</v>
      </c>
    </row>
    <row r="280">
      <c r="A280" s="1"/>
      <c r="B280" s="43" t="s">
        <v>357</v>
      </c>
      <c r="C280" s="18">
        <f>ROUND(C276,2)-C279</f>
        <v>0</v>
      </c>
      <c r="D280" s="18">
        <f>ROUND(D276,2)-D279</f>
        <v>0</v>
      </c>
      <c r="E280" s="18">
        <f>ROUND(E276,2)-E279</f>
        <v>0</v>
      </c>
      <c r="F280" s="18">
        <f>ROUND(F276,2)-F279</f>
        <v>0</v>
      </c>
      <c r="G280" s="18">
        <f>ROUND(G276,2)-G279</f>
        <v>0</v>
      </c>
      <c r="H280" s="78"/>
      <c r="I280" s="1"/>
    </row>
    <row r="281">
      <c r="A281" s="1"/>
      <c r="B281" s="43" t="s">
        <v>432</v>
      </c>
      <c r="C281" s="18">
        <f>C276-C273/C275</f>
        <v>0</v>
      </c>
      <c r="D281" s="18">
        <f>D276-D273/D275</f>
        <v>0</v>
      </c>
      <c r="E281" s="18"/>
      <c r="F281" s="18">
        <f>F276-F273/F275</f>
        <v>0</v>
      </c>
      <c r="G281" s="18">
        <f>G276-G273/G275</f>
        <v>0</v>
      </c>
      <c r="H281" s="78">
        <f>H276-H273/H275</f>
        <v>0</v>
      </c>
      <c r="I281" s="102" t="s">
        <v>433</v>
      </c>
    </row>
    <row r="282">
      <c r="A282" s="1"/>
      <c r="B282" s="31" t="s">
        <v>434</v>
      </c>
      <c r="C282" s="18"/>
      <c r="D282" s="18"/>
      <c r="E282" s="18"/>
      <c r="F282" s="18"/>
      <c r="G282" s="18"/>
      <c r="H282" s="69">
        <f>Inputs!C18</f>
        <v>1.28</v>
      </c>
      <c r="I282" s="1"/>
    </row>
    <row r="283">
      <c r="A283" s="1"/>
      <c r="B283" s="31" t="s">
        <v>435</v>
      </c>
      <c r="C283" s="18"/>
      <c r="D283" s="18"/>
      <c r="E283" s="18"/>
      <c r="F283" s="18"/>
      <c r="G283" s="18"/>
      <c r="H283" s="78">
        <f>H276-H282</f>
        <v>0.009199996438041369</v>
      </c>
      <c r="I283" s="1"/>
    </row>
    <row r="284">
      <c r="A284" s="1"/>
      <c r="B284" s="31" t="s">
        <v>436</v>
      </c>
      <c r="C284" s="30">
        <v>1.29</v>
      </c>
      <c r="D284" s="30">
        <v>1.49</v>
      </c>
      <c r="E284" s="17">
        <f>Inputs!F352+Inputs!G352+C284+D284</f>
        <v>4.74</v>
      </c>
      <c r="F284" s="30">
        <v>1.16</v>
      </c>
      <c r="G284" s="30">
        <v>1.29</v>
      </c>
      <c r="H284" s="78">
        <f>H285*H276</f>
        <v>1.0958199969723352</v>
      </c>
      <c r="I284" s="8" t="s">
        <v>437</v>
      </c>
    </row>
    <row r="285">
      <c r="A285" s="1"/>
      <c r="B285" s="61" t="s">
        <v>438</v>
      </c>
      <c r="C285" s="58">
        <f>C284/C276</f>
        <v>0.8460684143455784</v>
      </c>
      <c r="D285" s="58">
        <f>D284/D276</f>
        <v>0.8517603097066985</v>
      </c>
      <c r="E285" s="58">
        <f>E284/E276</f>
        <v>0.850374031083863</v>
      </c>
      <c r="F285" s="58">
        <f>F284/F276</f>
        <v>0.8525861202847652</v>
      </c>
      <c r="G285" s="58">
        <f>G284/G276</f>
        <v>0.8512376083499462</v>
      </c>
      <c r="H285" s="71">
        <v>0.85</v>
      </c>
      <c r="I285" s="1"/>
    </row>
    <row r="286">
      <c r="A286" s="1"/>
      <c r="B286" s="66" t="s">
        <v>121</v>
      </c>
      <c r="C286" s="57">
        <f>IFERROR((C285-(Inputs!G352/Inputs!G351))*10000,"n/m")</f>
        <v>-51.71255075909209</v>
      </c>
      <c r="D286" s="62">
        <f>IFERROR((D285-C285)*10000,"n/m")</f>
        <v>56.91895361120025</v>
      </c>
      <c r="E286" s="62"/>
      <c r="F286" s="62">
        <f>IFERROR((F285-D285)*10000,"n/m")</f>
        <v>8.258105780667435</v>
      </c>
      <c r="G286" s="62">
        <f>IFERROR((G285-F285)*10000,"n/m")</f>
        <v>-13.485119348189967</v>
      </c>
      <c r="H286" s="59">
        <f>IFERROR((H285-G285)*10000,"n/m")</f>
        <v>-12.376083499462398</v>
      </c>
      <c r="I286" s="1"/>
    </row>
    <row r="287">
      <c r="A287" s="1"/>
      <c r="B287" s="66" t="s">
        <v>122</v>
      </c>
      <c r="C287" s="57">
        <f>IFERROR((C285-(Inputs!C352/Inputs!C351))*10000,"n/m")</f>
        <v>-153.17724268282927</v>
      </c>
      <c r="D287" s="57">
        <f>IFERROR((D285-(Inputs!D352/Inputs!D351))*10000,"n/m")</f>
        <v>-3.1069621046131424</v>
      </c>
      <c r="E287" s="57">
        <f>IFERROR((E285-(Inputs!E352/Inputs!E351))*10000,"n/m")</f>
        <v>-9.190723644129095</v>
      </c>
      <c r="F287" s="57">
        <f>IFERROR((F285-(Inputs!F352/Inputs!F351))*10000,"n/m")</f>
        <v>-6.248888895467042</v>
      </c>
      <c r="G287" s="57">
        <f>IFERROR((G285-(Inputs!G352/Inputs!G351))*10000,"n/m")</f>
        <v>-0.020610715414370873</v>
      </c>
      <c r="H287" s="59">
        <f>IFERROR((H285-C285)*10000,"n/m")</f>
        <v>39.31585654421532</v>
      </c>
      <c r="I287" s="1"/>
    </row>
    <row r="288">
      <c r="A288" s="1"/>
      <c r="B288" s="31" t="s">
        <v>439</v>
      </c>
      <c r="C288" s="17">
        <f>C195/'Share Count'!C33</f>
        <v>1.204601489386982</v>
      </c>
      <c r="D288" s="17">
        <f>D195/'Share Count'!D33</f>
        <v>1.2494623461961722</v>
      </c>
      <c r="E288" s="18"/>
      <c r="F288" s="17">
        <f>F195/'Share Count'!F33</f>
        <v>1.2583474790979396</v>
      </c>
      <c r="G288" s="17">
        <f>G195/'Share Count'!G33</f>
        <v>1.4338392954173835</v>
      </c>
      <c r="H288" s="69">
        <f>H195/'Share Count'!H33</f>
        <v>1.2430993367595562</v>
      </c>
      <c r="I288" s="1"/>
    </row>
    <row r="289">
      <c r="A289" s="1"/>
      <c r="B289" s="1"/>
      <c r="C289" s="3"/>
      <c r="D289" s="3"/>
      <c r="E289" s="3"/>
      <c r="F289" s="3"/>
      <c r="G289" s="3"/>
      <c r="H289" s="37"/>
      <c r="I289" s="1"/>
    </row>
    <row r="290">
      <c r="A290" s="1"/>
      <c r="B290" s="2" t="s">
        <v>440</v>
      </c>
      <c r="C290" s="4"/>
      <c r="D290" s="4"/>
      <c r="E290" s="4"/>
      <c r="F290" s="4"/>
      <c r="G290" s="4"/>
      <c r="H290" s="33"/>
      <c r="I290" s="1"/>
    </row>
    <row r="291">
      <c r="A291" s="1"/>
      <c r="B291" s="31" t="s">
        <v>389</v>
      </c>
      <c r="C291" s="4">
        <f>C231</f>
        <v>1889.4870000000003</v>
      </c>
      <c r="D291" s="4">
        <f>D231</f>
        <v>2244.809</v>
      </c>
      <c r="E291" s="4">
        <f>E231</f>
        <v>7110.8640000000005</v>
      </c>
      <c r="F291" s="4">
        <f>F231</f>
        <v>1764.8380000000002</v>
      </c>
      <c r="G291" s="4">
        <f>G231</f>
        <v>1977.2489999999998</v>
      </c>
      <c r="H291" s="33">
        <f>H231</f>
        <v>1663.199585267727</v>
      </c>
      <c r="I291" s="1"/>
    </row>
    <row r="292">
      <c r="A292" s="1"/>
      <c r="B292" s="31" t="s">
        <v>441</v>
      </c>
      <c r="C292" s="26">
        <v>126.09</v>
      </c>
      <c r="D292" s="26">
        <v>128.022</v>
      </c>
      <c r="E292" s="15">
        <f>Inputs!F353+Inputs!G353+C292+D292</f>
        <v>497.09499999999997</v>
      </c>
      <c r="F292" s="26">
        <v>130.058</v>
      </c>
      <c r="G292" s="26">
        <v>144.83</v>
      </c>
      <c r="H292" s="60">
        <v>146</v>
      </c>
      <c r="I292" s="8" t="s">
        <v>155</v>
      </c>
    </row>
    <row r="293">
      <c r="A293" s="1"/>
      <c r="B293" s="61" t="s">
        <v>82</v>
      </c>
      <c r="C293" s="55">
        <f>IF(Inputs!C353*C292&gt;0,C292/Inputs!C353-1,"n/m")</f>
        <v>0.13261951386019444</v>
      </c>
      <c r="D293" s="55">
        <f>IF(Inputs!D353*D292&gt;0,D292/Inputs!D353-1,"n/m")</f>
        <v>0.09395267758722348</v>
      </c>
      <c r="E293" s="58" t="s">
        <v>32</v>
      </c>
      <c r="F293" s="55">
        <f>IF(Inputs!F353*F292&gt;0,F292/Inputs!F353-1,"n/m")</f>
        <v>0.10265366680796939</v>
      </c>
      <c r="G293" s="55">
        <f>IF(Inputs!G353*G292&gt;0,G292/Inputs!G353-1,"n/m")</f>
        <v>0.1583341997712604</v>
      </c>
      <c r="H293" s="56">
        <f>IF(C292*H292&gt;0,H292/C292-1,"n/m")</f>
        <v>0.15790308509794593</v>
      </c>
      <c r="I293" s="1"/>
    </row>
    <row r="294">
      <c r="A294" s="1"/>
      <c r="B294" s="43" t="s">
        <v>118</v>
      </c>
      <c r="C294" s="15">
        <f>C292-Inputs!G353</f>
        <v>1.0570000000000022</v>
      </c>
      <c r="D294" s="4">
        <f>D292-C292</f>
        <v>1.931999999999988</v>
      </c>
      <c r="E294" s="4"/>
      <c r="F294" s="4">
        <f>F292-D292</f>
        <v>2.0360000000000014</v>
      </c>
      <c r="G294" s="4">
        <f>G292-F292</f>
        <v>14.77200000000002</v>
      </c>
      <c r="H294" s="33">
        <f>H292-G292</f>
        <v>1.1699999999999875</v>
      </c>
      <c r="I294" s="1"/>
    </row>
    <row r="295">
      <c r="A295" s="1"/>
      <c r="B295" s="31" t="s">
        <v>442</v>
      </c>
      <c r="C295" s="26">
        <v>24.015</v>
      </c>
      <c r="D295" s="26">
        <v>26.102</v>
      </c>
      <c r="E295" s="15">
        <f>Inputs!F354+Inputs!G354+C295+D295</f>
        <v>98.985</v>
      </c>
      <c r="F295" s="26">
        <v>26.138</v>
      </c>
      <c r="G295" s="26">
        <v>25.772</v>
      </c>
      <c r="H295" s="60">
        <v>26</v>
      </c>
      <c r="I295" s="8" t="s">
        <v>155</v>
      </c>
    </row>
    <row r="296">
      <c r="A296" s="1"/>
      <c r="B296" s="61" t="s">
        <v>82</v>
      </c>
      <c r="C296" s="55">
        <f>IF(Inputs!C354*C295&gt;0,C295/Inputs!C354-1,"n/m")</f>
        <v>-0.027141989062183458</v>
      </c>
      <c r="D296" s="55">
        <f>IF(Inputs!D354*D295&gt;0,D295/Inputs!D354-1,"n/m")</f>
        <v>0.1507803544660966</v>
      </c>
      <c r="E296" s="58" t="s">
        <v>32</v>
      </c>
      <c r="F296" s="55">
        <f>IF(Inputs!F354*F295&gt;0,F295/Inputs!F354-1,"n/m")</f>
        <v>0.17601007828669135</v>
      </c>
      <c r="G296" s="55">
        <f>IF(Inputs!G354*G295&gt;0,G295/Inputs!G354-1,"n/m")</f>
        <v>-0.032655206065610676</v>
      </c>
      <c r="H296" s="56">
        <f>IF(C295*H295&gt;0,H295/C295-1,"n/m")</f>
        <v>0.08265667291276291</v>
      </c>
      <c r="I296" s="1"/>
    </row>
    <row r="297">
      <c r="A297" s="1"/>
      <c r="B297" s="43" t="s">
        <v>118</v>
      </c>
      <c r="C297" s="15">
        <f>C295-Inputs!G354</f>
        <v>-2.626999999999999</v>
      </c>
      <c r="D297" s="4">
        <f>D295-C295</f>
        <v>2.0869999999999997</v>
      </c>
      <c r="E297" s="4"/>
      <c r="F297" s="4">
        <f>F295-D295</f>
        <v>0.036000000000001364</v>
      </c>
      <c r="G297" s="4">
        <f>G295-F295</f>
        <v>-0.3660000000000032</v>
      </c>
      <c r="H297" s="33">
        <f>H295-G295</f>
        <v>0.22800000000000153</v>
      </c>
      <c r="I297" s="1"/>
    </row>
    <row r="298">
      <c r="A298" s="1"/>
      <c r="B298" s="31" t="s">
        <v>388</v>
      </c>
      <c r="C298" s="4">
        <f>-C230</f>
        <v>77.484</v>
      </c>
      <c r="D298" s="4">
        <f>-D230</f>
        <v>230.12</v>
      </c>
      <c r="E298" s="4">
        <f>-E230</f>
        <v>690.3489999999999</v>
      </c>
      <c r="F298" s="4">
        <f>-F230</f>
        <v>209.436</v>
      </c>
      <c r="G298" s="4">
        <f>-G230</f>
        <v>209.833</v>
      </c>
      <c r="H298" s="33">
        <f>-H230</f>
        <v>154.50487950574512</v>
      </c>
      <c r="I298" s="1"/>
    </row>
    <row r="299">
      <c r="A299" s="1"/>
      <c r="B299" s="54" t="s">
        <v>443</v>
      </c>
      <c r="C299" s="32">
        <f>C291+C292+C298+C295</f>
        <v>2117.076</v>
      </c>
      <c r="D299" s="32">
        <f>D291+D292+D298+D295</f>
        <v>2629.053</v>
      </c>
      <c r="E299" s="32">
        <f>E291+E292+E298+E295</f>
        <v>8397.293000000001</v>
      </c>
      <c r="F299" s="32">
        <f>F291+F292+F298+F295</f>
        <v>2130.4700000000003</v>
      </c>
      <c r="G299" s="32">
        <f>G291+G292+G298+G295</f>
        <v>2357.6839999999997</v>
      </c>
      <c r="H299" s="44">
        <f>H291+H292+H298+H295</f>
        <v>1989.704464773472</v>
      </c>
      <c r="I299" s="1"/>
    </row>
    <row r="300">
      <c r="A300" s="1"/>
      <c r="B300" s="43" t="s">
        <v>444</v>
      </c>
      <c r="C300" s="26">
        <v>2117.076</v>
      </c>
      <c r="D300" s="26">
        <v>2629.053</v>
      </c>
      <c r="E300" s="4"/>
      <c r="F300" s="26">
        <v>2130.47</v>
      </c>
      <c r="G300" s="26">
        <v>2357.684</v>
      </c>
      <c r="H300" s="33"/>
      <c r="I300" s="1"/>
    </row>
    <row r="301">
      <c r="A301" s="1"/>
      <c r="B301" s="43" t="s">
        <v>218</v>
      </c>
      <c r="C301" s="4">
        <f>ROUND(C299-C300,3)</f>
        <v>0</v>
      </c>
      <c r="D301" s="4">
        <f>ROUND(D299-D300,3)</f>
        <v>0</v>
      </c>
      <c r="E301" s="4"/>
      <c r="F301" s="4">
        <f>ROUND(F299-F300,3)</f>
        <v>0</v>
      </c>
      <c r="G301" s="4">
        <f>ROUND(G299-G300,3)</f>
        <v>0</v>
      </c>
      <c r="H301" s="33"/>
      <c r="I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I46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2" t="s">
        <v>0</v>
      </c>
      <c r="C2" s="6"/>
      <c r="D2" s="6"/>
      <c r="E2" s="6"/>
      <c r="F2" s="6"/>
      <c r="G2" s="6"/>
      <c r="H2" s="6"/>
      <c r="I2" s="1"/>
    </row>
    <row r="3">
      <c r="A3" s="1"/>
      <c r="B3" s="2" t="s">
        <v>445</v>
      </c>
      <c r="C3" s="6"/>
      <c r="D3" s="6"/>
      <c r="E3" s="6"/>
      <c r="F3" s="6"/>
      <c r="G3" s="6"/>
      <c r="H3" s="6"/>
      <c r="I3" s="1"/>
    </row>
    <row r="4">
      <c r="A4" s="1"/>
      <c r="B4" s="1" t="s">
        <v>2</v>
      </c>
      <c r="C4" s="6"/>
      <c r="D4" s="6"/>
      <c r="E4" s="6"/>
      <c r="F4" s="6"/>
      <c r="G4" s="6"/>
      <c r="H4" s="6"/>
      <c r="I4" s="1"/>
    </row>
    <row r="5">
      <c r="A5" s="1"/>
      <c r="B5" s="29" t="s">
        <v>71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42" t="s">
        <v>4</v>
      </c>
    </row>
    <row r="6">
      <c r="A6" s="1"/>
      <c r="B6" s="19" t="s">
        <v>78</v>
      </c>
      <c r="C6" s="12">
        <v>45930</v>
      </c>
      <c r="D6" s="12">
        <v>46022</v>
      </c>
      <c r="E6" s="12">
        <v>46022</v>
      </c>
      <c r="F6" s="12">
        <v>46112</v>
      </c>
      <c r="G6" s="12">
        <v>46203</v>
      </c>
      <c r="H6" s="12">
        <v>46295</v>
      </c>
      <c r="I6" s="19"/>
    </row>
    <row r="7">
      <c r="A7" s="1"/>
      <c r="B7" s="27" t="s">
        <v>79</v>
      </c>
      <c r="C7" s="20">
        <v>92</v>
      </c>
      <c r="D7" s="20">
        <v>92</v>
      </c>
      <c r="E7" s="20">
        <v>365</v>
      </c>
      <c r="F7" s="20">
        <v>90</v>
      </c>
      <c r="G7" s="20">
        <v>91</v>
      </c>
      <c r="H7" s="20">
        <v>92</v>
      </c>
      <c r="I7" s="27"/>
    </row>
    <row r="8">
      <c r="A8" s="1"/>
      <c r="B8" s="1"/>
      <c r="C8" s="3"/>
      <c r="D8" s="3"/>
      <c r="E8" s="3"/>
      <c r="F8" s="3"/>
      <c r="G8" s="3"/>
      <c r="H8" s="37"/>
      <c r="I8" s="1"/>
    </row>
    <row r="9">
      <c r="A9" s="1"/>
      <c r="B9" s="2" t="s">
        <v>446</v>
      </c>
      <c r="C9" s="4"/>
      <c r="D9" s="4"/>
      <c r="E9" s="4"/>
      <c r="F9" s="4"/>
      <c r="G9" s="4"/>
      <c r="H9" s="33"/>
      <c r="I9" s="1"/>
    </row>
    <row r="10">
      <c r="A10" s="1"/>
      <c r="B10" s="31" t="s">
        <v>447</v>
      </c>
      <c r="C10" s="26">
        <v>2430.69</v>
      </c>
      <c r="D10" s="26">
        <v>2631.241</v>
      </c>
      <c r="E10" s="4">
        <f>D10</f>
        <v>2631.241</v>
      </c>
      <c r="F10" s="26">
        <v>2448.485</v>
      </c>
      <c r="G10" s="26">
        <v>2507.073</v>
      </c>
      <c r="H10" s="36">
        <f>'Cash Flow Statement'!H53-H11</f>
        <v>2462.2979850674496</v>
      </c>
      <c r="I10" s="8" t="s">
        <v>448</v>
      </c>
    </row>
    <row r="11">
      <c r="A11" s="1"/>
      <c r="B11" s="31" t="s">
        <v>449</v>
      </c>
      <c r="C11" s="26">
        <v>401.558</v>
      </c>
      <c r="D11" s="26">
        <v>223.441</v>
      </c>
      <c r="E11" s="4">
        <f>D11</f>
        <v>223.441</v>
      </c>
      <c r="F11" s="26">
        <v>261.955</v>
      </c>
      <c r="G11" s="26">
        <v>266.23</v>
      </c>
      <c r="H11" s="33">
        <f>G11</f>
        <v>266.23</v>
      </c>
      <c r="I11" s="8" t="s">
        <v>450</v>
      </c>
    </row>
    <row r="12">
      <c r="A12" s="1"/>
      <c r="B12" s="31" t="s">
        <v>451</v>
      </c>
      <c r="C12" s="26">
        <v>31528.443</v>
      </c>
      <c r="D12" s="26">
        <v>32212.111</v>
      </c>
      <c r="E12" s="4">
        <f>D12</f>
        <v>32212.111</v>
      </c>
      <c r="F12" s="26">
        <v>32747.619</v>
      </c>
      <c r="G12" s="26">
        <v>34587.729</v>
      </c>
      <c r="H12" s="36">
        <f>G12+'Income Statement'!H29+'Income Statement'!H41</f>
        <v>34737.729</v>
      </c>
      <c r="I12" s="8" t="s">
        <v>452</v>
      </c>
    </row>
    <row r="13">
      <c r="A13" s="1"/>
      <c r="B13" s="31" t="s">
        <v>453</v>
      </c>
      <c r="C13" s="26">
        <v>543.209</v>
      </c>
      <c r="D13" s="26">
        <v>291.758</v>
      </c>
      <c r="E13" s="4">
        <f>D13</f>
        <v>291.758</v>
      </c>
      <c r="F13" s="26">
        <v>572.832</v>
      </c>
      <c r="G13" s="26">
        <v>692.055</v>
      </c>
      <c r="H13" s="33">
        <f>G13</f>
        <v>692.055</v>
      </c>
      <c r="I13" s="1"/>
    </row>
    <row r="14">
      <c r="A14" s="1"/>
      <c r="B14" s="31" t="s">
        <v>454</v>
      </c>
      <c r="C14" s="26">
        <v>5845.843</v>
      </c>
      <c r="D14" s="26">
        <v>6357.462</v>
      </c>
      <c r="E14" s="4">
        <f>D14</f>
        <v>6357.462</v>
      </c>
      <c r="F14" s="26">
        <v>6395.165</v>
      </c>
      <c r="G14" s="26">
        <v>6218.066</v>
      </c>
      <c r="H14" s="33">
        <f>G14</f>
        <v>6218.066</v>
      </c>
      <c r="I14" s="1"/>
    </row>
    <row r="15">
      <c r="A15" s="1"/>
      <c r="B15" s="31" t="s">
        <v>455</v>
      </c>
      <c r="C15" s="26">
        <v>140.458</v>
      </c>
      <c r="D15" s="26">
        <v>131.359</v>
      </c>
      <c r="E15" s="4">
        <f>D15</f>
        <v>131.359</v>
      </c>
      <c r="F15" s="26">
        <v>122.324</v>
      </c>
      <c r="G15" s="26">
        <v>113.288</v>
      </c>
      <c r="H15" s="36">
        <f>G15-'Cash Flow Statement'!H16</f>
        <v>104.288</v>
      </c>
      <c r="I15" s="1"/>
    </row>
    <row r="16">
      <c r="A16" s="1"/>
      <c r="B16" s="31" t="s">
        <v>456</v>
      </c>
      <c r="C16" s="26">
        <v>1890.202</v>
      </c>
      <c r="D16" s="26">
        <v>1890.202</v>
      </c>
      <c r="E16" s="4">
        <f>D16</f>
        <v>1890.202</v>
      </c>
      <c r="F16" s="26">
        <v>1890.202</v>
      </c>
      <c r="G16" s="26">
        <v>1890.202</v>
      </c>
      <c r="H16" s="33">
        <f>G16</f>
        <v>1890.202</v>
      </c>
      <c r="I16" s="1"/>
    </row>
    <row r="17">
      <c r="A17" s="1"/>
      <c r="B17" s="31" t="s">
        <v>457</v>
      </c>
      <c r="C17" s="26">
        <v>900.582</v>
      </c>
      <c r="D17" s="26">
        <v>1157.719</v>
      </c>
      <c r="E17" s="4">
        <f>D17</f>
        <v>1157.719</v>
      </c>
      <c r="F17" s="26">
        <v>1035.171</v>
      </c>
      <c r="G17" s="26">
        <v>996.506</v>
      </c>
      <c r="H17" s="36">
        <f>G17-'Cash Flow Statement'!H32-'Cash Flow Statement'!H17</f>
        <v>1003.5059999999999</v>
      </c>
      <c r="I17" s="8" t="s">
        <v>458</v>
      </c>
    </row>
    <row r="18">
      <c r="A18" s="1"/>
      <c r="B18" s="31" t="s">
        <v>459</v>
      </c>
      <c r="C18" s="26">
        <v>773.03</v>
      </c>
      <c r="D18" s="26">
        <v>757.459</v>
      </c>
      <c r="E18" s="4">
        <f>D18</f>
        <v>757.459</v>
      </c>
      <c r="F18" s="26">
        <v>786.276</v>
      </c>
      <c r="G18" s="26">
        <v>743.127</v>
      </c>
      <c r="H18" s="33">
        <f>G18</f>
        <v>743.127</v>
      </c>
      <c r="I18" s="1"/>
    </row>
    <row r="19">
      <c r="A19" s="1"/>
      <c r="B19" s="31" t="s">
        <v>460</v>
      </c>
      <c r="C19" s="26">
        <v>2100.275</v>
      </c>
      <c r="D19" s="26">
        <v>2056.223</v>
      </c>
      <c r="E19" s="4">
        <f>D19</f>
        <v>2056.223</v>
      </c>
      <c r="F19" s="26">
        <v>2066.953</v>
      </c>
      <c r="G19" s="26">
        <v>1877.944</v>
      </c>
      <c r="H19" s="33">
        <f>G19</f>
        <v>1877.944</v>
      </c>
      <c r="I19" s="1"/>
    </row>
    <row r="20">
      <c r="A20" s="1"/>
      <c r="B20" s="2" t="s">
        <v>461</v>
      </c>
      <c r="C20" s="32">
        <f>C10+C11+C12+C13+C14+C15+C16+C17+C18+C19</f>
        <v>46554.29</v>
      </c>
      <c r="D20" s="32">
        <f>D10+D11+D12+D13+D14+D15+D16+D17+D18+D19</f>
        <v>47708.97499999999</v>
      </c>
      <c r="E20" s="32">
        <f>E10+E11+E12+E13+E14+E15+E16+E17+E18+E19</f>
        <v>47708.97499999999</v>
      </c>
      <c r="F20" s="32">
        <f>F10+F11+F12+F13+F14+F15+F16+F17+F18+F19</f>
        <v>48326.982</v>
      </c>
      <c r="G20" s="32">
        <f>G10+G11+G12+G13+G14+G15+G16+G17+G18+G19</f>
        <v>49892.22</v>
      </c>
      <c r="H20" s="44">
        <f>H10+H11+H12+H13+H14+H15+H16+H17+H18+H19</f>
        <v>49995.44498506745</v>
      </c>
      <c r="I20" s="1"/>
    </row>
    <row r="21">
      <c r="A21" s="1"/>
      <c r="B21" s="1"/>
      <c r="C21" s="3"/>
      <c r="D21" s="3"/>
      <c r="E21" s="3"/>
      <c r="F21" s="3"/>
      <c r="G21" s="3"/>
      <c r="H21" s="37"/>
      <c r="I21" s="1"/>
    </row>
    <row r="22">
      <c r="A22" s="1"/>
      <c r="B22" s="2" t="s">
        <v>462</v>
      </c>
      <c r="C22" s="4"/>
      <c r="D22" s="4"/>
      <c r="E22" s="4"/>
      <c r="F22" s="4"/>
      <c r="G22" s="4"/>
      <c r="H22" s="33"/>
      <c r="I22" s="1"/>
    </row>
    <row r="23">
      <c r="A23" s="1"/>
      <c r="B23" s="31" t="s">
        <v>463</v>
      </c>
      <c r="C23" s="26">
        <v>12002.65</v>
      </c>
      <c r="D23" s="26">
        <v>12445.144</v>
      </c>
      <c r="E23" s="4">
        <f>D23</f>
        <v>12445.144</v>
      </c>
      <c r="F23" s="26">
        <v>13280.285</v>
      </c>
      <c r="G23" s="26">
        <v>13194.73</v>
      </c>
      <c r="H23" s="36">
        <f>G23+'Cash Flow Statement'!H41+'Cash Flow Statement'!H42</f>
        <v>13194.73</v>
      </c>
      <c r="I23" s="1"/>
    </row>
    <row r="24">
      <c r="A24" s="1"/>
      <c r="B24" s="31" t="s">
        <v>464</v>
      </c>
      <c r="C24" s="26">
        <v>3000.083</v>
      </c>
      <c r="D24" s="26">
        <v>3224.432</v>
      </c>
      <c r="E24" s="4">
        <f>D24</f>
        <v>3224.432</v>
      </c>
      <c r="F24" s="26">
        <v>3244.627</v>
      </c>
      <c r="G24" s="26">
        <v>3484.356</v>
      </c>
      <c r="H24" s="33">
        <f>G24</f>
        <v>3484.356</v>
      </c>
      <c r="I24" s="1"/>
    </row>
    <row r="25">
      <c r="A25" s="1"/>
      <c r="B25" s="31" t="s">
        <v>465</v>
      </c>
      <c r="C25" s="26">
        <v>6385.958</v>
      </c>
      <c r="D25" s="26">
        <v>6411.389</v>
      </c>
      <c r="E25" s="4">
        <f>D25</f>
        <v>6411.389</v>
      </c>
      <c r="F25" s="26">
        <v>6396.285</v>
      </c>
      <c r="G25" s="26">
        <v>6844.156</v>
      </c>
      <c r="H25" s="36">
        <f>G25+'Income Statement'!H83</f>
        <v>6884.156</v>
      </c>
      <c r="I25" s="8" t="s">
        <v>466</v>
      </c>
    </row>
    <row r="26">
      <c r="A26" s="1"/>
      <c r="B26" s="31" t="s">
        <v>467</v>
      </c>
      <c r="C26" s="26">
        <v>886.135</v>
      </c>
      <c r="D26" s="26">
        <v>861.021</v>
      </c>
      <c r="E26" s="4">
        <f>D26</f>
        <v>861.021</v>
      </c>
      <c r="F26" s="26">
        <v>881.566</v>
      </c>
      <c r="G26" s="26">
        <v>832.586</v>
      </c>
      <c r="H26" s="33">
        <f>G26</f>
        <v>832.586</v>
      </c>
      <c r="I26" s="1"/>
    </row>
    <row r="27">
      <c r="A27" s="1"/>
      <c r="B27" s="31" t="s">
        <v>468</v>
      </c>
      <c r="C27" s="26">
        <v>2918.023</v>
      </c>
      <c r="D27" s="26">
        <v>2885.817</v>
      </c>
      <c r="E27" s="4">
        <f>D27</f>
        <v>2885.817</v>
      </c>
      <c r="F27" s="26">
        <v>3107.508</v>
      </c>
      <c r="G27" s="26">
        <v>3103.164</v>
      </c>
      <c r="H27" s="33">
        <f>G27</f>
        <v>3103.164</v>
      </c>
      <c r="I27" s="1"/>
    </row>
    <row r="28">
      <c r="A28" s="1"/>
      <c r="B28" s="2" t="s">
        <v>469</v>
      </c>
      <c r="C28" s="32">
        <f>C23+C24+C25+C26+C27</f>
        <v>25192.849</v>
      </c>
      <c r="D28" s="32">
        <f>D23+D24+D25+D26+D27</f>
        <v>25827.803</v>
      </c>
      <c r="E28" s="32">
        <f>E23+E24+E25+E26+E27</f>
        <v>25827.803</v>
      </c>
      <c r="F28" s="32">
        <f>F23+F24+F25+F26+F27</f>
        <v>26910.271</v>
      </c>
      <c r="G28" s="32">
        <f>G23+G24+G25+G26+G27</f>
        <v>27458.992</v>
      </c>
      <c r="H28" s="44">
        <f>H23+H24+H25+H26+H27</f>
        <v>27498.992</v>
      </c>
      <c r="I28" s="1"/>
    </row>
    <row r="29">
      <c r="A29" s="1"/>
      <c r="B29" s="31" t="s">
        <v>470</v>
      </c>
      <c r="C29" s="26">
        <v>1476.212</v>
      </c>
      <c r="D29" s="26">
        <v>1380.503</v>
      </c>
      <c r="E29" s="4">
        <f>D29</f>
        <v>1380.503</v>
      </c>
      <c r="F29" s="26">
        <v>1400.419</v>
      </c>
      <c r="G29" s="26">
        <v>1371.083</v>
      </c>
      <c r="H29" s="33">
        <f>G29</f>
        <v>1371.083</v>
      </c>
      <c r="I29" s="8" t="s">
        <v>471</v>
      </c>
    </row>
    <row r="30">
      <c r="A30" s="1"/>
      <c r="B30" s="31" t="s">
        <v>472</v>
      </c>
      <c r="C30" s="26">
        <v>0.007</v>
      </c>
      <c r="D30" s="26">
        <v>0.007</v>
      </c>
      <c r="E30" s="4">
        <f>D30</f>
        <v>0.007</v>
      </c>
      <c r="F30" s="26">
        <v>0.007</v>
      </c>
      <c r="G30" s="26">
        <v>0.007</v>
      </c>
      <c r="H30" s="33">
        <f>G30</f>
        <v>0.007</v>
      </c>
      <c r="I30" s="1"/>
    </row>
    <row r="31">
      <c r="A31" s="1"/>
      <c r="B31" s="31" t="s">
        <v>473</v>
      </c>
      <c r="C31" s="26">
        <v>8214.078</v>
      </c>
      <c r="D31" s="26">
        <v>8479.886</v>
      </c>
      <c r="E31" s="4">
        <f>D31</f>
        <v>8479.886</v>
      </c>
      <c r="F31" s="26">
        <v>8710.266</v>
      </c>
      <c r="G31" s="26">
        <v>9051.771</v>
      </c>
      <c r="H31" s="36">
        <f>G31+'Cash Flow Statement'!H15+'Cash Flow Statement'!H40</f>
        <v>9369.771</v>
      </c>
      <c r="I31" s="1"/>
    </row>
    <row r="32">
      <c r="A32" s="1"/>
      <c r="B32" s="31" t="s">
        <v>474</v>
      </c>
      <c r="C32" s="26">
        <v>184.04</v>
      </c>
      <c r="D32" s="26">
        <v>191.641</v>
      </c>
      <c r="E32" s="4">
        <f>D32</f>
        <v>191.641</v>
      </c>
      <c r="F32" s="26">
        <v>-323.733</v>
      </c>
      <c r="G32" s="26">
        <v>-18.646</v>
      </c>
      <c r="H32" s="36">
        <f>G32+'Income Statement'!H123-'Cash Flow Statement'!H47</f>
        <v>-274.45892475196536</v>
      </c>
      <c r="I32" s="1"/>
    </row>
    <row r="33">
      <c r="A33" s="1"/>
      <c r="B33" s="31" t="s">
        <v>475</v>
      </c>
      <c r="C33" s="26">
        <v>-5.602</v>
      </c>
      <c r="D33" s="26">
        <v>-6.008</v>
      </c>
      <c r="E33" s="4">
        <f>D33</f>
        <v>-6.008</v>
      </c>
      <c r="F33" s="26">
        <v>-15.77</v>
      </c>
      <c r="G33" s="26">
        <v>-18.589</v>
      </c>
      <c r="H33" s="33">
        <f>G33</f>
        <v>-18.589</v>
      </c>
      <c r="I33" s="1"/>
    </row>
    <row r="34">
      <c r="A34" s="1"/>
      <c r="B34" s="31" t="s">
        <v>476</v>
      </c>
      <c r="C34" s="26">
        <v>7162.957</v>
      </c>
      <c r="D34" s="26">
        <v>7224.211</v>
      </c>
      <c r="E34" s="4">
        <f>D34</f>
        <v>7224.211</v>
      </c>
      <c r="F34" s="26">
        <v>7226.994</v>
      </c>
      <c r="G34" s="26">
        <v>7104.291</v>
      </c>
      <c r="H34" s="33">
        <f>G34</f>
        <v>7104.291</v>
      </c>
      <c r="I34" s="8" t="s">
        <v>471</v>
      </c>
    </row>
    <row r="35">
      <c r="A35" s="1"/>
      <c r="B35" s="31" t="s">
        <v>477</v>
      </c>
      <c r="C35" s="26">
        <v>4329.749</v>
      </c>
      <c r="D35" s="26">
        <v>4610.932</v>
      </c>
      <c r="E35" s="4">
        <f>D35</f>
        <v>4610.932</v>
      </c>
      <c r="F35" s="26">
        <v>4418.528</v>
      </c>
      <c r="G35" s="26">
        <v>4943.311</v>
      </c>
      <c r="H35" s="36">
        <f>G35+'Income Statement'!H122-'Cash Flow Statement'!H48</f>
        <v>4944.348909819417</v>
      </c>
      <c r="I35" s="1"/>
    </row>
    <row r="36">
      <c r="A36" s="1"/>
      <c r="B36" s="2" t="s">
        <v>478</v>
      </c>
      <c r="C36" s="32">
        <f>C30+C31+C32+C33+C34+C35</f>
        <v>19885.229</v>
      </c>
      <c r="D36" s="32">
        <f>D30+D31+D32+D33+D34+D35</f>
        <v>20500.669</v>
      </c>
      <c r="E36" s="32">
        <f>E30+E31+E32+E33+E34+E35</f>
        <v>20500.669</v>
      </c>
      <c r="F36" s="32">
        <f>F30+F31+F32+F33+F34+F35</f>
        <v>20016.292</v>
      </c>
      <c r="G36" s="32">
        <f>G30+G31+G32+G33+G34+G35</f>
        <v>21062.144999999997</v>
      </c>
      <c r="H36" s="44">
        <f>H30+H31+H32+H33+H34+H35</f>
        <v>21125.369985067453</v>
      </c>
      <c r="I36" s="1"/>
    </row>
    <row r="37">
      <c r="A37" s="1"/>
      <c r="B37" s="2" t="s">
        <v>479</v>
      </c>
      <c r="C37" s="32">
        <f>C28+C29+C36</f>
        <v>46554.28999999999</v>
      </c>
      <c r="D37" s="32">
        <f>D28+D29+D36</f>
        <v>47708.975000000006</v>
      </c>
      <c r="E37" s="32">
        <f>E28+E29+E36</f>
        <v>47708.975000000006</v>
      </c>
      <c r="F37" s="32">
        <f>F28+F29+F36</f>
        <v>48326.982</v>
      </c>
      <c r="G37" s="32">
        <f>G28+G29+G36</f>
        <v>49892.219999999994</v>
      </c>
      <c r="H37" s="44">
        <f>H28+H29+H36</f>
        <v>49995.44498506745</v>
      </c>
      <c r="I37" s="1"/>
    </row>
    <row r="38">
      <c r="A38" s="1"/>
      <c r="B38" s="1" t="s">
        <v>480</v>
      </c>
      <c r="C38" s="4">
        <f>ROUND(C20-C28-C29-C36,3)</f>
        <v>0</v>
      </c>
      <c r="D38" s="4">
        <f>ROUND(D20-D28-D29-D36,3)</f>
        <v>0</v>
      </c>
      <c r="E38" s="4">
        <f>ROUND(E20-E28-E29-E36,3)</f>
        <v>0</v>
      </c>
      <c r="F38" s="4">
        <f>ROUND(F20-F28-F29-F36,3)</f>
        <v>0</v>
      </c>
      <c r="G38" s="4">
        <f>ROUND(G20-G28-G29-G36,3)</f>
        <v>0</v>
      </c>
      <c r="H38" s="33">
        <f>ROUND(H20-H28-H29-H36,3)</f>
        <v>0</v>
      </c>
      <c r="I38" s="8" t="s">
        <v>481</v>
      </c>
    </row>
    <row r="39">
      <c r="A39" s="1"/>
      <c r="B39" s="31" t="s">
        <v>482</v>
      </c>
      <c r="C39" s="26">
        <v>46554.29</v>
      </c>
      <c r="D39" s="26">
        <v>47708.975</v>
      </c>
      <c r="E39" s="4">
        <f>D39</f>
        <v>47708.975</v>
      </c>
      <c r="F39" s="26">
        <v>48326.982</v>
      </c>
      <c r="G39" s="26">
        <v>49892.22</v>
      </c>
      <c r="H39" s="33"/>
      <c r="I39" s="1"/>
    </row>
    <row r="40">
      <c r="A40" s="1"/>
      <c r="B40" s="31" t="s">
        <v>483</v>
      </c>
      <c r="C40" s="4">
        <f>ROUND(C20-C39,3)</f>
        <v>0</v>
      </c>
      <c r="D40" s="4">
        <f>ROUND(D20-D39,3)</f>
        <v>0</v>
      </c>
      <c r="E40" s="4">
        <f>ROUND(E20-E39,3)</f>
        <v>0</v>
      </c>
      <c r="F40" s="4">
        <f>ROUND(F20-F39,3)</f>
        <v>0</v>
      </c>
      <c r="G40" s="4">
        <f>ROUND(G20-G39,3)</f>
        <v>0</v>
      </c>
      <c r="H40" s="33"/>
      <c r="I40" s="1"/>
    </row>
    <row r="41">
      <c r="A41" s="1"/>
      <c r="B41" s="1"/>
      <c r="C41" s="3"/>
      <c r="D41" s="3"/>
      <c r="E41" s="3"/>
      <c r="F41" s="3"/>
      <c r="G41" s="3"/>
      <c r="H41" s="37"/>
      <c r="I41" s="1"/>
    </row>
    <row r="42">
      <c r="A42" s="1"/>
      <c r="B42" s="2" t="s">
        <v>484</v>
      </c>
      <c r="C42" s="4"/>
      <c r="D42" s="4"/>
      <c r="E42" s="4"/>
      <c r="F42" s="4"/>
      <c r="G42" s="4"/>
      <c r="H42" s="33"/>
      <c r="I42" s="1"/>
    </row>
    <row r="43">
      <c r="A43" s="1"/>
      <c r="B43" s="40" t="s">
        <v>485</v>
      </c>
      <c r="C43" s="39">
        <f>C23/C36</f>
        <v>0.6035962673600591</v>
      </c>
      <c r="D43" s="39">
        <f>D23/D36</f>
        <v>0.6070603842245343</v>
      </c>
      <c r="E43" s="39">
        <f>E23/E36</f>
        <v>0.6070603842245343</v>
      </c>
      <c r="F43" s="39">
        <f>F23/F36</f>
        <v>0.6634737842553455</v>
      </c>
      <c r="G43" s="39">
        <f>G23/G36</f>
        <v>0.6264665825821635</v>
      </c>
      <c r="H43" s="34">
        <f>H23/H36</f>
        <v>0.62459166439815</v>
      </c>
      <c r="I43" s="1"/>
    </row>
    <row r="44">
      <c r="A44" s="1"/>
      <c r="B44" s="43" t="s">
        <v>486</v>
      </c>
      <c r="C44" s="38" t="s">
        <v>32</v>
      </c>
      <c r="D44" s="38">
        <f>D43-C43</f>
        <v>0.0034641168644752307</v>
      </c>
      <c r="E44" s="38"/>
      <c r="F44" s="38">
        <f>F43-D43</f>
        <v>0.05641340003081119</v>
      </c>
      <c r="G44" s="38">
        <f>G43-F43</f>
        <v>-0.037007201673182055</v>
      </c>
      <c r="H44" s="41">
        <f>H43-G43</f>
        <v>-0.0018749181840135298</v>
      </c>
      <c r="I44" s="1"/>
    </row>
    <row r="45">
      <c r="A45" s="1"/>
      <c r="B45" s="1"/>
      <c r="C45" s="1"/>
      <c r="D45" s="1"/>
      <c r="E45" s="1"/>
      <c r="F45" s="1"/>
      <c r="G45" s="1"/>
      <c r="H45" s="1"/>
      <c r="I45" s="1"/>
    </row>
    <row r="46">
      <c r="A46" s="1"/>
      <c r="B46" s="1"/>
      <c r="C46" s="1"/>
      <c r="D46" s="1"/>
      <c r="E46" s="1"/>
      <c r="F46" s="1"/>
      <c r="G46" s="1"/>
      <c r="H46" s="1"/>
      <c r="I46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I61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2" t="s">
        <v>0</v>
      </c>
      <c r="C2" s="6"/>
      <c r="D2" s="6"/>
      <c r="E2" s="6"/>
      <c r="F2" s="6"/>
      <c r="G2" s="6"/>
      <c r="H2" s="6"/>
      <c r="I2" s="1"/>
    </row>
    <row r="3">
      <c r="A3" s="1"/>
      <c r="B3" s="2" t="s">
        <v>487</v>
      </c>
      <c r="C3" s="6"/>
      <c r="D3" s="6"/>
      <c r="E3" s="6"/>
      <c r="F3" s="6"/>
      <c r="G3" s="6"/>
      <c r="H3" s="6"/>
      <c r="I3" s="1"/>
    </row>
    <row r="4">
      <c r="A4" s="1"/>
      <c r="B4" s="1" t="s">
        <v>2</v>
      </c>
      <c r="C4" s="6"/>
      <c r="D4" s="6"/>
      <c r="E4" s="6"/>
      <c r="F4" s="6"/>
      <c r="G4" s="6"/>
      <c r="H4" s="6"/>
      <c r="I4" s="1"/>
    </row>
    <row r="5">
      <c r="A5" s="1"/>
      <c r="B5" s="29" t="s">
        <v>71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42" t="s">
        <v>4</v>
      </c>
    </row>
    <row r="6">
      <c r="A6" s="1"/>
      <c r="B6" s="19" t="s">
        <v>78</v>
      </c>
      <c r="C6" s="12">
        <v>45930</v>
      </c>
      <c r="D6" s="12">
        <v>46022</v>
      </c>
      <c r="E6" s="12">
        <v>46022</v>
      </c>
      <c r="F6" s="12">
        <v>46112</v>
      </c>
      <c r="G6" s="12">
        <v>46203</v>
      </c>
      <c r="H6" s="12">
        <v>46295</v>
      </c>
      <c r="I6" s="19"/>
    </row>
    <row r="7">
      <c r="A7" s="1"/>
      <c r="B7" s="27" t="s">
        <v>79</v>
      </c>
      <c r="C7" s="20">
        <v>92</v>
      </c>
      <c r="D7" s="20">
        <v>92</v>
      </c>
      <c r="E7" s="20">
        <v>365</v>
      </c>
      <c r="F7" s="20">
        <v>90</v>
      </c>
      <c r="G7" s="20">
        <v>91</v>
      </c>
      <c r="H7" s="20">
        <v>92</v>
      </c>
      <c r="I7" s="27"/>
    </row>
    <row r="8">
      <c r="A8" s="1"/>
      <c r="B8" s="1"/>
      <c r="C8" s="3"/>
      <c r="D8" s="3"/>
      <c r="E8" s="3"/>
      <c r="F8" s="3"/>
      <c r="G8" s="3"/>
      <c r="H8" s="37"/>
      <c r="I8" s="1"/>
    </row>
    <row r="9">
      <c r="A9" s="1"/>
      <c r="B9" s="2" t="s">
        <v>488</v>
      </c>
      <c r="C9" s="4"/>
      <c r="D9" s="4"/>
      <c r="E9" s="4"/>
      <c r="F9" s="4"/>
      <c r="G9" s="4"/>
      <c r="H9" s="33"/>
      <c r="I9" s="1"/>
    </row>
    <row r="10">
      <c r="A10" s="1"/>
      <c r="B10" s="31" t="s">
        <v>338</v>
      </c>
      <c r="C10" s="15">
        <f>Inputs!D367-Inputs!C367</f>
        <v>1236.9249999999997</v>
      </c>
      <c r="D10" s="15">
        <f>Inputs!E367-Inputs!D367</f>
        <v>1974.7909999999997</v>
      </c>
      <c r="E10" s="15">
        <f>Inputs!E367</f>
        <v>6046.623</v>
      </c>
      <c r="F10" s="15">
        <f>Inputs!F367</f>
        <v>1257.907</v>
      </c>
      <c r="G10" s="15">
        <f>Inputs!G367-Inputs!F367</f>
        <v>2356.066</v>
      </c>
      <c r="H10" s="36">
        <f>'Income Statement'!H116</f>
        <v>1499.7437950574513</v>
      </c>
      <c r="I10" s="1"/>
    </row>
    <row r="11">
      <c r="A11" s="1"/>
      <c r="B11" s="31" t="s">
        <v>489</v>
      </c>
      <c r="C11" s="15">
        <f>Inputs!D368-Inputs!C368</f>
        <v>-1158.754</v>
      </c>
      <c r="D11" s="15">
        <f>Inputs!E368-Inputs!D368</f>
        <v>-1755.6509999999998</v>
      </c>
      <c r="E11" s="15">
        <f>Inputs!E368</f>
        <v>-4820.209</v>
      </c>
      <c r="F11" s="15">
        <f>Inputs!F368</f>
        <v>-1434.843</v>
      </c>
      <c r="G11" s="15">
        <f>Inputs!G368-Inputs!F368</f>
        <v>-1502.8790000000001</v>
      </c>
      <c r="H11" s="60">
        <v>0</v>
      </c>
      <c r="I11" s="8" t="s">
        <v>490</v>
      </c>
    </row>
    <row r="12">
      <c r="A12" s="1"/>
      <c r="B12" s="31" t="s">
        <v>491</v>
      </c>
      <c r="C12" s="15">
        <f>Inputs!D369-Inputs!C369</f>
        <v>169.96399999999994</v>
      </c>
      <c r="D12" s="15">
        <f>Inputs!E369-Inputs!D369</f>
        <v>-25.16799999999995</v>
      </c>
      <c r="E12" s="15">
        <f>Inputs!E369</f>
        <v>-488.09</v>
      </c>
      <c r="F12" s="15">
        <f>Inputs!F369</f>
        <v>317.115</v>
      </c>
      <c r="G12" s="15">
        <f>Inputs!G369-Inputs!F369</f>
        <v>-524.566</v>
      </c>
      <c r="H12" s="36">
        <f>-'Income Statement'!H41</f>
        <v>-50</v>
      </c>
      <c r="I12" s="1"/>
    </row>
    <row r="13">
      <c r="A13" s="1"/>
      <c r="B13" s="31" t="s">
        <v>492</v>
      </c>
      <c r="C13" s="15">
        <f>Inputs!D370-Inputs!C370</f>
        <v>215.81800000000004</v>
      </c>
      <c r="D13" s="15">
        <f>Inputs!E370-Inputs!D370</f>
        <v>-282.397</v>
      </c>
      <c r="E13" s="15">
        <f>Inputs!E370</f>
        <v>-643.063</v>
      </c>
      <c r="F13" s="15">
        <f>Inputs!F370</f>
        <v>-283.452</v>
      </c>
      <c r="G13" s="15">
        <f>Inputs!G370-Inputs!F370</f>
        <v>-587.14</v>
      </c>
      <c r="H13" s="36">
        <f>-'Income Statement'!H29</f>
        <v>-100</v>
      </c>
      <c r="I13" s="1"/>
    </row>
    <row r="14">
      <c r="A14" s="1"/>
      <c r="B14" s="31" t="s">
        <v>493</v>
      </c>
      <c r="C14" s="15">
        <f>Inputs!D371-Inputs!C371</f>
        <v>384.861</v>
      </c>
      <c r="D14" s="15">
        <f>Inputs!E371-Inputs!D371</f>
        <v>610.5830000000001</v>
      </c>
      <c r="E14" s="15">
        <f>Inputs!E371</f>
        <v>1948.679</v>
      </c>
      <c r="F14" s="15">
        <f>Inputs!F371</f>
        <v>577.518</v>
      </c>
      <c r="G14" s="15">
        <f>Inputs!G371-Inputs!F371</f>
        <v>851.1099999999999</v>
      </c>
      <c r="H14" s="36">
        <f>'Income Statement'!H83</f>
        <v>40</v>
      </c>
      <c r="I14" s="1"/>
    </row>
    <row r="15">
      <c r="A15" s="1"/>
      <c r="B15" s="31" t="s">
        <v>401</v>
      </c>
      <c r="C15" s="15">
        <f>Inputs!D372-Inputs!C372</f>
        <v>303.3169999999999</v>
      </c>
      <c r="D15" s="15">
        <f>Inputs!E372-Inputs!D372</f>
        <v>358.59000000000015</v>
      </c>
      <c r="E15" s="15">
        <f>Inputs!E372</f>
        <v>1445.352</v>
      </c>
      <c r="F15" s="15">
        <f>Inputs!F372</f>
        <v>560.862</v>
      </c>
      <c r="G15" s="15">
        <f>Inputs!G372-Inputs!F372</f>
        <v>354.606</v>
      </c>
      <c r="H15" s="36">
        <f>'Income Statement'!H164+'Income Statement'!H167</f>
        <v>338</v>
      </c>
      <c r="I15" s="1"/>
    </row>
    <row r="16">
      <c r="A16" s="1"/>
      <c r="B16" s="31" t="s">
        <v>394</v>
      </c>
      <c r="C16" s="15">
        <f>Inputs!D373-Inputs!C373</f>
        <v>8.974999999999998</v>
      </c>
      <c r="D16" s="15">
        <f>Inputs!E373-Inputs!D373</f>
        <v>9.099000000000004</v>
      </c>
      <c r="E16" s="15">
        <f>Inputs!E373</f>
        <v>36.023</v>
      </c>
      <c r="F16" s="15">
        <f>Inputs!F373</f>
        <v>9.035</v>
      </c>
      <c r="G16" s="15">
        <f>Inputs!G373-Inputs!F373</f>
        <v>9.036999999999999</v>
      </c>
      <c r="H16" s="60">
        <v>9</v>
      </c>
      <c r="I16" s="1"/>
    </row>
    <row r="17">
      <c r="A17" s="1"/>
      <c r="B17" s="31" t="s">
        <v>494</v>
      </c>
      <c r="C17" s="15">
        <f>Inputs!D374-Inputs!C374</f>
        <v>-104.139</v>
      </c>
      <c r="D17" s="15">
        <f>Inputs!E374-Inputs!D374</f>
        <v>-28.106</v>
      </c>
      <c r="E17" s="15">
        <f>Inputs!E374</f>
        <v>3.79</v>
      </c>
      <c r="F17" s="15">
        <f>Inputs!F374</f>
        <v>-201.23</v>
      </c>
      <c r="G17" s="15">
        <f>Inputs!G374-Inputs!F374</f>
        <v>-61.79400000000001</v>
      </c>
      <c r="H17" s="60">
        <v>26</v>
      </c>
      <c r="I17" s="1"/>
    </row>
    <row r="18">
      <c r="A18" s="1"/>
      <c r="B18" s="31" t="s">
        <v>495</v>
      </c>
      <c r="C18" s="15">
        <f>Inputs!D375-Inputs!C375</f>
        <v>0</v>
      </c>
      <c r="D18" s="15">
        <f>Inputs!E375-Inputs!D375</f>
        <v>0</v>
      </c>
      <c r="E18" s="15">
        <f>Inputs!E375</f>
        <v>0</v>
      </c>
      <c r="F18" s="15">
        <f>Inputs!F375</f>
        <v>0.83</v>
      </c>
      <c r="G18" s="15">
        <f>Inputs!G375-Inputs!F375</f>
        <v>0</v>
      </c>
      <c r="H18" s="60">
        <v>0</v>
      </c>
      <c r="I18" s="8" t="s">
        <v>490</v>
      </c>
    </row>
    <row r="19">
      <c r="A19" s="1"/>
      <c r="B19" s="31" t="s">
        <v>496</v>
      </c>
      <c r="C19" s="15">
        <f>Inputs!D376-Inputs!C376</f>
        <v>0</v>
      </c>
      <c r="D19" s="15">
        <f>Inputs!E376-Inputs!D376</f>
        <v>-3.6740000000000066</v>
      </c>
      <c r="E19" s="15">
        <f>Inputs!E376</f>
        <v>-69.477</v>
      </c>
      <c r="F19" s="15">
        <f>Inputs!F376</f>
        <v>-0.038</v>
      </c>
      <c r="G19" s="15">
        <f>Inputs!G376-Inputs!F376</f>
        <v>-12.908</v>
      </c>
      <c r="H19" s="60">
        <v>0</v>
      </c>
      <c r="I19" s="8" t="s">
        <v>490</v>
      </c>
    </row>
    <row r="20">
      <c r="A20" s="1"/>
      <c r="B20" s="31" t="s">
        <v>453</v>
      </c>
      <c r="C20" s="15">
        <f>Inputs!D377-Inputs!C377</f>
        <v>-260.36899999999997</v>
      </c>
      <c r="D20" s="15">
        <f>Inputs!E377-Inputs!D377</f>
        <v>165.74599999999998</v>
      </c>
      <c r="E20" s="15">
        <f>Inputs!E377</f>
        <v>-211.94</v>
      </c>
      <c r="F20" s="15">
        <f>Inputs!F377</f>
        <v>-366.998</v>
      </c>
      <c r="G20" s="15">
        <f>Inputs!G377-Inputs!F377</f>
        <v>-35.66399999999999</v>
      </c>
      <c r="H20" s="60">
        <v>0</v>
      </c>
      <c r="I20" s="8" t="s">
        <v>490</v>
      </c>
    </row>
    <row r="21">
      <c r="A21" s="1"/>
      <c r="B21" s="31" t="s">
        <v>454</v>
      </c>
      <c r="C21" s="15">
        <f>Inputs!D378-Inputs!C378</f>
        <v>-253.154</v>
      </c>
      <c r="D21" s="15">
        <f>Inputs!E378-Inputs!D378</f>
        <v>-174.959</v>
      </c>
      <c r="E21" s="15">
        <f>Inputs!E378</f>
        <v>-186.473</v>
      </c>
      <c r="F21" s="15">
        <f>Inputs!F378</f>
        <v>238.42</v>
      </c>
      <c r="G21" s="15">
        <f>Inputs!G378-Inputs!F378</f>
        <v>237.66300000000004</v>
      </c>
      <c r="H21" s="60">
        <v>0</v>
      </c>
      <c r="I21" s="8" t="s">
        <v>490</v>
      </c>
    </row>
    <row r="22">
      <c r="A22" s="1"/>
      <c r="B22" s="31" t="s">
        <v>457</v>
      </c>
      <c r="C22" s="15">
        <f>Inputs!D379-Inputs!C379</f>
        <v>-37.57000000000001</v>
      </c>
      <c r="D22" s="15">
        <f>Inputs!E379-Inputs!D379</f>
        <v>-247.508</v>
      </c>
      <c r="E22" s="15">
        <f>Inputs!E379</f>
        <v>-166.395</v>
      </c>
      <c r="F22" s="15">
        <f>Inputs!F379</f>
        <v>154.786</v>
      </c>
      <c r="G22" s="15">
        <f>Inputs!G379-Inputs!F379</f>
        <v>39.980999999999995</v>
      </c>
      <c r="H22" s="60">
        <v>0</v>
      </c>
      <c r="I22" s="8" t="s">
        <v>490</v>
      </c>
    </row>
    <row r="23">
      <c r="A23" s="1"/>
      <c r="B23" s="31" t="s">
        <v>465</v>
      </c>
      <c r="C23" s="15">
        <f>Inputs!D380-Inputs!C380</f>
        <v>-108.77999999999997</v>
      </c>
      <c r="D23" s="15">
        <f>Inputs!E380-Inputs!D380</f>
        <v>-679.278</v>
      </c>
      <c r="E23" s="15">
        <f>Inputs!E380</f>
        <v>-1493.875</v>
      </c>
      <c r="F23" s="15">
        <f>Inputs!F380</f>
        <v>-709.726</v>
      </c>
      <c r="G23" s="15">
        <f>Inputs!G380-Inputs!F380</f>
        <v>-244.18100000000004</v>
      </c>
      <c r="H23" s="60">
        <v>0</v>
      </c>
      <c r="I23" s="8" t="s">
        <v>490</v>
      </c>
    </row>
    <row r="24">
      <c r="A24" s="1"/>
      <c r="B24" s="31" t="s">
        <v>497</v>
      </c>
      <c r="C24" s="15">
        <f>Inputs!D381-Inputs!C381</f>
        <v>482.608</v>
      </c>
      <c r="D24" s="15">
        <f>Inputs!E381-Inputs!D381</f>
        <v>54.870000000000005</v>
      </c>
      <c r="E24" s="15">
        <f>Inputs!E381</f>
        <v>514.278</v>
      </c>
      <c r="F24" s="15">
        <f>Inputs!F381</f>
        <v>176.546</v>
      </c>
      <c r="G24" s="15">
        <f>Inputs!G381-Inputs!F381</f>
        <v>-10.451999999999998</v>
      </c>
      <c r="H24" s="60">
        <v>0</v>
      </c>
      <c r="I24" s="8" t="s">
        <v>490</v>
      </c>
    </row>
    <row r="25">
      <c r="A25" s="1"/>
      <c r="B25" s="31" t="s">
        <v>464</v>
      </c>
      <c r="C25" s="15">
        <f>Inputs!D382-Inputs!C382</f>
        <v>9.804999999999978</v>
      </c>
      <c r="D25" s="15">
        <f>Inputs!E382-Inputs!D382</f>
        <v>16.24900000000001</v>
      </c>
      <c r="E25" s="15">
        <f>Inputs!E382</f>
        <v>-124.099</v>
      </c>
      <c r="F25" s="15">
        <f>Inputs!F382</f>
        <v>-24.181</v>
      </c>
      <c r="G25" s="15">
        <f>Inputs!G382-Inputs!F382</f>
        <v>35.18</v>
      </c>
      <c r="H25" s="60">
        <v>0</v>
      </c>
      <c r="I25" s="8" t="s">
        <v>490</v>
      </c>
    </row>
    <row r="26">
      <c r="A26" s="1"/>
      <c r="B26" s="31" t="s">
        <v>498</v>
      </c>
      <c r="C26" s="15">
        <f>Inputs!D383-Inputs!C383</f>
        <v>-647.6599999999999</v>
      </c>
      <c r="D26" s="15">
        <f>Inputs!E383-Inputs!D383</f>
        <v>-808.1019999999999</v>
      </c>
      <c r="E26" s="15">
        <f>Inputs!E383</f>
        <v>-3807.149</v>
      </c>
      <c r="F26" s="15">
        <f>Inputs!F383</f>
        <v>-910.198</v>
      </c>
      <c r="G26" s="15">
        <f>Inputs!G383-Inputs!F383</f>
        <v>-507.50300000000004</v>
      </c>
      <c r="H26" s="60">
        <v>0</v>
      </c>
      <c r="I26" s="8" t="s">
        <v>490</v>
      </c>
    </row>
    <row r="27">
      <c r="A27" s="1"/>
      <c r="B27" s="31" t="s">
        <v>499</v>
      </c>
      <c r="C27" s="15">
        <f>Inputs!D384-Inputs!C384</f>
        <v>1355.7979999999998</v>
      </c>
      <c r="D27" s="15">
        <f>Inputs!E384-Inputs!D384</f>
        <v>1882.71</v>
      </c>
      <c r="E27" s="15">
        <f>Inputs!E384</f>
        <v>6679.186</v>
      </c>
      <c r="F27" s="15">
        <f>Inputs!F384</f>
        <v>1628.693</v>
      </c>
      <c r="G27" s="15">
        <f>Inputs!G384-Inputs!F384</f>
        <v>1544.8480000000002</v>
      </c>
      <c r="H27" s="60">
        <v>0</v>
      </c>
      <c r="I27" s="8" t="s">
        <v>490</v>
      </c>
    </row>
    <row r="28">
      <c r="A28" s="1"/>
      <c r="B28" s="2" t="s">
        <v>500</v>
      </c>
      <c r="C28" s="32">
        <f>C10+C11+C12+C13+C14+C15+C16+C17+C18+C19+C20+C21+C22+C23+C24+C25+C26+C27</f>
        <v>1597.645</v>
      </c>
      <c r="D28" s="32">
        <f>D10+D11+D12+D13+D14+D15+D16+D17+D18+D19+D20+D21+D22+D23+D24+D25+D26+D27</f>
        <v>1067.7950000000005</v>
      </c>
      <c r="E28" s="32">
        <f>E10+E11+E12+E13+E14+E15+E16+E17+E18+E19+E20+E21+E22+E23+E24+E25+E26+E27</f>
        <v>4663.161</v>
      </c>
      <c r="F28" s="32">
        <f>F10+F11+F12+F13+F14+F15+F16+F17+F18+F19+F20+F21+F22+F23+F24+F25+F26+F27</f>
        <v>991.0459999999998</v>
      </c>
      <c r="G28" s="32">
        <f>G10+G11+G12+G13+G14+G15+G16+G17+G18+G19+G20+G21+G22+G23+G24+G25+G26+G27</f>
        <v>1941.4039999999998</v>
      </c>
      <c r="H28" s="44">
        <f>H10+H11+H12+H13+H14+H15+H16+H17+H18+H19+H20+H21+H22+H23+H24+H25+H26+H27</f>
        <v>1762.7437950574513</v>
      </c>
      <c r="I28" s="102" t="s">
        <v>501</v>
      </c>
    </row>
    <row r="29">
      <c r="A29" s="1"/>
      <c r="B29" s="31" t="s">
        <v>502</v>
      </c>
      <c r="C29" s="15">
        <f>ROUND(C28-(Inputs!D394-Inputs!C394),3)</f>
        <v>0</v>
      </c>
      <c r="D29" s="15">
        <f>ROUND(D28-(Inputs!E394-Inputs!D394),3)</f>
        <v>0</v>
      </c>
      <c r="E29" s="15">
        <f>ROUND(E28-(Inputs!E394),3)</f>
        <v>0</v>
      </c>
      <c r="F29" s="15">
        <f>ROUND(F28-(Inputs!F394),3)</f>
        <v>0</v>
      </c>
      <c r="G29" s="15">
        <f>ROUND(G28-(Inputs!G394-Inputs!F394),3)</f>
        <v>0</v>
      </c>
      <c r="H29" s="33"/>
      <c r="I29" s="1"/>
    </row>
    <row r="30">
      <c r="A30" s="1"/>
      <c r="B30" s="1"/>
      <c r="C30" s="3"/>
      <c r="D30" s="3"/>
      <c r="E30" s="3"/>
      <c r="F30" s="3"/>
      <c r="G30" s="3"/>
      <c r="H30" s="37"/>
      <c r="I30" s="1"/>
    </row>
    <row r="31">
      <c r="A31" s="1"/>
      <c r="B31" s="2" t="s">
        <v>503</v>
      </c>
      <c r="C31" s="4"/>
      <c r="D31" s="4"/>
      <c r="E31" s="4"/>
      <c r="F31" s="4"/>
      <c r="G31" s="4"/>
      <c r="H31" s="33"/>
      <c r="I31" s="1"/>
    </row>
    <row r="32">
      <c r="A32" s="1"/>
      <c r="B32" s="31" t="s">
        <v>504</v>
      </c>
      <c r="C32" s="15">
        <f>Inputs!D385-Inputs!C385</f>
        <v>-23.928999999999988</v>
      </c>
      <c r="D32" s="15">
        <f>Inputs!E385-Inputs!D385</f>
        <v>-22.35000000000001</v>
      </c>
      <c r="E32" s="15">
        <f>Inputs!E385</f>
        <v>-115.703</v>
      </c>
      <c r="F32" s="15">
        <f>Inputs!F385</f>
        <v>-33.409</v>
      </c>
      <c r="G32" s="15">
        <f>Inputs!G385-Inputs!F385</f>
        <v>-31.963</v>
      </c>
      <c r="H32" s="60">
        <v>-33</v>
      </c>
      <c r="I32" s="1"/>
    </row>
    <row r="33">
      <c r="A33" s="1"/>
      <c r="B33" s="2" t="s">
        <v>505</v>
      </c>
      <c r="C33" s="32">
        <f>C32</f>
        <v>-23.928999999999988</v>
      </c>
      <c r="D33" s="32">
        <f>D32</f>
        <v>-22.35000000000001</v>
      </c>
      <c r="E33" s="32">
        <f>E32</f>
        <v>-115.703</v>
      </c>
      <c r="F33" s="32">
        <f>F32</f>
        <v>-33.409</v>
      </c>
      <c r="G33" s="32">
        <f>G32</f>
        <v>-31.963</v>
      </c>
      <c r="H33" s="44">
        <f>H32</f>
        <v>-33</v>
      </c>
      <c r="I33" s="1"/>
    </row>
    <row r="34">
      <c r="A34" s="1"/>
      <c r="B34" s="31" t="s">
        <v>502</v>
      </c>
      <c r="C34" s="15">
        <f>ROUND(C33-(Inputs!D395-Inputs!C395),3)</f>
        <v>0</v>
      </c>
      <c r="D34" s="15">
        <f>ROUND(D33-(Inputs!E395-Inputs!D395),3)</f>
        <v>0</v>
      </c>
      <c r="E34" s="15">
        <f>ROUND(E33-(Inputs!E395),3)</f>
        <v>0</v>
      </c>
      <c r="F34" s="15">
        <f>ROUND(F33-(Inputs!F395),3)</f>
        <v>0</v>
      </c>
      <c r="G34" s="15">
        <f>ROUND(G33-(Inputs!G395-Inputs!F395),3)</f>
        <v>0</v>
      </c>
      <c r="H34" s="33"/>
      <c r="I34" s="1"/>
    </row>
    <row r="35">
      <c r="A35" s="1"/>
      <c r="B35" s="1"/>
      <c r="C35" s="3"/>
      <c r="D35" s="3"/>
      <c r="E35" s="3"/>
      <c r="F35" s="3"/>
      <c r="G35" s="3"/>
      <c r="H35" s="37"/>
      <c r="I35" s="1"/>
    </row>
    <row r="36">
      <c r="A36" s="1"/>
      <c r="B36" s="2" t="s">
        <v>506</v>
      </c>
      <c r="C36" s="4"/>
      <c r="D36" s="4"/>
      <c r="E36" s="4"/>
      <c r="F36" s="4"/>
      <c r="G36" s="4"/>
      <c r="H36" s="33"/>
      <c r="I36" s="1"/>
    </row>
    <row r="37">
      <c r="A37" s="1"/>
      <c r="B37" s="31" t="s">
        <v>507</v>
      </c>
      <c r="C37" s="15">
        <f>Inputs!D386-Inputs!C386</f>
        <v>-318.177</v>
      </c>
      <c r="D37" s="15">
        <f>Inputs!E386-Inputs!D386</f>
        <v>-235.11200000000008</v>
      </c>
      <c r="E37" s="15">
        <f>Inputs!E386</f>
        <v>-1035.141</v>
      </c>
      <c r="F37" s="15">
        <f>Inputs!F386</f>
        <v>-356.296</v>
      </c>
      <c r="G37" s="15">
        <f>Inputs!G386-Inputs!F386</f>
        <v>-483.02400000000006</v>
      </c>
      <c r="H37" s="36">
        <f>-('Income Statement'!H120+'Income Statement'!H121)</f>
        <v>-150</v>
      </c>
      <c r="I37" s="1"/>
    </row>
    <row r="38">
      <c r="A38" s="1"/>
      <c r="B38" s="31" t="s">
        <v>508</v>
      </c>
      <c r="C38" s="15">
        <f>Inputs!D387-Inputs!C387</f>
        <v>496.5519999999999</v>
      </c>
      <c r="D38" s="15">
        <f>Inputs!E387-Inputs!D387</f>
        <v>183.82299999999987</v>
      </c>
      <c r="E38" s="15">
        <f>Inputs!E387</f>
        <v>2525.477</v>
      </c>
      <c r="F38" s="15">
        <f>Inputs!F387</f>
        <v>458.136</v>
      </c>
      <c r="G38" s="15">
        <f>Inputs!G387-Inputs!F387</f>
        <v>275.11599999999993</v>
      </c>
      <c r="H38" s="60">
        <v>0</v>
      </c>
      <c r="I38" s="8" t="s">
        <v>490</v>
      </c>
    </row>
    <row r="39">
      <c r="A39" s="1"/>
      <c r="B39" s="31" t="s">
        <v>509</v>
      </c>
      <c r="C39" s="15">
        <f>Inputs!D388-Inputs!C388</f>
        <v>0</v>
      </c>
      <c r="D39" s="15">
        <f>Inputs!E388-Inputs!D388</f>
        <v>0</v>
      </c>
      <c r="E39" s="15">
        <f>Inputs!E388</f>
        <v>-43.954</v>
      </c>
      <c r="F39" s="15">
        <f>Inputs!F388</f>
        <v>-63.82</v>
      </c>
      <c r="G39" s="15">
        <f>Inputs!G388-Inputs!F388</f>
        <v>0</v>
      </c>
      <c r="H39" s="60">
        <v>0</v>
      </c>
      <c r="I39" s="8" t="s">
        <v>490</v>
      </c>
    </row>
    <row r="40">
      <c r="A40" s="1"/>
      <c r="B40" s="31" t="s">
        <v>510</v>
      </c>
      <c r="C40" s="15">
        <f>Inputs!D389-Inputs!C389</f>
        <v>-126.05000000000001</v>
      </c>
      <c r="D40" s="15">
        <f>Inputs!E389-Inputs!D389</f>
        <v>-51.06700000000001</v>
      </c>
      <c r="E40" s="15">
        <f>Inputs!E389</f>
        <v>-312.48</v>
      </c>
      <c r="F40" s="15">
        <f>Inputs!F389</f>
        <v>-66.347</v>
      </c>
      <c r="G40" s="15">
        <f>Inputs!G389-Inputs!F389</f>
        <v>-42.21100000000001</v>
      </c>
      <c r="H40" s="60">
        <v>-20</v>
      </c>
      <c r="I40" s="1"/>
    </row>
    <row r="41">
      <c r="A41" s="1"/>
      <c r="B41" s="31" t="s">
        <v>511</v>
      </c>
      <c r="C41" s="15">
        <f>Inputs!D390-Inputs!C390</f>
        <v>202.173</v>
      </c>
      <c r="D41" s="15">
        <f>Inputs!E390-Inputs!D390</f>
        <v>1587.0069999999998</v>
      </c>
      <c r="E41" s="15">
        <f>Inputs!E390</f>
        <v>2813.736</v>
      </c>
      <c r="F41" s="15">
        <f>Inputs!F390</f>
        <v>900</v>
      </c>
      <c r="G41" s="15">
        <f>Inputs!G390-Inputs!F390</f>
        <v>737.8589999999999</v>
      </c>
      <c r="H41" s="60">
        <v>0</v>
      </c>
      <c r="I41" s="8" t="s">
        <v>490</v>
      </c>
    </row>
    <row r="42">
      <c r="A42" s="1"/>
      <c r="B42" s="31" t="s">
        <v>512</v>
      </c>
      <c r="C42" s="15">
        <f>Inputs!D391-Inputs!C391</f>
        <v>-200</v>
      </c>
      <c r="D42" s="15">
        <f>Inputs!E391-Inputs!D391</f>
        <v>-906.696</v>
      </c>
      <c r="E42" s="15">
        <f>Inputs!E391</f>
        <v>-1813.058</v>
      </c>
      <c r="F42" s="15">
        <f>Inputs!F391</f>
        <v>-47.686</v>
      </c>
      <c r="G42" s="15">
        <f>Inputs!G391-Inputs!F391</f>
        <v>-803.632</v>
      </c>
      <c r="H42" s="60">
        <v>0</v>
      </c>
      <c r="I42" s="8" t="s">
        <v>490</v>
      </c>
    </row>
    <row r="43">
      <c r="A43" s="1"/>
      <c r="B43" s="31" t="s">
        <v>513</v>
      </c>
      <c r="C43" s="15">
        <f>Inputs!D392-Inputs!C392</f>
        <v>-1341.8240000000005</v>
      </c>
      <c r="D43" s="15">
        <f>Inputs!E392-Inputs!D392</f>
        <v>-1597.5529999999999</v>
      </c>
      <c r="E43" s="15">
        <f>Inputs!E392</f>
        <v>-6013.385</v>
      </c>
      <c r="F43" s="15">
        <f>Inputs!F392</f>
        <v>-1917.928</v>
      </c>
      <c r="G43" s="15">
        <f>Inputs!G392-Inputs!F392</f>
        <v>-1528.9039999999998</v>
      </c>
      <c r="H43" s="33">
        <f>-(H47+H48)</f>
        <v>-1604.51880999</v>
      </c>
      <c r="I43" s="8" t="s">
        <v>514</v>
      </c>
    </row>
    <row r="44">
      <c r="A44" s="1"/>
      <c r="B44" s="2" t="s">
        <v>515</v>
      </c>
      <c r="C44" s="32">
        <f>C37+C38+C39+C40+C41+C42+C43</f>
        <v>-1287.3260000000007</v>
      </c>
      <c r="D44" s="32">
        <f>D37+D38+D39+D40+D41+D42+D43</f>
        <v>-1019.5980000000003</v>
      </c>
      <c r="E44" s="32">
        <f>E37+E38+E39+E40+E41+E42+E43</f>
        <v>-3878.8050000000003</v>
      </c>
      <c r="F44" s="32">
        <f>F37+F38+F39+F40+F41+F42+F43</f>
        <v>-1093.9410000000003</v>
      </c>
      <c r="G44" s="32">
        <f>G37+G38+G39+G40+G41+G42+G43</f>
        <v>-1844.7959999999998</v>
      </c>
      <c r="H44" s="44">
        <f>H37+H38+H39+H40+H41+H42+H43</f>
        <v>-1774.51880999</v>
      </c>
      <c r="I44" s="1"/>
    </row>
    <row r="45">
      <c r="A45" s="1"/>
      <c r="B45" s="31" t="s">
        <v>502</v>
      </c>
      <c r="C45" s="15">
        <f>ROUND(C44-(Inputs!D396-Inputs!C396),3)</f>
        <v>0</v>
      </c>
      <c r="D45" s="15">
        <f>ROUND(D44-(Inputs!E396-Inputs!D396),3)</f>
        <v>0</v>
      </c>
      <c r="E45" s="15">
        <f>ROUND(E44-(Inputs!E396),3)</f>
        <v>0</v>
      </c>
      <c r="F45" s="15">
        <f>ROUND(F44-(Inputs!F396),3)</f>
        <v>0</v>
      </c>
      <c r="G45" s="15">
        <f>ROUND(G44-(Inputs!G396-Inputs!F396),3)</f>
        <v>0</v>
      </c>
      <c r="H45" s="33"/>
      <c r="I45" s="1"/>
    </row>
    <row r="46">
      <c r="A46" s="1"/>
      <c r="B46" s="43" t="s">
        <v>516</v>
      </c>
      <c r="C46" s="18"/>
      <c r="D46" s="18"/>
      <c r="E46" s="18"/>
      <c r="F46" s="18"/>
      <c r="G46" s="18"/>
      <c r="H46" s="69">
        <f>'Income Statement'!G284</f>
        <v>1.29</v>
      </c>
      <c r="I46" s="1"/>
    </row>
    <row r="47">
      <c r="A47" s="1"/>
      <c r="B47" s="43" t="s">
        <v>517</v>
      </c>
      <c r="C47" s="4"/>
      <c r="D47" s="4"/>
      <c r="E47" s="4"/>
      <c r="F47" s="4"/>
      <c r="G47" s="4"/>
      <c r="H47" s="36">
        <f>H46*'Share Count'!G27</f>
        <v>1031.91560691</v>
      </c>
      <c r="I47" s="1"/>
    </row>
    <row r="48">
      <c r="A48" s="1"/>
      <c r="B48" s="43" t="s">
        <v>518</v>
      </c>
      <c r="C48" s="4"/>
      <c r="D48" s="4"/>
      <c r="E48" s="4"/>
      <c r="F48" s="4"/>
      <c r="G48" s="4"/>
      <c r="H48" s="36">
        <f>H46*'Share Count'!G30</f>
        <v>572.60320308</v>
      </c>
      <c r="I48" s="1"/>
    </row>
    <row r="49">
      <c r="A49" s="1"/>
      <c r="B49" s="1"/>
      <c r="C49" s="3"/>
      <c r="D49" s="3"/>
      <c r="E49" s="3"/>
      <c r="F49" s="3"/>
      <c r="G49" s="3"/>
      <c r="H49" s="37"/>
      <c r="I49" s="1"/>
    </row>
    <row r="50">
      <c r="A50" s="1"/>
      <c r="B50" s="31" t="s">
        <v>519</v>
      </c>
      <c r="C50" s="15">
        <f>Inputs!D393-Inputs!C393</f>
        <v>-3.591000000000001</v>
      </c>
      <c r="D50" s="15">
        <f>Inputs!E393-Inputs!D393</f>
        <v>-3.4130000000000003</v>
      </c>
      <c r="E50" s="15">
        <f>Inputs!E393</f>
        <v>9.837</v>
      </c>
      <c r="F50" s="15">
        <f>Inputs!F393</f>
        <v>-7.938</v>
      </c>
      <c r="G50" s="15">
        <f>Inputs!G393-Inputs!F393</f>
        <v>-1.782000000000001</v>
      </c>
      <c r="H50" s="60">
        <v>0</v>
      </c>
      <c r="I50" s="111" t="s">
        <v>520</v>
      </c>
    </row>
    <row r="51">
      <c r="A51" s="1"/>
      <c r="B51" s="2" t="s">
        <v>521</v>
      </c>
      <c r="C51" s="32">
        <f>C28+C33+C44+C50</f>
        <v>282.7989999999992</v>
      </c>
      <c r="D51" s="32">
        <f>D28+D33+D44+D50</f>
        <v>22.43400000000032</v>
      </c>
      <c r="E51" s="32">
        <f>E28+E33+E44+E50</f>
        <v>678.4899999999993</v>
      </c>
      <c r="F51" s="32">
        <f>F28+F33+F44+F50</f>
        <v>-144.24200000000042</v>
      </c>
      <c r="G51" s="32">
        <f>G28+G33+G44+G50</f>
        <v>62.86299999999998</v>
      </c>
      <c r="H51" s="44">
        <f>H28+H33+H44+H50</f>
        <v>-44.77501493254863</v>
      </c>
      <c r="I51" s="1"/>
    </row>
    <row r="52">
      <c r="A52" s="1"/>
      <c r="B52" s="31" t="s">
        <v>522</v>
      </c>
      <c r="C52" s="15">
        <f>Inputs!C398</f>
        <v>2549.449</v>
      </c>
      <c r="D52" s="4">
        <f>C53</f>
        <v>2832.247999999999</v>
      </c>
      <c r="E52" s="15">
        <f>Inputs!E397</f>
        <v>2176.192</v>
      </c>
      <c r="F52" s="4">
        <f>D53</f>
        <v>2854.6819999999993</v>
      </c>
      <c r="G52" s="4">
        <f>F53</f>
        <v>2710.4399999999987</v>
      </c>
      <c r="H52" s="33">
        <f>G53</f>
        <v>2773.3029999999985</v>
      </c>
      <c r="I52" s="1"/>
    </row>
    <row r="53">
      <c r="A53" s="1"/>
      <c r="B53" s="2" t="s">
        <v>523</v>
      </c>
      <c r="C53" s="32">
        <f>C52+C51</f>
        <v>2832.247999999999</v>
      </c>
      <c r="D53" s="32">
        <f>D52+D51</f>
        <v>2854.6819999999993</v>
      </c>
      <c r="E53" s="32">
        <f>E52+E51</f>
        <v>2854.6819999999993</v>
      </c>
      <c r="F53" s="32">
        <f>F52+F51</f>
        <v>2710.4399999999987</v>
      </c>
      <c r="G53" s="32">
        <f>G52+G51</f>
        <v>2773.3029999999985</v>
      </c>
      <c r="H53" s="44">
        <f>H52+H51</f>
        <v>2728.5279850674497</v>
      </c>
      <c r="I53" s="1"/>
    </row>
    <row r="54">
      <c r="A54" s="1"/>
      <c r="B54" s="1" t="s">
        <v>524</v>
      </c>
      <c r="C54" s="15">
        <f>ROUND(C53-('Balance Sheet'!C10+'Balance Sheet'!C11),3)</f>
        <v>0</v>
      </c>
      <c r="D54" s="15">
        <f>ROUND(D53-('Balance Sheet'!D10+'Balance Sheet'!D11),3)</f>
        <v>0</v>
      </c>
      <c r="E54" s="15">
        <f>ROUND(E53-('Balance Sheet'!E10+'Balance Sheet'!E11),3)</f>
        <v>0</v>
      </c>
      <c r="F54" s="15">
        <f>ROUND(F53-('Balance Sheet'!F10+'Balance Sheet'!F11),3)</f>
        <v>0</v>
      </c>
      <c r="G54" s="15">
        <f>ROUND(G53-('Balance Sheet'!G10+'Balance Sheet'!G11),3)</f>
        <v>0</v>
      </c>
      <c r="H54" s="36">
        <f>ROUND(H53-('Balance Sheet'!H10+'Balance Sheet'!H11),3)</f>
        <v>0</v>
      </c>
      <c r="I54" s="8" t="s">
        <v>525</v>
      </c>
    </row>
    <row r="55">
      <c r="A55" s="1"/>
      <c r="B55" s="1" t="s">
        <v>526</v>
      </c>
      <c r="C55" s="15">
        <f>ROUND(C53-Inputs!D398,3)</f>
        <v>0</v>
      </c>
      <c r="D55" s="15">
        <f>ROUND(D53-Inputs!E398,3)</f>
        <v>0</v>
      </c>
      <c r="E55" s="15">
        <f>ROUND(E53-Inputs!E398,3)</f>
        <v>0</v>
      </c>
      <c r="F55" s="15">
        <f>ROUND(F53-Inputs!F398,3)</f>
        <v>0</v>
      </c>
      <c r="G55" s="15">
        <f>ROUND(G53-Inputs!G398,3)</f>
        <v>0</v>
      </c>
      <c r="H55" s="33"/>
      <c r="I55" s="8" t="s">
        <v>527</v>
      </c>
    </row>
    <row r="56">
      <c r="A56" s="1"/>
      <c r="B56" s="1" t="s">
        <v>528</v>
      </c>
      <c r="C56" s="15">
        <f>ROUND(C10-'Income Statement'!C116,3)</f>
        <v>0</v>
      </c>
      <c r="D56" s="15">
        <f>ROUND(D10-'Income Statement'!D116,3)</f>
        <v>0</v>
      </c>
      <c r="E56" s="15">
        <f>ROUND(E10-'Income Statement'!E116,3)</f>
        <v>0</v>
      </c>
      <c r="F56" s="15">
        <f>ROUND(F10-'Income Statement'!F116,3)</f>
        <v>0</v>
      </c>
      <c r="G56" s="15">
        <f>ROUND(G10-'Income Statement'!G116,3)</f>
        <v>0</v>
      </c>
      <c r="H56" s="36">
        <f>ROUND(H10-'Income Statement'!H116,3)</f>
        <v>0</v>
      </c>
      <c r="I56" s="102" t="s">
        <v>529</v>
      </c>
    </row>
    <row r="57">
      <c r="A57" s="1"/>
      <c r="B57" s="1"/>
      <c r="C57" s="3"/>
      <c r="D57" s="3"/>
      <c r="E57" s="3"/>
      <c r="F57" s="3"/>
      <c r="G57" s="3"/>
      <c r="H57" s="37"/>
      <c r="I57" s="1"/>
    </row>
    <row r="58">
      <c r="A58" s="1"/>
      <c r="B58" s="2" t="s">
        <v>530</v>
      </c>
      <c r="C58" s="4"/>
      <c r="D58" s="4"/>
      <c r="E58" s="4"/>
      <c r="F58" s="4"/>
      <c r="G58" s="4"/>
      <c r="H58" s="33"/>
      <c r="I58" s="1"/>
    </row>
    <row r="59">
      <c r="A59" s="1"/>
      <c r="B59" s="54" t="s">
        <v>531</v>
      </c>
      <c r="C59" s="32">
        <f>C28+C32</f>
        <v>1573.716</v>
      </c>
      <c r="D59" s="32">
        <f>D28+D32</f>
        <v>1045.4450000000006</v>
      </c>
      <c r="E59" s="32">
        <f>E28+E32</f>
        <v>4547.458</v>
      </c>
      <c r="F59" s="32">
        <f>F28+F32</f>
        <v>957.6369999999998</v>
      </c>
      <c r="G59" s="32">
        <f>G28+G32</f>
        <v>1909.4409999999998</v>
      </c>
      <c r="H59" s="44">
        <f>H28+H32</f>
        <v>1729.7437950574513</v>
      </c>
      <c r="I59" s="8" t="s">
        <v>532</v>
      </c>
    </row>
    <row r="60">
      <c r="A60" s="1"/>
      <c r="B60" s="1"/>
      <c r="C60" s="1"/>
      <c r="D60" s="1"/>
      <c r="E60" s="1"/>
      <c r="F60" s="1"/>
      <c r="G60" s="1"/>
      <c r="H60" s="1"/>
      <c r="I60" s="1"/>
    </row>
    <row r="61">
      <c r="A61" s="1"/>
      <c r="B61" s="1"/>
      <c r="C61" s="1"/>
      <c r="D61" s="1"/>
      <c r="E61" s="1"/>
      <c r="F61" s="1"/>
      <c r="G61" s="1"/>
      <c r="H61" s="1"/>
      <c r="I61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I53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2" t="s">
        <v>0</v>
      </c>
      <c r="C2" s="6"/>
      <c r="D2" s="6"/>
      <c r="E2" s="6"/>
      <c r="F2" s="6"/>
      <c r="G2" s="6"/>
      <c r="H2" s="6"/>
      <c r="I2" s="1"/>
    </row>
    <row r="3">
      <c r="A3" s="1"/>
      <c r="B3" s="2" t="s">
        <v>533</v>
      </c>
      <c r="C3" s="6"/>
      <c r="D3" s="6"/>
      <c r="E3" s="6"/>
      <c r="F3" s="6"/>
      <c r="G3" s="6"/>
      <c r="H3" s="6"/>
      <c r="I3" s="1"/>
    </row>
    <row r="4">
      <c r="A4" s="1"/>
      <c r="B4" s="1" t="s">
        <v>2</v>
      </c>
      <c r="C4" s="6"/>
      <c r="D4" s="6"/>
      <c r="E4" s="6"/>
      <c r="F4" s="6"/>
      <c r="G4" s="6"/>
      <c r="H4" s="6"/>
      <c r="I4" s="1"/>
    </row>
    <row r="5">
      <c r="A5" s="1"/>
      <c r="B5" s="29" t="s">
        <v>71</v>
      </c>
      <c r="C5" s="24" t="s">
        <v>72</v>
      </c>
      <c r="D5" s="24" t="s">
        <v>73</v>
      </c>
      <c r="E5" s="24" t="s">
        <v>74</v>
      </c>
      <c r="F5" s="24" t="s">
        <v>75</v>
      </c>
      <c r="G5" s="24" t="s">
        <v>76</v>
      </c>
      <c r="H5" s="24" t="s">
        <v>77</v>
      </c>
      <c r="I5" s="42" t="s">
        <v>4</v>
      </c>
    </row>
    <row r="6">
      <c r="A6" s="1"/>
      <c r="B6" s="19" t="s">
        <v>78</v>
      </c>
      <c r="C6" s="12">
        <v>45930</v>
      </c>
      <c r="D6" s="12">
        <v>46022</v>
      </c>
      <c r="E6" s="12">
        <v>46022</v>
      </c>
      <c r="F6" s="12">
        <v>46112</v>
      </c>
      <c r="G6" s="12">
        <v>46203</v>
      </c>
      <c r="H6" s="12">
        <v>46295</v>
      </c>
      <c r="I6" s="19"/>
    </row>
    <row r="7">
      <c r="A7" s="1"/>
      <c r="B7" s="27" t="s">
        <v>79</v>
      </c>
      <c r="C7" s="20">
        <v>92</v>
      </c>
      <c r="D7" s="20">
        <v>92</v>
      </c>
      <c r="E7" s="20">
        <v>365</v>
      </c>
      <c r="F7" s="20">
        <v>90</v>
      </c>
      <c r="G7" s="20">
        <v>91</v>
      </c>
      <c r="H7" s="20">
        <v>92</v>
      </c>
      <c r="I7" s="27"/>
    </row>
    <row r="8">
      <c r="A8" s="1"/>
      <c r="B8" s="1"/>
      <c r="C8" s="3"/>
      <c r="D8" s="3"/>
      <c r="E8" s="3"/>
      <c r="F8" s="3"/>
      <c r="G8" s="3"/>
      <c r="H8" s="37"/>
      <c r="I8" s="1"/>
    </row>
    <row r="9">
      <c r="A9" s="1"/>
      <c r="B9" s="2" t="s">
        <v>534</v>
      </c>
      <c r="C9" s="4"/>
      <c r="D9" s="4"/>
      <c r="E9" s="4"/>
      <c r="F9" s="4"/>
      <c r="G9" s="4"/>
      <c r="H9" s="33"/>
      <c r="I9" s="1"/>
    </row>
    <row r="10">
      <c r="A10" s="1"/>
      <c r="B10" s="31" t="s">
        <v>535</v>
      </c>
      <c r="C10" s="26">
        <v>782.633394</v>
      </c>
      <c r="D10" s="26">
        <v>783.106052</v>
      </c>
      <c r="E10" s="26">
        <v>780.018738</v>
      </c>
      <c r="F10" s="26">
        <v>785.332239</v>
      </c>
      <c r="G10" s="26">
        <v>799.882459</v>
      </c>
      <c r="H10" s="33">
        <f>AVERAGE(G27,H27)</f>
        <v>800.184579</v>
      </c>
      <c r="I10" s="8" t="s">
        <v>536</v>
      </c>
    </row>
    <row r="11">
      <c r="A11" s="1"/>
      <c r="B11" s="61" t="s">
        <v>82</v>
      </c>
      <c r="C11" s="58" t="s">
        <v>32</v>
      </c>
      <c r="D11" s="55">
        <f>IF(Inputs!D355*D10&gt;0,D10/Inputs!D355-1,"n/m")</f>
        <v>0.018754108686761306</v>
      </c>
      <c r="E11" s="55">
        <f>IF(Inputs!E355*E10&gt;0,E10/Inputs!E355-1,"n/m")</f>
        <v>0.017653632815514575</v>
      </c>
      <c r="F11" s="55">
        <f>IF(Inputs!F355*F10&gt;0,F10/Inputs!F355-1,"n/m")</f>
        <v>0.017538115315220093</v>
      </c>
      <c r="G11" s="55">
        <f>IF(Inputs!G355*G10&gt;0,G10/Inputs!G355-1,"n/m")</f>
        <v>0.02236279188802226</v>
      </c>
      <c r="H11" s="56">
        <f>IF(C10*H10&gt;0,H10/C10-1,"n/m")</f>
        <v>0.022425806430641515</v>
      </c>
      <c r="I11" s="1"/>
    </row>
    <row r="12">
      <c r="A12" s="1"/>
      <c r="B12" s="43" t="s">
        <v>118</v>
      </c>
      <c r="C12" s="15">
        <f>C10-Inputs!G355</f>
        <v>0.24727299999995012</v>
      </c>
      <c r="D12" s="4">
        <f>D10-C10</f>
        <v>0.472658000000024</v>
      </c>
      <c r="E12" s="4"/>
      <c r="F12" s="4">
        <f>F10-D10</f>
        <v>2.2261869999999817</v>
      </c>
      <c r="G12" s="4">
        <f>G10-F10</f>
        <v>14.550220000000081</v>
      </c>
      <c r="H12" s="33">
        <f>H10-G10</f>
        <v>0.3021199999999453</v>
      </c>
      <c r="I12" s="1"/>
    </row>
    <row r="13">
      <c r="A13" s="1"/>
      <c r="B13" s="31" t="s">
        <v>537</v>
      </c>
      <c r="C13" s="26">
        <v>0.047741</v>
      </c>
      <c r="D13" s="26">
        <v>0.087397</v>
      </c>
      <c r="E13" s="26">
        <v>0.197118</v>
      </c>
      <c r="F13" s="26">
        <v>0.964071</v>
      </c>
      <c r="G13" s="26">
        <v>0.014976</v>
      </c>
      <c r="H13" s="60">
        <v>0.05</v>
      </c>
      <c r="I13" s="1"/>
    </row>
    <row r="14">
      <c r="A14" s="1"/>
      <c r="B14" s="61" t="s">
        <v>82</v>
      </c>
      <c r="C14" s="58" t="s">
        <v>32</v>
      </c>
      <c r="D14" s="55">
        <f>IF(Inputs!D356*D13&gt;0,D13/Inputs!D356-1,"n/m")</f>
        <v>0.09208027190483326</v>
      </c>
      <c r="E14" s="55">
        <f>IF(Inputs!E356*E13&gt;0,E13/Inputs!E356-1,"n/m")</f>
        <v>0.23928378327402577</v>
      </c>
      <c r="F14" s="55">
        <f>IF(Inputs!F356*F13&gt;0,F13/Inputs!F356-1,"n/m")</f>
        <v>0.5105692891289326</v>
      </c>
      <c r="G14" s="55">
        <f>IF(Inputs!G356*G13&gt;0,G13/Inputs!G356-1,"n/m")</f>
        <v>-0.0092617094469436</v>
      </c>
      <c r="H14" s="56">
        <f>IF(C13*H13&gt;0,H13/C13-1,"n/m")</f>
        <v>0.04731781906537358</v>
      </c>
      <c r="I14" s="1"/>
    </row>
    <row r="15">
      <c r="A15" s="1"/>
      <c r="B15" s="43" t="s">
        <v>118</v>
      </c>
      <c r="C15" s="15">
        <f>C13-Inputs!G356</f>
        <v>0.032625</v>
      </c>
      <c r="D15" s="4">
        <f>D13-C13</f>
        <v>0.039656000000000004</v>
      </c>
      <c r="E15" s="4"/>
      <c r="F15" s="4">
        <f>F13-D13</f>
        <v>0.876674</v>
      </c>
      <c r="G15" s="4">
        <f>G13-F13</f>
        <v>-0.949095</v>
      </c>
      <c r="H15" s="33">
        <f>H13-G13</f>
        <v>0.035024</v>
      </c>
      <c r="I15" s="1"/>
    </row>
    <row r="16">
      <c r="A16" s="1"/>
      <c r="B16" s="54" t="s">
        <v>538</v>
      </c>
      <c r="C16" s="32">
        <f>C10+C13</f>
        <v>782.6811349999999</v>
      </c>
      <c r="D16" s="32">
        <f>D10+D13</f>
        <v>783.193449</v>
      </c>
      <c r="E16" s="32">
        <f>E10+E13</f>
        <v>780.215856</v>
      </c>
      <c r="F16" s="32">
        <f>F10+F13</f>
        <v>786.29631</v>
      </c>
      <c r="G16" s="32">
        <f>G10+G13</f>
        <v>799.8974350000001</v>
      </c>
      <c r="H16" s="44">
        <f>H10+H13</f>
        <v>800.2345789999999</v>
      </c>
      <c r="I16" s="1"/>
    </row>
    <row r="17">
      <c r="A17" s="1"/>
      <c r="B17" s="61" t="s">
        <v>82</v>
      </c>
      <c r="C17" s="58" t="s">
        <v>32</v>
      </c>
      <c r="D17" s="55">
        <f>IF(Inputs!D357*D16&gt;0,D16/Inputs!D357-1,"n/m")</f>
        <v>0.018761741849221636</v>
      </c>
      <c r="E17" s="55">
        <f>IF(Inputs!E357*E16&gt;0,E16/Inputs!E357-1,"n/m")</f>
        <v>0.01769961495735406</v>
      </c>
      <c r="F17" s="55">
        <f>IF(Inputs!F357*F16&gt;0,F16/Inputs!F357-1,"n/m")</f>
        <v>0.017945477797225662</v>
      </c>
      <c r="G17" s="55">
        <f>IF(Inputs!G357*G16&gt;0,G16/Inputs!G357-1,"n/m")</f>
        <v>0.02236218090232911</v>
      </c>
      <c r="H17" s="56">
        <f>IF(C16*H16&gt;0,H16/C16-1,"n/m")</f>
        <v>0.022427324762337664</v>
      </c>
      <c r="I17" s="1"/>
    </row>
    <row r="18">
      <c r="A18" s="1"/>
      <c r="B18" s="43" t="s">
        <v>118</v>
      </c>
      <c r="C18" s="15">
        <f>C16-Inputs!G357</f>
        <v>0.2798979999998892</v>
      </c>
      <c r="D18" s="4">
        <f>D16-C16</f>
        <v>0.5123140000000603</v>
      </c>
      <c r="E18" s="4"/>
      <c r="F18" s="4">
        <f>F16-D16</f>
        <v>3.1028609999999617</v>
      </c>
      <c r="G18" s="4">
        <f>G16-F16</f>
        <v>13.601125000000138</v>
      </c>
      <c r="H18" s="33">
        <f>H16-G16</f>
        <v>0.3371439999998529</v>
      </c>
      <c r="I18" s="1"/>
    </row>
    <row r="19">
      <c r="A19" s="1"/>
      <c r="B19" s="1"/>
      <c r="C19" s="3"/>
      <c r="D19" s="3"/>
      <c r="E19" s="3"/>
      <c r="F19" s="3"/>
      <c r="G19" s="3"/>
      <c r="H19" s="37"/>
      <c r="I19" s="1"/>
    </row>
    <row r="20">
      <c r="A20" s="1"/>
      <c r="B20" s="2" t="s">
        <v>539</v>
      </c>
      <c r="C20" s="4"/>
      <c r="D20" s="4"/>
      <c r="E20" s="4"/>
      <c r="F20" s="4"/>
      <c r="G20" s="4"/>
      <c r="H20" s="33"/>
      <c r="I20" s="1"/>
    </row>
    <row r="21">
      <c r="A21" s="1"/>
      <c r="B21" s="31" t="s">
        <v>540</v>
      </c>
      <c r="C21" s="26">
        <v>747.812724</v>
      </c>
      <c r="D21" s="26">
        <v>748.688068</v>
      </c>
      <c r="E21" s="4">
        <f>D21</f>
        <v>748.688068</v>
      </c>
      <c r="F21" s="26">
        <v>751.535403</v>
      </c>
      <c r="G21" s="26">
        <v>752.601287</v>
      </c>
      <c r="H21" s="33">
        <f>G21+H38+H39</f>
        <v>753.101287</v>
      </c>
      <c r="I21" s="1"/>
    </row>
    <row r="22">
      <c r="A22" s="1"/>
      <c r="B22" s="61" t="s">
        <v>82</v>
      </c>
      <c r="C22" s="58" t="s">
        <v>32</v>
      </c>
      <c r="D22" s="55">
        <f>IF(Inputs!D358*D21&gt;0,D21/Inputs!D358-1,"n/m")</f>
        <v>0.02290136407443888</v>
      </c>
      <c r="E22" s="55">
        <f>IF(Inputs!E358*E21&gt;0,E21/Inputs!E358-1,"n/m")</f>
        <v>0.02290136407443888</v>
      </c>
      <c r="F22" s="55">
        <f>IF(Inputs!F358*F21&gt;0,F21/Inputs!F358-1,"n/m")</f>
        <v>0.018438031223302342</v>
      </c>
      <c r="G22" s="55">
        <f>IF(Inputs!G358*G21&gt;0,G21/Inputs!G358-1,"n/m")</f>
        <v>0.018327899410007342</v>
      </c>
      <c r="H22" s="56">
        <f>IF(C21*H21&gt;0,H21/C21-1,"n/m")</f>
        <v>0.007072042010346946</v>
      </c>
      <c r="I22" s="1"/>
    </row>
    <row r="23">
      <c r="A23" s="1"/>
      <c r="B23" s="43" t="s">
        <v>118</v>
      </c>
      <c r="C23" s="15">
        <f>C21-Inputs!G358</f>
        <v>8.756780000000049</v>
      </c>
      <c r="D23" s="4">
        <f>D21-C21</f>
        <v>0.875344000000041</v>
      </c>
      <c r="E23" s="4"/>
      <c r="F23" s="4">
        <f>F21-D21</f>
        <v>2.84733499999993</v>
      </c>
      <c r="G23" s="4">
        <f>G21-F21</f>
        <v>1.0658839999999827</v>
      </c>
      <c r="H23" s="33">
        <f>H21-G21</f>
        <v>0.5</v>
      </c>
      <c r="I23" s="1"/>
    </row>
    <row r="24">
      <c r="A24" s="1"/>
      <c r="B24" s="31" t="s">
        <v>541</v>
      </c>
      <c r="C24" s="26">
        <v>34.915679</v>
      </c>
      <c r="D24" s="26">
        <v>34.494942</v>
      </c>
      <c r="E24" s="4">
        <f>D24</f>
        <v>34.494942</v>
      </c>
      <c r="F24" s="26">
        <v>33.961624</v>
      </c>
      <c r="G24" s="26">
        <v>47.333292</v>
      </c>
      <c r="H24" s="33">
        <f>G24</f>
        <v>47.333292</v>
      </c>
      <c r="I24" s="1"/>
    </row>
    <row r="25">
      <c r="A25" s="1"/>
      <c r="B25" s="61" t="s">
        <v>82</v>
      </c>
      <c r="C25" s="58" t="s">
        <v>32</v>
      </c>
      <c r="D25" s="55">
        <f>IF(Inputs!D359*D24&gt;0,D24/Inputs!D359-1,"n/m")</f>
        <v>-0.06254257903707416</v>
      </c>
      <c r="E25" s="55">
        <f>IF(Inputs!E359*E24&gt;0,E24/Inputs!E359-1,"n/m")</f>
        <v>-0.06254257903707416</v>
      </c>
      <c r="F25" s="55">
        <f>IF(Inputs!F359*F24&gt;0,F24/Inputs!F359-1,"n/m")</f>
        <v>-0.03269408843994537</v>
      </c>
      <c r="G25" s="55">
        <f>IF(Inputs!G359*G24&gt;0,G24/Inputs!G359-1,"n/m")</f>
        <v>0.08783541691535612</v>
      </c>
      <c r="H25" s="56">
        <f>IF(C24*H24&gt;0,H24/C24-1,"n/m")</f>
        <v>0.3556457544474505</v>
      </c>
      <c r="I25" s="1"/>
    </row>
    <row r="26">
      <c r="A26" s="1"/>
      <c r="B26" s="43" t="s">
        <v>118</v>
      </c>
      <c r="C26" s="15">
        <f>C24-Inputs!G359</f>
        <v>-8.595767000000002</v>
      </c>
      <c r="D26" s="4">
        <f>D24-C24</f>
        <v>-0.4207369999999955</v>
      </c>
      <c r="E26" s="4"/>
      <c r="F26" s="4">
        <f>F24-D24</f>
        <v>-0.5333180000000013</v>
      </c>
      <c r="G26" s="4">
        <f>G24-F24</f>
        <v>13.371668</v>
      </c>
      <c r="H26" s="33">
        <f>H24-G24</f>
        <v>0</v>
      </c>
      <c r="I26" s="1"/>
    </row>
    <row r="27">
      <c r="A27" s="1"/>
      <c r="B27" s="54" t="s">
        <v>542</v>
      </c>
      <c r="C27" s="32">
        <f>C21+C24</f>
        <v>782.728403</v>
      </c>
      <c r="D27" s="32">
        <f>D21+D24</f>
        <v>783.1830100000001</v>
      </c>
      <c r="E27" s="32">
        <f>E21+E24</f>
        <v>783.1830100000001</v>
      </c>
      <c r="F27" s="32">
        <f>F21+F24</f>
        <v>785.497027</v>
      </c>
      <c r="G27" s="32">
        <f>G21+G24</f>
        <v>799.934579</v>
      </c>
      <c r="H27" s="44">
        <f>H21+H24</f>
        <v>800.434579</v>
      </c>
      <c r="I27" s="1"/>
    </row>
    <row r="28">
      <c r="A28" s="1"/>
      <c r="B28" s="61" t="s">
        <v>82</v>
      </c>
      <c r="C28" s="58" t="s">
        <v>32</v>
      </c>
      <c r="D28" s="55">
        <f>IF(Inputs!D360*D27&gt;0,D27/Inputs!D360-1,"n/m")</f>
        <v>0.01881143568994248</v>
      </c>
      <c r="E28" s="55">
        <f>IF(Inputs!E360*E27&gt;0,E27/Inputs!E360-1,"n/m")</f>
        <v>0.01881143568994248</v>
      </c>
      <c r="F28" s="55">
        <f>IF(Inputs!F360*F27&gt;0,F27/Inputs!F360-1,"n/m")</f>
        <v>0.01611573809812783</v>
      </c>
      <c r="G28" s="55">
        <f>IF(Inputs!G360*G27&gt;0,G27/Inputs!G360-1,"n/m")</f>
        <v>0.02219257947868236</v>
      </c>
      <c r="H28" s="56">
        <f>IF(C27*H27&gt;0,H27/C27-1,"n/m")</f>
        <v>0.022621098112878935</v>
      </c>
      <c r="I28" s="1"/>
    </row>
    <row r="29">
      <c r="A29" s="1"/>
      <c r="B29" s="43" t="s">
        <v>118</v>
      </c>
      <c r="C29" s="15">
        <f>C27-Inputs!G360</f>
        <v>0.16101300000002539</v>
      </c>
      <c r="D29" s="4">
        <f>D27-C27</f>
        <v>0.45460700000012366</v>
      </c>
      <c r="E29" s="4"/>
      <c r="F29" s="4">
        <f>F27-D27</f>
        <v>2.3140169999999216</v>
      </c>
      <c r="G29" s="4">
        <f>G27-F27</f>
        <v>14.437551999999982</v>
      </c>
      <c r="H29" s="33">
        <f>H27-G27</f>
        <v>0.5</v>
      </c>
      <c r="I29" s="1"/>
    </row>
    <row r="30">
      <c r="A30" s="1"/>
      <c r="B30" s="31" t="s">
        <v>543</v>
      </c>
      <c r="C30" s="26">
        <v>446.455699</v>
      </c>
      <c r="D30" s="26">
        <v>445.586312</v>
      </c>
      <c r="E30" s="4">
        <f>D30</f>
        <v>445.586312</v>
      </c>
      <c r="F30" s="26">
        <v>444.67272</v>
      </c>
      <c r="G30" s="26">
        <v>443.878452</v>
      </c>
      <c r="H30" s="33">
        <f>G30-H38</f>
        <v>443.07845199999997</v>
      </c>
      <c r="I30" s="1"/>
    </row>
    <row r="31">
      <c r="A31" s="1"/>
      <c r="B31" s="61" t="s">
        <v>82</v>
      </c>
      <c r="C31" s="58" t="s">
        <v>32</v>
      </c>
      <c r="D31" s="55">
        <f>IF(Inputs!D361*D30&gt;0,D30/Inputs!D361-1,"n/m")</f>
        <v>-0.01516764448022867</v>
      </c>
      <c r="E31" s="55">
        <f>IF(Inputs!E361*E30&gt;0,E30/Inputs!E361-1,"n/m")</f>
        <v>-0.01516764448022867</v>
      </c>
      <c r="F31" s="55">
        <f>IF(Inputs!F361*F30&gt;0,F30/Inputs!F361-1,"n/m")</f>
        <v>-0.00846434739600499</v>
      </c>
      <c r="G31" s="55">
        <f>IF(Inputs!G361*G30&gt;0,G30/Inputs!G361-1,"n/m")</f>
        <v>-0.008258708160366224</v>
      </c>
      <c r="H31" s="56">
        <f>IF(C30*H30&gt;0,H30/C30-1,"n/m")</f>
        <v>-0.007564573612935388</v>
      </c>
      <c r="I31" s="1"/>
    </row>
    <row r="32">
      <c r="A32" s="1"/>
      <c r="B32" s="43" t="s">
        <v>118</v>
      </c>
      <c r="C32" s="15">
        <f>C30-Inputs!G361</f>
        <v>-1.1191430000000082</v>
      </c>
      <c r="D32" s="4">
        <f>D30-C30</f>
        <v>-0.8693869999999606</v>
      </c>
      <c r="E32" s="4"/>
      <c r="F32" s="4">
        <f>F30-D30</f>
        <v>-0.9135919999999942</v>
      </c>
      <c r="G32" s="4">
        <f>G30-F30</f>
        <v>-0.794268000000045</v>
      </c>
      <c r="H32" s="33">
        <f>H30-G30</f>
        <v>-0.8000000000000114</v>
      </c>
      <c r="I32" s="1"/>
    </row>
    <row r="33">
      <c r="A33" s="1"/>
      <c r="B33" s="54" t="s">
        <v>544</v>
      </c>
      <c r="C33" s="32">
        <f>C27+C30</f>
        <v>1229.184102</v>
      </c>
      <c r="D33" s="32">
        <f>D27+D30</f>
        <v>1228.769322</v>
      </c>
      <c r="E33" s="32">
        <f>E27+E30</f>
        <v>1228.769322</v>
      </c>
      <c r="F33" s="32">
        <f>F27+F30</f>
        <v>1230.169747</v>
      </c>
      <c r="G33" s="32">
        <f>G27+G30</f>
        <v>1243.813031</v>
      </c>
      <c r="H33" s="44">
        <f>H27+H30</f>
        <v>1243.513031</v>
      </c>
      <c r="I33" s="1"/>
    </row>
    <row r="34">
      <c r="A34" s="1"/>
      <c r="B34" s="43" t="s">
        <v>118</v>
      </c>
      <c r="C34" s="15">
        <f>C33-Inputs!G362</f>
        <v>-0.9581299999999828</v>
      </c>
      <c r="D34" s="4">
        <f>D33-C33</f>
        <v>-0.41477999999983695</v>
      </c>
      <c r="E34" s="4"/>
      <c r="F34" s="4">
        <f>F33-D33</f>
        <v>1.4004249999998137</v>
      </c>
      <c r="G34" s="4">
        <f>G33-F33</f>
        <v>13.643283999999994</v>
      </c>
      <c r="H34" s="33">
        <f>H33-G33</f>
        <v>-0.2999999999999545</v>
      </c>
      <c r="I34" s="1"/>
    </row>
    <row r="35">
      <c r="A35" s="1"/>
      <c r="B35" s="40" t="s">
        <v>545</v>
      </c>
      <c r="C35" s="58">
        <f>C27/C33</f>
        <v>0.6367869562634483</v>
      </c>
      <c r="D35" s="58">
        <f>D27/D33</f>
        <v>0.6373718776810413</v>
      </c>
      <c r="E35" s="58">
        <f>E27/E33</f>
        <v>0.6373718776810413</v>
      </c>
      <c r="F35" s="58">
        <f>F27/F33</f>
        <v>0.6385273486976754</v>
      </c>
      <c r="G35" s="58">
        <f>G27/G33</f>
        <v>0.6431308878930696</v>
      </c>
      <c r="H35" s="56">
        <f>H27/H33</f>
        <v>0.6436881311620127</v>
      </c>
      <c r="I35" s="1"/>
    </row>
    <row r="36">
      <c r="A36" s="1"/>
      <c r="B36" s="43" t="s">
        <v>121</v>
      </c>
      <c r="C36" s="57">
        <f>IFERROR((C35-(Inputs!G360/Inputs!G362))*10000,"n/m")</f>
        <v>6.268687200104983</v>
      </c>
      <c r="D36" s="62">
        <f>IFERROR((D35-C35)*10000,"n/m")</f>
        <v>5.849214175930317</v>
      </c>
      <c r="E36" s="62"/>
      <c r="F36" s="62">
        <f>IFERROR((F35-D35)*10000,"n/m")</f>
        <v>11.554710166340465</v>
      </c>
      <c r="G36" s="62">
        <f>IFERROR((G35-F35)*10000,"n/m")</f>
        <v>46.035391953942465</v>
      </c>
      <c r="H36" s="59">
        <f>IFERROR((H35-G35)*10000,"n/m")</f>
        <v>5.572432689431306</v>
      </c>
      <c r="I36" s="1"/>
    </row>
    <row r="37">
      <c r="A37" s="1"/>
      <c r="B37" s="43" t="s">
        <v>122</v>
      </c>
      <c r="C37" s="62" t="s">
        <v>32</v>
      </c>
      <c r="D37" s="57">
        <f>IFERROR((D35-(Inputs!D360/Inputs!D362))*10000,"n/m")</f>
        <v>78.75963710712975</v>
      </c>
      <c r="E37" s="57">
        <f>IFERROR((E35-(Inputs!E360/Inputs!E362))*10000,"n/m")</f>
        <v>78.75963710712975</v>
      </c>
      <c r="F37" s="57">
        <f>IFERROR((F35-(Inputs!F360/Inputs!F362))*10000,"n/m")</f>
        <v>56.709481398431464</v>
      </c>
      <c r="G37" s="57">
        <f>IFERROR((G35-(Inputs!G360/Inputs!G362))*10000,"n/m")</f>
        <v>69.70800349631823</v>
      </c>
      <c r="H37" s="59">
        <f>IFERROR((H35-C35)*10000,"n/m")</f>
        <v>69.01174898564454</v>
      </c>
      <c r="I37" s="1"/>
    </row>
    <row r="38">
      <c r="A38" s="1"/>
      <c r="B38" s="31" t="s">
        <v>546</v>
      </c>
      <c r="C38" s="15">
        <f>Inputs!G361-C30</f>
        <v>1.1191430000000082</v>
      </c>
      <c r="D38" s="4">
        <f>C30-D30</f>
        <v>0.8693869999999606</v>
      </c>
      <c r="E38" s="4"/>
      <c r="F38" s="4">
        <f>D30-F30</f>
        <v>0.9135919999999942</v>
      </c>
      <c r="G38" s="4">
        <f>F30-G30</f>
        <v>0.794268000000045</v>
      </c>
      <c r="H38" s="60">
        <v>0.8</v>
      </c>
      <c r="I38" s="8" t="s">
        <v>547</v>
      </c>
    </row>
    <row r="39">
      <c r="A39" s="1"/>
      <c r="B39" s="31" t="s">
        <v>548</v>
      </c>
      <c r="C39" s="4"/>
      <c r="D39" s="4"/>
      <c r="E39" s="4"/>
      <c r="F39" s="4"/>
      <c r="G39" s="4"/>
      <c r="H39" s="60">
        <v>-0.3</v>
      </c>
      <c r="I39" s="8" t="s">
        <v>549</v>
      </c>
    </row>
    <row r="40">
      <c r="A40" s="1"/>
      <c r="B40" s="1"/>
      <c r="C40" s="3"/>
      <c r="D40" s="3"/>
      <c r="E40" s="3"/>
      <c r="F40" s="3"/>
      <c r="G40" s="3"/>
      <c r="H40" s="37"/>
      <c r="I40" s="1"/>
    </row>
    <row r="41">
      <c r="A41" s="1"/>
      <c r="B41" s="2" t="s">
        <v>550</v>
      </c>
      <c r="C41" s="4"/>
      <c r="D41" s="4"/>
      <c r="E41" s="4"/>
      <c r="F41" s="4"/>
      <c r="G41" s="4"/>
      <c r="H41" s="33"/>
      <c r="I41" s="1"/>
    </row>
    <row r="42">
      <c r="A42" s="1"/>
      <c r="B42" s="31" t="s">
        <v>551</v>
      </c>
      <c r="C42" s="26">
        <v>0.2</v>
      </c>
      <c r="D42" s="26">
        <v>0.2</v>
      </c>
      <c r="E42" s="15">
        <f>Inputs!F363+Inputs!G363+C42+D42</f>
        <v>0.8</v>
      </c>
      <c r="F42" s="26">
        <v>0.2</v>
      </c>
      <c r="G42" s="26">
        <v>0.2</v>
      </c>
      <c r="H42" s="60">
        <v>0.2</v>
      </c>
      <c r="I42" s="8" t="s">
        <v>552</v>
      </c>
    </row>
    <row r="43">
      <c r="A43" s="1"/>
      <c r="B43" s="61" t="s">
        <v>82</v>
      </c>
      <c r="C43" s="58" t="s">
        <v>32</v>
      </c>
      <c r="D43" s="58" t="s">
        <v>32</v>
      </c>
      <c r="E43" s="58" t="s">
        <v>32</v>
      </c>
      <c r="F43" s="55">
        <f>IF(Inputs!F363*F42&gt;0,F42/Inputs!F363-1,"n/m")</f>
        <v>0</v>
      </c>
      <c r="G43" s="55">
        <f>IF(Inputs!G363*G42&gt;0,G42/Inputs!G363-1,"n/m")</f>
        <v>0</v>
      </c>
      <c r="H43" s="56">
        <f>IF(C42*H42&gt;0,H42/C42-1,"n/m")</f>
        <v>0</v>
      </c>
      <c r="I43" s="1"/>
    </row>
    <row r="44">
      <c r="A44" s="1"/>
      <c r="B44" s="43" t="s">
        <v>118</v>
      </c>
      <c r="C44" s="15">
        <f>C42-Inputs!G363</f>
        <v>0</v>
      </c>
      <c r="D44" s="4">
        <f>D42-C42</f>
        <v>0</v>
      </c>
      <c r="E44" s="4"/>
      <c r="F44" s="4">
        <f>F42-D42</f>
        <v>0</v>
      </c>
      <c r="G44" s="4">
        <f>G42-F42</f>
        <v>0</v>
      </c>
      <c r="H44" s="33">
        <f>H42-G42</f>
        <v>0</v>
      </c>
      <c r="I44" s="1"/>
    </row>
    <row r="45">
      <c r="A45" s="1"/>
      <c r="B45" s="31" t="s">
        <v>553</v>
      </c>
      <c r="C45" s="18"/>
      <c r="D45" s="18"/>
      <c r="E45" s="18"/>
      <c r="F45" s="18"/>
      <c r="G45" s="18"/>
      <c r="H45" s="69">
        <f>Inputs!C95</f>
        <v>106.61</v>
      </c>
      <c r="I45" s="1"/>
    </row>
    <row r="46">
      <c r="A46" s="1"/>
      <c r="B46" s="31" t="s">
        <v>554</v>
      </c>
      <c r="C46" s="26">
        <v>1700</v>
      </c>
      <c r="D46" s="26">
        <v>1700</v>
      </c>
      <c r="E46" s="4">
        <f>D46</f>
        <v>1700</v>
      </c>
      <c r="F46" s="26">
        <v>1700</v>
      </c>
      <c r="G46" s="26">
        <v>1600</v>
      </c>
      <c r="H46" s="33">
        <f>G46-H42*H45</f>
        <v>1578.6779999999999</v>
      </c>
      <c r="I46" s="1"/>
    </row>
    <row r="47">
      <c r="A47" s="1"/>
      <c r="B47" s="31" t="s">
        <v>436</v>
      </c>
      <c r="C47" s="17">
        <f>'Income Statement'!C284</f>
        <v>1.29</v>
      </c>
      <c r="D47" s="17">
        <f>'Income Statement'!D284</f>
        <v>1.49</v>
      </c>
      <c r="E47" s="17">
        <f>'Income Statement'!E284</f>
        <v>4.74</v>
      </c>
      <c r="F47" s="17">
        <f>'Income Statement'!F284</f>
        <v>1.16</v>
      </c>
      <c r="G47" s="17">
        <f>'Income Statement'!G284</f>
        <v>1.29</v>
      </c>
      <c r="H47" s="69">
        <f>'Income Statement'!H284</f>
        <v>1.0958199969723352</v>
      </c>
      <c r="I47" s="1"/>
    </row>
    <row r="48">
      <c r="A48" s="1"/>
      <c r="B48" s="1"/>
      <c r="C48" s="3"/>
      <c r="D48" s="3"/>
      <c r="E48" s="3"/>
      <c r="F48" s="3"/>
      <c r="G48" s="3"/>
      <c r="H48" s="37"/>
      <c r="I48" s="1"/>
    </row>
    <row r="49">
      <c r="A49" s="1"/>
      <c r="B49" s="2" t="s">
        <v>555</v>
      </c>
      <c r="C49" s="4"/>
      <c r="D49" s="4"/>
      <c r="E49" s="4"/>
      <c r="F49" s="4"/>
      <c r="G49" s="4"/>
      <c r="H49" s="33"/>
      <c r="I49" s="1"/>
    </row>
    <row r="50">
      <c r="A50" s="1"/>
      <c r="B50" s="54" t="s">
        <v>556</v>
      </c>
      <c r="C50" s="32"/>
      <c r="D50" s="32"/>
      <c r="E50" s="32"/>
      <c r="F50" s="32"/>
      <c r="G50" s="32"/>
      <c r="H50" s="44">
        <f>H27</f>
        <v>800.434579</v>
      </c>
      <c r="I50" s="1"/>
    </row>
    <row r="51">
      <c r="A51" s="1"/>
      <c r="B51" s="54" t="s">
        <v>557</v>
      </c>
      <c r="C51" s="32"/>
      <c r="D51" s="32"/>
      <c r="E51" s="32"/>
      <c r="F51" s="32"/>
      <c r="G51" s="32"/>
      <c r="H51" s="44">
        <f>H16</f>
        <v>800.2345789999999</v>
      </c>
      <c r="I51" s="1"/>
    </row>
    <row r="52">
      <c r="A52" s="1"/>
      <c r="B52" s="1"/>
      <c r="C52" s="1"/>
      <c r="D52" s="1"/>
      <c r="E52" s="1"/>
      <c r="F52" s="1"/>
      <c r="G52" s="1"/>
      <c r="H52" s="1"/>
      <c r="I52" s="1"/>
    </row>
    <row r="53">
      <c r="A53" s="1"/>
      <c r="B53" s="1"/>
      <c r="C53" s="1"/>
      <c r="D53" s="1"/>
      <c r="E53" s="1"/>
      <c r="F53" s="1"/>
      <c r="G53" s="1"/>
      <c r="H53" s="1"/>
      <c r="I53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L34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18" customWidth="1"/>
    <col min="10" max="10" width="14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" t="s">
        <v>0</v>
      </c>
      <c r="C2" s="6"/>
      <c r="D2" s="6"/>
      <c r="E2" s="6"/>
      <c r="F2" s="6"/>
      <c r="G2" s="6"/>
      <c r="H2" s="6"/>
      <c r="I2" s="1"/>
      <c r="J2" s="1"/>
      <c r="K2" s="1"/>
      <c r="L2" s="1"/>
    </row>
    <row r="3">
      <c r="A3" s="1"/>
      <c r="B3" s="2" t="s">
        <v>558</v>
      </c>
      <c r="C3" s="6"/>
      <c r="D3" s="6"/>
      <c r="E3" s="6"/>
      <c r="F3" s="6"/>
      <c r="G3" s="6"/>
      <c r="H3" s="6"/>
      <c r="I3" s="1"/>
      <c r="J3" s="1"/>
      <c r="K3" s="1"/>
      <c r="L3" s="1"/>
    </row>
    <row r="4">
      <c r="A4" s="1"/>
      <c r="B4" s="1" t="s">
        <v>2</v>
      </c>
      <c r="C4" s="6"/>
      <c r="D4" s="6"/>
      <c r="E4" s="6"/>
      <c r="F4" s="6"/>
      <c r="G4" s="6"/>
      <c r="H4" s="6"/>
      <c r="I4" s="1"/>
      <c r="J4" s="1"/>
      <c r="K4" s="1"/>
      <c r="L4" s="1"/>
    </row>
    <row r="5">
      <c r="A5" s="1"/>
      <c r="B5" s="29" t="s">
        <v>3</v>
      </c>
      <c r="C5" s="24"/>
      <c r="D5" s="24"/>
      <c r="E5" s="24"/>
      <c r="F5" s="24"/>
      <c r="G5" s="24"/>
      <c r="H5" s="24"/>
      <c r="I5" s="29"/>
      <c r="J5" s="29"/>
      <c r="K5" s="42" t="s">
        <v>4</v>
      </c>
      <c r="L5" s="1"/>
    </row>
    <row r="6">
      <c r="A6" s="1"/>
      <c r="B6" s="19"/>
      <c r="C6" s="12"/>
      <c r="D6" s="12"/>
      <c r="E6" s="12"/>
      <c r="F6" s="12"/>
      <c r="G6" s="12"/>
      <c r="H6" s="12"/>
      <c r="I6" s="19"/>
      <c r="J6" s="19"/>
      <c r="K6" s="19"/>
      <c r="L6" s="1"/>
    </row>
    <row r="7">
      <c r="A7" s="1"/>
      <c r="B7" s="27"/>
      <c r="C7" s="20"/>
      <c r="D7" s="20"/>
      <c r="E7" s="20"/>
      <c r="F7" s="20"/>
      <c r="G7" s="20"/>
      <c r="H7" s="20"/>
      <c r="I7" s="27"/>
      <c r="J7" s="27"/>
      <c r="K7" s="27"/>
      <c r="L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>
      <c r="A9" s="1"/>
      <c r="B9" s="2" t="s">
        <v>559</v>
      </c>
      <c r="C9" s="6"/>
      <c r="D9" s="6"/>
      <c r="E9" s="6"/>
      <c r="F9" s="6"/>
      <c r="G9" s="6"/>
      <c r="H9" s="6"/>
      <c r="I9" s="3"/>
      <c r="J9" s="3"/>
      <c r="K9" s="1"/>
      <c r="L9" s="1"/>
    </row>
    <row r="10" ht="14.25">
      <c r="A10" s="1"/>
      <c r="B10" s="28" t="s">
        <v>560</v>
      </c>
      <c r="C10" s="21" t="s">
        <v>561</v>
      </c>
      <c r="D10" s="21" t="s">
        <v>71</v>
      </c>
      <c r="E10" s="21" t="s">
        <v>562</v>
      </c>
      <c r="F10" s="21" t="s">
        <v>563</v>
      </c>
      <c r="G10" s="21" t="s">
        <v>564</v>
      </c>
      <c r="H10" s="21" t="s">
        <v>565</v>
      </c>
      <c r="I10" s="45" t="s">
        <v>566</v>
      </c>
      <c r="J10" s="45" t="s">
        <v>567</v>
      </c>
      <c r="K10" s="1"/>
      <c r="L10" s="1"/>
    </row>
    <row r="11" ht="25.5">
      <c r="A11" s="1"/>
      <c r="B11" s="31" t="s">
        <v>568</v>
      </c>
      <c r="C11" s="46">
        <v>46226</v>
      </c>
      <c r="D11" s="3" t="s">
        <v>569</v>
      </c>
      <c r="E11" s="50"/>
      <c r="F11" s="50"/>
      <c r="G11" s="52">
        <f>'Revenue summary'!G51</f>
        <v>0.04487997902670249</v>
      </c>
      <c r="H11" s="52">
        <f>'Revenue summary'!H51</f>
        <v>0.047122996450590815</v>
      </c>
      <c r="I11" s="10" t="str">
        <f>IF(H11&gt;=G11,"Est. at/above","Est. below")</f>
        <v>Est. at/above</v>
      </c>
      <c r="J11" s="3" t="s">
        <v>570</v>
      </c>
      <c r="K11" s="48" t="s">
        <v>571</v>
      </c>
      <c r="L11" s="1"/>
    </row>
    <row r="12" ht="25.5">
      <c r="A12" s="1"/>
      <c r="B12" s="31" t="s">
        <v>572</v>
      </c>
      <c r="C12" s="46">
        <v>46226</v>
      </c>
      <c r="D12" s="3" t="s">
        <v>569</v>
      </c>
      <c r="E12" s="6"/>
      <c r="F12" s="6"/>
      <c r="G12" s="16">
        <f>'Revenue summary'!C50*(1+G11)</f>
        <v>2005.858185497519</v>
      </c>
      <c r="H12" s="16">
        <f>'Revenue summary'!H50</f>
        <v>2010.164110532192</v>
      </c>
      <c r="I12" s="4" t="str">
        <f>IF(H12&gt;=G12,"Est. at/above","Est. below")</f>
        <v>Est. at/above</v>
      </c>
      <c r="J12" s="3" t="s">
        <v>570</v>
      </c>
      <c r="K12" s="48" t="s">
        <v>573</v>
      </c>
      <c r="L12" s="1"/>
    </row>
    <row r="13" ht="25.5">
      <c r="A13" s="1"/>
      <c r="B13" s="31" t="s">
        <v>574</v>
      </c>
      <c r="C13" s="46">
        <v>46226</v>
      </c>
      <c r="D13" s="3" t="s">
        <v>569</v>
      </c>
      <c r="E13" s="6"/>
      <c r="F13" s="16">
        <f>'Income Statement'!G211</f>
        <v>414.26000000000005</v>
      </c>
      <c r="G13" s="6"/>
      <c r="H13" s="16">
        <f>'Income Statement'!H211</f>
        <v>283.89424068550676</v>
      </c>
      <c r="I13" s="4" t="str">
        <f>IF(H13&lt;F13,"Consistent","Above 2Q26")</f>
        <v>Consistent</v>
      </c>
      <c r="J13" s="3" t="s">
        <v>570</v>
      </c>
      <c r="K13" s="48" t="s">
        <v>575</v>
      </c>
      <c r="L13" s="1"/>
    </row>
    <row r="14" ht="25.5">
      <c r="A14" s="1"/>
      <c r="B14" s="31" t="s">
        <v>576</v>
      </c>
      <c r="C14" s="46">
        <v>46280</v>
      </c>
      <c r="D14" s="3" t="s">
        <v>569</v>
      </c>
      <c r="E14" s="6"/>
      <c r="F14" s="16">
        <f>'Segment - Real Estate'!G90+'Segment - Private Equity'!G96+'Segment - Credit &amp; Insurance'!G72+'Segment - Multi-Asset Investing'!G72</f>
        <v>31843</v>
      </c>
      <c r="G14" s="6"/>
      <c r="H14" s="16">
        <f>'Segment - Real Estate'!H90+'Segment - Private Equity'!H96+'Segment - Credit &amp; Insurance'!H72+'Segment - Multi-Asset Investing'!H72</f>
        <v>29700</v>
      </c>
      <c r="I14" s="4" t="str">
        <f>IF(H14&lt;F14,"Consistent","Above 2Q26")</f>
        <v>Consistent</v>
      </c>
      <c r="J14" s="3" t="s">
        <v>577</v>
      </c>
      <c r="K14" s="48" t="s">
        <v>578</v>
      </c>
      <c r="L14" s="1"/>
    </row>
    <row r="15" ht="25.5">
      <c r="A15" s="1"/>
      <c r="B15" s="31" t="s">
        <v>579</v>
      </c>
      <c r="C15" s="46">
        <v>46287</v>
      </c>
      <c r="D15" s="3" t="s">
        <v>580</v>
      </c>
      <c r="E15" s="16">
        <f>'Revenue summary'!H109</f>
        <v>350</v>
      </c>
      <c r="F15" s="6"/>
      <c r="G15" s="6"/>
      <c r="H15" s="16">
        <f>'Revenue summary'!H111</f>
        <v>476.90234085939363</v>
      </c>
      <c r="I15" s="4" t="str">
        <f>IF(H15&gt;E15,"Est. above floor","Below")</f>
        <v>Est. above floor</v>
      </c>
      <c r="J15" s="3" t="s">
        <v>581</v>
      </c>
      <c r="K15" s="48" t="s">
        <v>582</v>
      </c>
      <c r="L15" s="1"/>
    </row>
    <row r="16" ht="25.5">
      <c r="A16" s="1"/>
      <c r="B16" s="31" t="s">
        <v>583</v>
      </c>
      <c r="C16" s="46">
        <v>46226</v>
      </c>
      <c r="D16" s="3" t="s">
        <v>584</v>
      </c>
      <c r="E16" s="53">
        <v>0.1</v>
      </c>
      <c r="F16" s="50"/>
      <c r="G16" s="50"/>
      <c r="H16" s="93" t="s">
        <v>32</v>
      </c>
      <c r="I16" s="3" t="s">
        <v>585</v>
      </c>
      <c r="J16" s="3" t="s">
        <v>570</v>
      </c>
      <c r="K16" s="48" t="s">
        <v>586</v>
      </c>
      <c r="L16" s="1"/>
    </row>
    <row r="17" ht="25.5">
      <c r="A17" s="1"/>
      <c r="B17" s="31" t="s">
        <v>587</v>
      </c>
      <c r="C17" s="3" t="s">
        <v>32</v>
      </c>
      <c r="D17" s="3" t="s">
        <v>569</v>
      </c>
      <c r="E17" s="6"/>
      <c r="F17" s="6"/>
      <c r="G17" s="6"/>
      <c r="H17" s="94" t="s">
        <v>32</v>
      </c>
      <c r="I17" s="3" t="s">
        <v>588</v>
      </c>
      <c r="J17" s="3" t="s">
        <v>589</v>
      </c>
      <c r="K17" s="48" t="s">
        <v>590</v>
      </c>
      <c r="L17" s="1"/>
    </row>
    <row r="18" ht="14.25">
      <c r="A18" s="1"/>
      <c r="B18" s="1"/>
      <c r="C18" s="1"/>
      <c r="D18" s="1"/>
      <c r="E18" s="1"/>
      <c r="F18" s="1"/>
      <c r="G18" s="1"/>
      <c r="H18" s="1"/>
      <c r="I18" s="3"/>
      <c r="J18" s="3"/>
      <c r="K18" s="1"/>
      <c r="L18" s="1"/>
    </row>
    <row r="19" ht="14.25">
      <c r="A19" s="1"/>
      <c r="B19" s="2" t="s">
        <v>591</v>
      </c>
      <c r="C19" s="6"/>
      <c r="D19" s="6"/>
      <c r="E19" s="6"/>
      <c r="F19" s="6"/>
      <c r="G19" s="6"/>
      <c r="H19" s="6"/>
      <c r="I19" s="3"/>
      <c r="J19" s="3"/>
      <c r="K19" s="1"/>
      <c r="L19" s="1"/>
    </row>
    <row r="20" ht="14.25">
      <c r="A20" s="1"/>
      <c r="B20" s="28" t="s">
        <v>592</v>
      </c>
      <c r="C20" s="21" t="s">
        <v>561</v>
      </c>
      <c r="D20" s="21" t="s">
        <v>71</v>
      </c>
      <c r="E20" s="21" t="s">
        <v>593</v>
      </c>
      <c r="F20" s="21" t="s">
        <v>594</v>
      </c>
      <c r="G20" s="21" t="s">
        <v>595</v>
      </c>
      <c r="H20" s="21" t="s">
        <v>596</v>
      </c>
      <c r="I20" s="45" t="s">
        <v>597</v>
      </c>
      <c r="J20" s="45" t="s">
        <v>566</v>
      </c>
      <c r="K20" s="1"/>
      <c r="L20" s="1"/>
    </row>
    <row r="21" ht="14.25">
      <c r="A21" s="1"/>
      <c r="B21" s="31" t="s">
        <v>598</v>
      </c>
      <c r="C21" s="46">
        <v>45649</v>
      </c>
      <c r="D21" s="3" t="s">
        <v>599</v>
      </c>
      <c r="E21" s="49">
        <v>775</v>
      </c>
      <c r="F21" s="16">
        <f>Inputs!D115</f>
        <v>865.08</v>
      </c>
      <c r="G21" s="16">
        <f>Inputs!D116</f>
        <v>25.613</v>
      </c>
      <c r="H21" s="6">
        <f>F21+G21</f>
        <v>890.693</v>
      </c>
      <c r="I21" s="38">
        <f>H21/E21</f>
        <v>1.1492812903225806</v>
      </c>
      <c r="J21" s="4" t="str">
        <f>IF(H21&gt;E21,"Above floor","Below")</f>
        <v>Above floor</v>
      </c>
      <c r="K21" s="48" t="s">
        <v>600</v>
      </c>
      <c r="L21" s="1"/>
    </row>
    <row r="22" ht="14.25">
      <c r="A22" s="1"/>
      <c r="B22" s="31" t="s">
        <v>601</v>
      </c>
      <c r="C22" s="46">
        <v>45741</v>
      </c>
      <c r="D22" s="3" t="s">
        <v>602</v>
      </c>
      <c r="E22" s="49">
        <v>385</v>
      </c>
      <c r="F22" s="16">
        <f>Inputs!F115</f>
        <v>460.023</v>
      </c>
      <c r="G22" s="16">
        <f>Inputs!F116</f>
        <v>117.91</v>
      </c>
      <c r="H22" s="6">
        <f>F22+G22</f>
        <v>577.933</v>
      </c>
      <c r="I22" s="38">
        <f>H22/E22</f>
        <v>1.5011246753246752</v>
      </c>
      <c r="J22" s="4" t="str">
        <f>IF(H22&gt;E22,"Above floor","Below")</f>
        <v>Above floor</v>
      </c>
      <c r="K22" s="48" t="s">
        <v>603</v>
      </c>
      <c r="L22" s="1"/>
    </row>
    <row r="23" ht="14.25">
      <c r="A23" s="1"/>
      <c r="B23" s="31" t="s">
        <v>604</v>
      </c>
      <c r="C23" s="46">
        <v>45832</v>
      </c>
      <c r="D23" s="3" t="s">
        <v>605</v>
      </c>
      <c r="E23" s="49">
        <v>425</v>
      </c>
      <c r="F23" s="16">
        <f>Inputs!G115</f>
        <v>553.121</v>
      </c>
      <c r="G23" s="16">
        <f>Inputs!G116</f>
        <v>29.421</v>
      </c>
      <c r="H23" s="6">
        <f>F23+G23</f>
        <v>582.542</v>
      </c>
      <c r="I23" s="38">
        <f>H23/E23</f>
        <v>1.3706870588235296</v>
      </c>
      <c r="J23" s="4" t="str">
        <f>IF(H23&gt;E23,"Above floor","Below")</f>
        <v>Above floor</v>
      </c>
      <c r="K23" s="48" t="s">
        <v>600</v>
      </c>
      <c r="L23" s="1"/>
    </row>
    <row r="24" ht="14.25">
      <c r="A24" s="1"/>
      <c r="B24" s="31" t="s">
        <v>606</v>
      </c>
      <c r="C24" s="46">
        <v>45924</v>
      </c>
      <c r="D24" s="3" t="s">
        <v>607</v>
      </c>
      <c r="E24" s="49">
        <v>525</v>
      </c>
      <c r="F24" s="16">
        <f>'Revenue summary'!C92</f>
        <v>744.9530000000001</v>
      </c>
      <c r="G24" s="16">
        <f>'Revenue summary'!C99</f>
        <v>62.535000000000004</v>
      </c>
      <c r="H24" s="6">
        <f>F24+G24</f>
        <v>807.488</v>
      </c>
      <c r="I24" s="38">
        <f>H24/E24</f>
        <v>1.538072380952381</v>
      </c>
      <c r="J24" s="4" t="str">
        <f>IF(H24&gt;E24,"Above floor","Below")</f>
        <v>Above floor</v>
      </c>
      <c r="K24" s="48" t="s">
        <v>600</v>
      </c>
      <c r="L24" s="1"/>
    </row>
    <row r="25" ht="14.25">
      <c r="A25" s="1"/>
      <c r="B25" s="31" t="s">
        <v>608</v>
      </c>
      <c r="C25" s="46">
        <v>46014</v>
      </c>
      <c r="D25" s="3" t="s">
        <v>609</v>
      </c>
      <c r="E25" s="49">
        <v>1000</v>
      </c>
      <c r="F25" s="16">
        <f>'Revenue summary'!D92</f>
        <v>1057.432</v>
      </c>
      <c r="G25" s="16">
        <f>'Revenue summary'!D99</f>
        <v>209.877</v>
      </c>
      <c r="H25" s="6">
        <f>F25+G25</f>
        <v>1267.309</v>
      </c>
      <c r="I25" s="38">
        <f>H25/E25</f>
        <v>1.267309</v>
      </c>
      <c r="J25" s="4" t="str">
        <f>IF(H25&gt;E25,"Above floor","Below")</f>
        <v>Above floor</v>
      </c>
      <c r="K25" s="48" t="s">
        <v>600</v>
      </c>
      <c r="L25" s="1"/>
    </row>
    <row r="26" ht="14.25">
      <c r="A26" s="1"/>
      <c r="B26" s="31" t="s">
        <v>610</v>
      </c>
      <c r="C26" s="46">
        <v>46105</v>
      </c>
      <c r="D26" s="3" t="s">
        <v>611</v>
      </c>
      <c r="E26" s="49">
        <v>680</v>
      </c>
      <c r="F26" s="16">
        <f>'Revenue summary'!F92</f>
        <v>780.4939999999999</v>
      </c>
      <c r="G26" s="16">
        <f>'Revenue summary'!F99</f>
        <v>31.973000000000003</v>
      </c>
      <c r="H26" s="6">
        <f>F26+G26</f>
        <v>812.4669999999999</v>
      </c>
      <c r="I26" s="38">
        <f>H26/E26</f>
        <v>1.1948044117647056</v>
      </c>
      <c r="J26" s="4" t="str">
        <f>IF(H26&gt;E26,"Above floor","Below")</f>
        <v>Above floor</v>
      </c>
      <c r="K26" s="48" t="s">
        <v>600</v>
      </c>
      <c r="L26" s="1"/>
    </row>
    <row r="27" ht="14.25">
      <c r="A27" s="1"/>
      <c r="B27" s="31" t="s">
        <v>612</v>
      </c>
      <c r="C27" s="46">
        <v>46196</v>
      </c>
      <c r="D27" s="3" t="s">
        <v>613</v>
      </c>
      <c r="E27" s="49">
        <v>500</v>
      </c>
      <c r="F27" s="16">
        <f>'Revenue summary'!G92</f>
        <v>730.8849999999999</v>
      </c>
      <c r="G27" s="16">
        <f>'Revenue summary'!G99</f>
        <v>27.499000000000002</v>
      </c>
      <c r="H27" s="6">
        <f>F27+G27</f>
        <v>758.3839999999999</v>
      </c>
      <c r="I27" s="38">
        <f>H27/E27</f>
        <v>1.516768</v>
      </c>
      <c r="J27" s="4" t="str">
        <f>IF(H27&gt;E27,"Above floor","Below")</f>
        <v>Above floor</v>
      </c>
      <c r="K27" s="48" t="s">
        <v>600</v>
      </c>
      <c r="L27" s="1"/>
    </row>
    <row r="28" ht="14.25">
      <c r="A28" s="1"/>
      <c r="B28" s="31" t="s">
        <v>614</v>
      </c>
      <c r="C28" s="46">
        <v>46287</v>
      </c>
      <c r="D28" s="3" t="s">
        <v>569</v>
      </c>
      <c r="E28" s="16">
        <f>'Revenue summary'!H109</f>
        <v>350</v>
      </c>
      <c r="F28" s="6"/>
      <c r="G28" s="6"/>
      <c r="H28" s="16">
        <f>'Revenue summary'!H111</f>
        <v>476.90234085939363</v>
      </c>
      <c r="I28" s="38">
        <f>H28/E28</f>
        <v>1.3625781167411246</v>
      </c>
      <c r="J28" s="3" t="s">
        <v>615</v>
      </c>
      <c r="K28" s="48" t="s">
        <v>616</v>
      </c>
      <c r="L28" s="1"/>
    </row>
    <row r="29" ht="14.25">
      <c r="A29" s="1"/>
      <c r="B29" s="54" t="s">
        <v>617</v>
      </c>
      <c r="C29" s="51"/>
      <c r="D29" s="51"/>
      <c r="E29" s="47"/>
      <c r="F29" s="47"/>
      <c r="G29" s="47"/>
      <c r="H29" s="47"/>
      <c r="I29" s="38">
        <f>AVERAGE(I21:I27)</f>
        <v>1.3625781167411246</v>
      </c>
      <c r="J29" s="3"/>
      <c r="K29" s="1"/>
      <c r="L29" s="1"/>
    </row>
    <row r="30" ht="14.25">
      <c r="A30" s="1"/>
      <c r="B30" s="31" t="s">
        <v>618</v>
      </c>
      <c r="C30" s="3"/>
      <c r="D30" s="3"/>
      <c r="E30" s="6"/>
      <c r="F30" s="6"/>
      <c r="G30" s="6"/>
      <c r="H30" s="6"/>
      <c r="I30" s="38">
        <f>MEDIAN(I21:I27)</f>
        <v>1.3706870588235296</v>
      </c>
      <c r="J30" s="3"/>
      <c r="K30" s="1"/>
      <c r="L30" s="1"/>
    </row>
    <row r="31" ht="14.25">
      <c r="A31" s="1"/>
      <c r="B31" s="31" t="s">
        <v>619</v>
      </c>
      <c r="C31" s="3"/>
      <c r="D31" s="3"/>
      <c r="E31" s="6"/>
      <c r="F31" s="6"/>
      <c r="G31" s="6"/>
      <c r="H31" s="6"/>
      <c r="I31" s="38">
        <f>MIN(I21:I27)</f>
        <v>1.1492812903225806</v>
      </c>
      <c r="J31" s="3"/>
      <c r="K31" s="1"/>
      <c r="L31" s="1"/>
    </row>
    <row r="32" ht="14.25">
      <c r="A32" s="1"/>
      <c r="B32" s="31" t="s">
        <v>620</v>
      </c>
      <c r="C32" s="3"/>
      <c r="D32" s="3"/>
      <c r="E32" s="6"/>
      <c r="F32" s="6"/>
      <c r="G32" s="6"/>
      <c r="H32" s="6"/>
      <c r="I32" s="38">
        <f>MAX(I21:I27)</f>
        <v>1.538072380952381</v>
      </c>
      <c r="J32" s="3"/>
      <c r="K32" s="1"/>
      <c r="L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L43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26" customWidth="1"/>
    <col min="10" max="10" width="46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" t="s">
        <v>0</v>
      </c>
      <c r="C2" s="6"/>
      <c r="D2" s="6"/>
      <c r="E2" s="6"/>
      <c r="F2" s="6"/>
      <c r="G2" s="6"/>
      <c r="H2" s="6"/>
      <c r="I2" s="1"/>
      <c r="J2" s="1"/>
      <c r="K2" s="1"/>
      <c r="L2" s="1"/>
    </row>
    <row r="3">
      <c r="A3" s="1"/>
      <c r="B3" s="2" t="s">
        <v>621</v>
      </c>
      <c r="C3" s="6"/>
      <c r="D3" s="6"/>
      <c r="E3" s="6"/>
      <c r="F3" s="6"/>
      <c r="G3" s="6"/>
      <c r="H3" s="6"/>
      <c r="I3" s="1"/>
      <c r="J3" s="1"/>
      <c r="K3" s="1"/>
      <c r="L3" s="1"/>
    </row>
    <row r="4">
      <c r="A4" s="1"/>
      <c r="B4" s="1" t="s">
        <v>2</v>
      </c>
      <c r="C4" s="6"/>
      <c r="D4" s="6"/>
      <c r="E4" s="6"/>
      <c r="F4" s="6"/>
      <c r="G4" s="6"/>
      <c r="H4" s="6"/>
      <c r="I4" s="1"/>
      <c r="J4" s="1"/>
      <c r="K4" s="1"/>
      <c r="L4" s="1"/>
    </row>
    <row r="5">
      <c r="A5" s="1"/>
      <c r="B5" s="29" t="s">
        <v>3</v>
      </c>
      <c r="C5" s="24"/>
      <c r="D5" s="24"/>
      <c r="E5" s="24"/>
      <c r="F5" s="24"/>
      <c r="G5" s="24"/>
      <c r="H5" s="24"/>
      <c r="I5" s="29"/>
      <c r="J5" s="29"/>
      <c r="K5" s="29"/>
      <c r="L5" s="42" t="s">
        <v>4</v>
      </c>
    </row>
    <row r="6">
      <c r="A6" s="1"/>
      <c r="B6" s="19"/>
      <c r="C6" s="12"/>
      <c r="D6" s="12"/>
      <c r="E6" s="12"/>
      <c r="F6" s="12"/>
      <c r="G6" s="12"/>
      <c r="H6" s="12"/>
      <c r="I6" s="19"/>
      <c r="J6" s="19"/>
      <c r="K6" s="19"/>
      <c r="L6" s="19"/>
    </row>
    <row r="7">
      <c r="A7" s="1"/>
      <c r="B7" s="27"/>
      <c r="C7" s="20"/>
      <c r="D7" s="20"/>
      <c r="E7" s="20"/>
      <c r="F7" s="20"/>
      <c r="G7" s="20"/>
      <c r="H7" s="20"/>
      <c r="I7" s="27"/>
      <c r="J7" s="27"/>
      <c r="K7" s="27"/>
      <c r="L7" s="27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>
      <c r="A9" s="1"/>
      <c r="B9" s="2" t="s">
        <v>622</v>
      </c>
      <c r="C9" s="6"/>
      <c r="D9" s="6"/>
      <c r="E9" s="6"/>
      <c r="F9" s="6"/>
      <c r="G9" s="6"/>
      <c r="H9" s="6"/>
      <c r="I9" s="1"/>
      <c r="J9" s="1"/>
      <c r="K9" s="1"/>
      <c r="L9" s="1"/>
    </row>
    <row r="10">
      <c r="A10" s="1"/>
      <c r="B10" s="28" t="s">
        <v>567</v>
      </c>
      <c r="C10" s="21" t="s">
        <v>623</v>
      </c>
      <c r="D10" s="21" t="s">
        <v>624</v>
      </c>
      <c r="E10" s="21" t="s">
        <v>625</v>
      </c>
      <c r="F10" s="21"/>
      <c r="G10" s="21"/>
      <c r="H10" s="21"/>
      <c r="I10" s="110" t="s">
        <v>626</v>
      </c>
      <c r="J10" s="110" t="s">
        <v>627</v>
      </c>
      <c r="K10" s="74" t="s">
        <v>628</v>
      </c>
      <c r="L10" s="1"/>
    </row>
    <row r="11" ht="25.5">
      <c r="A11" s="1"/>
      <c r="B11" s="1" t="s">
        <v>629</v>
      </c>
      <c r="C11" s="7" t="s">
        <v>630</v>
      </c>
      <c r="D11" s="46">
        <v>46226</v>
      </c>
      <c r="E11" s="46">
        <v>46314</v>
      </c>
      <c r="F11" s="7"/>
      <c r="G11" s="7"/>
      <c r="H11" s="7"/>
      <c r="I11" s="63" t="s">
        <v>631</v>
      </c>
      <c r="J11" s="63" t="s">
        <v>632</v>
      </c>
      <c r="K11" s="63" t="s">
        <v>633</v>
      </c>
      <c r="L11" s="1"/>
    </row>
    <row r="12" ht="36.75">
      <c r="A12" s="1"/>
      <c r="B12" s="1" t="s">
        <v>634</v>
      </c>
      <c r="C12" s="7" t="s">
        <v>635</v>
      </c>
      <c r="D12" s="46">
        <v>45764</v>
      </c>
      <c r="E12" s="46">
        <v>46314</v>
      </c>
      <c r="F12" s="7"/>
      <c r="G12" s="7"/>
      <c r="H12" s="7"/>
      <c r="I12" s="63" t="s">
        <v>631</v>
      </c>
      <c r="J12" s="63" t="s">
        <v>636</v>
      </c>
      <c r="K12" s="63" t="s">
        <v>637</v>
      </c>
      <c r="L12" s="1"/>
    </row>
    <row r="13" ht="25.5">
      <c r="A13" s="1"/>
      <c r="B13" s="1" t="s">
        <v>638</v>
      </c>
      <c r="C13" s="7" t="s">
        <v>639</v>
      </c>
      <c r="D13" s="46">
        <v>45953</v>
      </c>
      <c r="E13" s="46">
        <v>46314</v>
      </c>
      <c r="F13" s="7"/>
      <c r="G13" s="7"/>
      <c r="H13" s="7"/>
      <c r="I13" s="63" t="s">
        <v>631</v>
      </c>
      <c r="J13" s="63" t="s">
        <v>640</v>
      </c>
      <c r="K13" s="63" t="s">
        <v>641</v>
      </c>
      <c r="L13" s="1"/>
    </row>
    <row r="14" ht="25.5">
      <c r="A14" s="1"/>
      <c r="B14" s="1" t="s">
        <v>642</v>
      </c>
      <c r="C14" s="7" t="s">
        <v>643</v>
      </c>
      <c r="D14" s="46">
        <v>46051</v>
      </c>
      <c r="E14" s="46">
        <v>46314</v>
      </c>
      <c r="F14" s="7"/>
      <c r="G14" s="7"/>
      <c r="H14" s="7"/>
      <c r="I14" s="63" t="s">
        <v>631</v>
      </c>
      <c r="J14" s="63" t="s">
        <v>644</v>
      </c>
      <c r="K14" s="63" t="s">
        <v>645</v>
      </c>
      <c r="L14" s="1"/>
    </row>
    <row r="15" ht="25.5">
      <c r="A15" s="1"/>
      <c r="B15" s="1" t="s">
        <v>646</v>
      </c>
      <c r="C15" s="7" t="s">
        <v>647</v>
      </c>
      <c r="D15" s="46">
        <v>46135</v>
      </c>
      <c r="E15" s="46">
        <v>46314</v>
      </c>
      <c r="F15" s="7"/>
      <c r="G15" s="7"/>
      <c r="H15" s="7"/>
      <c r="I15" s="63" t="s">
        <v>631</v>
      </c>
      <c r="J15" s="63" t="s">
        <v>648</v>
      </c>
      <c r="K15" s="63" t="s">
        <v>649</v>
      </c>
      <c r="L15" s="1"/>
    </row>
    <row r="16" ht="25.5">
      <c r="A16" s="1"/>
      <c r="B16" s="1" t="s">
        <v>650</v>
      </c>
      <c r="C16" s="7" t="s">
        <v>651</v>
      </c>
      <c r="D16" s="46">
        <v>46226</v>
      </c>
      <c r="E16" s="46">
        <v>46314</v>
      </c>
      <c r="F16" s="7"/>
      <c r="G16" s="7"/>
      <c r="H16" s="7"/>
      <c r="I16" s="63" t="s">
        <v>631</v>
      </c>
      <c r="J16" s="63" t="s">
        <v>652</v>
      </c>
      <c r="K16" s="63" t="s">
        <v>653</v>
      </c>
      <c r="L16" s="1"/>
    </row>
    <row r="17" ht="48">
      <c r="A17" s="1"/>
      <c r="B17" s="1" t="s">
        <v>654</v>
      </c>
      <c r="C17" s="7" t="s">
        <v>655</v>
      </c>
      <c r="D17" s="46">
        <v>45582</v>
      </c>
      <c r="E17" s="46">
        <v>46314</v>
      </c>
      <c r="F17" s="7"/>
      <c r="G17" s="7"/>
      <c r="H17" s="7"/>
      <c r="I17" s="63" t="s">
        <v>631</v>
      </c>
      <c r="J17" s="63" t="s">
        <v>656</v>
      </c>
      <c r="K17" s="63" t="s">
        <v>657</v>
      </c>
      <c r="L17" s="1"/>
    </row>
    <row r="18" ht="25.5">
      <c r="A18" s="1"/>
      <c r="B18" s="1" t="s">
        <v>658</v>
      </c>
      <c r="C18" s="7" t="s">
        <v>570</v>
      </c>
      <c r="D18" s="46">
        <v>46226</v>
      </c>
      <c r="E18" s="46">
        <v>46314</v>
      </c>
      <c r="F18" s="7"/>
      <c r="G18" s="7"/>
      <c r="H18" s="7"/>
      <c r="I18" s="63" t="s">
        <v>631</v>
      </c>
      <c r="J18" s="63" t="s">
        <v>659</v>
      </c>
      <c r="K18" s="63" t="s">
        <v>660</v>
      </c>
      <c r="L18" s="1"/>
    </row>
    <row r="19" ht="36.75">
      <c r="A19" s="1"/>
      <c r="B19" s="1" t="s">
        <v>661</v>
      </c>
      <c r="C19" s="7" t="s">
        <v>577</v>
      </c>
      <c r="D19" s="46">
        <v>46280</v>
      </c>
      <c r="E19" s="46">
        <v>46314</v>
      </c>
      <c r="F19" s="7"/>
      <c r="G19" s="7"/>
      <c r="H19" s="7"/>
      <c r="I19" s="63" t="s">
        <v>662</v>
      </c>
      <c r="J19" s="63" t="s">
        <v>663</v>
      </c>
      <c r="K19" s="63" t="s">
        <v>664</v>
      </c>
      <c r="L19" s="1"/>
    </row>
    <row r="20" ht="36.75">
      <c r="A20" s="1"/>
      <c r="B20" s="1" t="s">
        <v>665</v>
      </c>
      <c r="C20" s="7" t="s">
        <v>581</v>
      </c>
      <c r="D20" s="46">
        <v>46287</v>
      </c>
      <c r="E20" s="46">
        <v>46314</v>
      </c>
      <c r="F20" s="7"/>
      <c r="G20" s="7"/>
      <c r="H20" s="7"/>
      <c r="I20" s="63" t="s">
        <v>631</v>
      </c>
      <c r="J20" s="63" t="s">
        <v>666</v>
      </c>
      <c r="K20" s="63" t="s">
        <v>667</v>
      </c>
      <c r="L20" s="1"/>
    </row>
    <row r="21" ht="25.5">
      <c r="A21" s="1"/>
      <c r="B21" s="1" t="s">
        <v>668</v>
      </c>
      <c r="C21" s="7" t="s">
        <v>669</v>
      </c>
      <c r="D21" s="46">
        <v>46241</v>
      </c>
      <c r="E21" s="46">
        <v>46314</v>
      </c>
      <c r="F21" s="7"/>
      <c r="G21" s="7"/>
      <c r="H21" s="7"/>
      <c r="I21" s="63" t="s">
        <v>670</v>
      </c>
      <c r="J21" s="63" t="s">
        <v>671</v>
      </c>
      <c r="K21" s="63" t="s">
        <v>672</v>
      </c>
      <c r="L21" s="1"/>
    </row>
    <row r="22" ht="25.5">
      <c r="A22" s="1"/>
      <c r="B22" s="1" t="s">
        <v>673</v>
      </c>
      <c r="C22" s="7" t="s">
        <v>674</v>
      </c>
      <c r="D22" s="46">
        <v>45968</v>
      </c>
      <c r="E22" s="46">
        <v>46314</v>
      </c>
      <c r="F22" s="7"/>
      <c r="G22" s="7"/>
      <c r="H22" s="7"/>
      <c r="I22" s="63" t="s">
        <v>670</v>
      </c>
      <c r="J22" s="63" t="s">
        <v>675</v>
      </c>
      <c r="K22" s="63" t="s">
        <v>676</v>
      </c>
      <c r="L22" s="1"/>
    </row>
    <row r="23" ht="36.75">
      <c r="A23" s="1"/>
      <c r="B23" s="1" t="s">
        <v>677</v>
      </c>
      <c r="C23" s="7" t="s">
        <v>678</v>
      </c>
      <c r="D23" s="46">
        <v>46080</v>
      </c>
      <c r="E23" s="46">
        <v>46314</v>
      </c>
      <c r="F23" s="7"/>
      <c r="G23" s="7"/>
      <c r="H23" s="7"/>
      <c r="I23" s="63" t="s">
        <v>670</v>
      </c>
      <c r="J23" s="63" t="s">
        <v>679</v>
      </c>
      <c r="K23" s="63" t="s">
        <v>680</v>
      </c>
      <c r="L23" s="1"/>
    </row>
    <row r="24" ht="25.5">
      <c r="A24" s="1"/>
      <c r="B24" s="1" t="s">
        <v>681</v>
      </c>
      <c r="C24" s="7" t="s">
        <v>682</v>
      </c>
      <c r="D24" s="46">
        <v>46241</v>
      </c>
      <c r="E24" s="46">
        <v>46314</v>
      </c>
      <c r="F24" s="7"/>
      <c r="G24" s="7"/>
      <c r="H24" s="7"/>
      <c r="I24" s="63" t="s">
        <v>683</v>
      </c>
      <c r="J24" s="63" t="s">
        <v>684</v>
      </c>
      <c r="K24" s="63" t="s">
        <v>685</v>
      </c>
      <c r="L24" s="1"/>
    </row>
    <row r="25" ht="25.5">
      <c r="A25" s="1"/>
      <c r="B25" s="1" t="s">
        <v>686</v>
      </c>
      <c r="C25" s="7" t="s">
        <v>687</v>
      </c>
      <c r="D25" s="46">
        <v>46251</v>
      </c>
      <c r="E25" s="46">
        <v>46314</v>
      </c>
      <c r="F25" s="7"/>
      <c r="G25" s="7"/>
      <c r="H25" s="7"/>
      <c r="I25" s="63" t="s">
        <v>683</v>
      </c>
      <c r="J25" s="63" t="s">
        <v>688</v>
      </c>
      <c r="K25" s="63" t="s">
        <v>689</v>
      </c>
      <c r="L25" s="1"/>
    </row>
    <row r="26" ht="36.75">
      <c r="A26" s="1"/>
      <c r="B26" s="1" t="s">
        <v>690</v>
      </c>
      <c r="C26" s="7" t="s">
        <v>691</v>
      </c>
      <c r="D26" s="46">
        <v>46247</v>
      </c>
      <c r="E26" s="46">
        <v>46314</v>
      </c>
      <c r="F26" s="7"/>
      <c r="G26" s="7"/>
      <c r="H26" s="7"/>
      <c r="I26" s="63" t="s">
        <v>692</v>
      </c>
      <c r="J26" s="63" t="s">
        <v>693</v>
      </c>
      <c r="K26" s="63" t="s">
        <v>694</v>
      </c>
      <c r="L26" s="1"/>
    </row>
    <row r="27" ht="36.75">
      <c r="A27" s="1"/>
      <c r="B27" s="1" t="s">
        <v>695</v>
      </c>
      <c r="C27" s="7" t="s">
        <v>600</v>
      </c>
      <c r="D27" s="46">
        <v>45649</v>
      </c>
      <c r="E27" s="46">
        <v>46314</v>
      </c>
      <c r="F27" s="7"/>
      <c r="G27" s="7"/>
      <c r="H27" s="7"/>
      <c r="I27" s="63" t="s">
        <v>631</v>
      </c>
      <c r="J27" s="63" t="s">
        <v>696</v>
      </c>
      <c r="K27" s="63" t="s">
        <v>697</v>
      </c>
      <c r="L27" s="1"/>
    </row>
    <row r="28" ht="25.5">
      <c r="A28" s="1"/>
      <c r="B28" s="1" t="s">
        <v>698</v>
      </c>
      <c r="C28" s="7" t="s">
        <v>589</v>
      </c>
      <c r="D28" s="46">
        <v>46313</v>
      </c>
      <c r="E28" s="46">
        <v>46314</v>
      </c>
      <c r="F28" s="7"/>
      <c r="G28" s="7"/>
      <c r="H28" s="7"/>
      <c r="I28" s="63" t="s">
        <v>699</v>
      </c>
      <c r="J28" s="63" t="s">
        <v>700</v>
      </c>
      <c r="K28" s="63" t="s">
        <v>701</v>
      </c>
      <c r="L28" s="1"/>
    </row>
    <row r="29" ht="14.25">
      <c r="A29" s="1"/>
      <c r="B29" s="1" t="s">
        <v>702</v>
      </c>
      <c r="C29" s="7" t="s">
        <v>703</v>
      </c>
      <c r="D29" s="46">
        <v>46313</v>
      </c>
      <c r="E29" s="46">
        <v>46314</v>
      </c>
      <c r="F29" s="7"/>
      <c r="G29" s="7"/>
      <c r="H29" s="7"/>
      <c r="I29" s="63" t="s">
        <v>699</v>
      </c>
      <c r="J29" s="63" t="s">
        <v>704</v>
      </c>
      <c r="K29" s="63" t="s">
        <v>705</v>
      </c>
      <c r="L29" s="1"/>
    </row>
    <row r="30" ht="25.5">
      <c r="A30" s="1"/>
      <c r="B30" s="1" t="s">
        <v>706</v>
      </c>
      <c r="C30" s="7" t="s">
        <v>707</v>
      </c>
      <c r="D30" s="46">
        <v>46289</v>
      </c>
      <c r="E30" s="46">
        <v>46314</v>
      </c>
      <c r="F30" s="7"/>
      <c r="G30" s="7"/>
      <c r="H30" s="7"/>
      <c r="I30" s="63" t="s">
        <v>631</v>
      </c>
      <c r="J30" s="63" t="s">
        <v>708</v>
      </c>
      <c r="K30" s="63" t="s">
        <v>709</v>
      </c>
      <c r="L30" s="1"/>
    </row>
    <row r="31" ht="25.5">
      <c r="A31" s="1"/>
      <c r="B31" s="1" t="s">
        <v>710</v>
      </c>
      <c r="C31" s="7" t="s">
        <v>711</v>
      </c>
      <c r="D31" s="46">
        <v>46268</v>
      </c>
      <c r="E31" s="46">
        <v>46314</v>
      </c>
      <c r="F31" s="7"/>
      <c r="G31" s="7"/>
      <c r="H31" s="7"/>
      <c r="I31" s="63" t="s">
        <v>712</v>
      </c>
      <c r="J31" s="63" t="s">
        <v>713</v>
      </c>
      <c r="K31" s="63" t="s">
        <v>714</v>
      </c>
      <c r="L31" s="1"/>
    </row>
    <row r="32" ht="36.75">
      <c r="A32" s="1"/>
      <c r="B32" s="1" t="s">
        <v>715</v>
      </c>
      <c r="C32" s="7" t="s">
        <v>716</v>
      </c>
      <c r="D32" s="46">
        <v>46288</v>
      </c>
      <c r="E32" s="46">
        <v>46314</v>
      </c>
      <c r="F32" s="7"/>
      <c r="G32" s="7"/>
      <c r="H32" s="7"/>
      <c r="I32" s="63" t="s">
        <v>717</v>
      </c>
      <c r="J32" s="63" t="s">
        <v>718</v>
      </c>
      <c r="K32" s="63" t="s">
        <v>719</v>
      </c>
      <c r="L32" s="1"/>
    </row>
    <row r="33" ht="25.5">
      <c r="A33" s="1"/>
      <c r="B33" s="1" t="s">
        <v>720</v>
      </c>
      <c r="C33" s="7" t="s">
        <v>721</v>
      </c>
      <c r="D33" s="46">
        <v>46295</v>
      </c>
      <c r="E33" s="46">
        <v>46314</v>
      </c>
      <c r="F33" s="7"/>
      <c r="G33" s="7"/>
      <c r="H33" s="7"/>
      <c r="I33" s="63" t="s">
        <v>722</v>
      </c>
      <c r="J33" s="63" t="s">
        <v>723</v>
      </c>
      <c r="K33" s="63" t="s">
        <v>724</v>
      </c>
      <c r="L33" s="1"/>
    </row>
    <row r="34" ht="25.5">
      <c r="A34" s="1"/>
      <c r="B34" s="1" t="s">
        <v>725</v>
      </c>
      <c r="C34" s="7" t="s">
        <v>64</v>
      </c>
      <c r="D34" s="46">
        <v>46311</v>
      </c>
      <c r="E34" s="46">
        <v>46314</v>
      </c>
      <c r="F34" s="7"/>
      <c r="G34" s="7"/>
      <c r="H34" s="7"/>
      <c r="I34" s="63" t="s">
        <v>726</v>
      </c>
      <c r="J34" s="63" t="s">
        <v>727</v>
      </c>
      <c r="K34" s="63" t="s">
        <v>728</v>
      </c>
      <c r="L34" s="1"/>
    </row>
    <row r="35" ht="36.75">
      <c r="A35" s="1"/>
      <c r="B35" s="1" t="s">
        <v>729</v>
      </c>
      <c r="C35" s="7" t="s">
        <v>730</v>
      </c>
      <c r="D35" s="46">
        <v>46311</v>
      </c>
      <c r="E35" s="46">
        <v>46314</v>
      </c>
      <c r="F35" s="7"/>
      <c r="G35" s="7"/>
      <c r="H35" s="7"/>
      <c r="I35" s="63" t="s">
        <v>731</v>
      </c>
      <c r="J35" s="63" t="s">
        <v>732</v>
      </c>
      <c r="K35" s="63" t="s">
        <v>733</v>
      </c>
      <c r="L35" s="1"/>
    </row>
    <row r="36" ht="36.75">
      <c r="A36" s="1"/>
      <c r="B36" s="1" t="s">
        <v>734</v>
      </c>
      <c r="C36" s="7" t="s">
        <v>735</v>
      </c>
      <c r="D36" s="46">
        <v>46300</v>
      </c>
      <c r="E36" s="46">
        <v>46314</v>
      </c>
      <c r="F36" s="7"/>
      <c r="G36" s="7"/>
      <c r="H36" s="7"/>
      <c r="I36" s="63" t="s">
        <v>736</v>
      </c>
      <c r="J36" s="63" t="s">
        <v>737</v>
      </c>
      <c r="K36" s="63" t="s">
        <v>738</v>
      </c>
      <c r="L36" s="1"/>
    </row>
    <row r="37" ht="36.75">
      <c r="A37" s="1"/>
      <c r="B37" s="1" t="s">
        <v>739</v>
      </c>
      <c r="C37" s="7" t="s">
        <v>740</v>
      </c>
      <c r="D37" s="46">
        <v>46290</v>
      </c>
      <c r="E37" s="46">
        <v>46314</v>
      </c>
      <c r="F37" s="7"/>
      <c r="G37" s="7"/>
      <c r="H37" s="7"/>
      <c r="I37" s="63" t="s">
        <v>741</v>
      </c>
      <c r="J37" s="63" t="s">
        <v>742</v>
      </c>
      <c r="K37" s="63" t="s">
        <v>743</v>
      </c>
      <c r="L37" s="1"/>
    </row>
    <row r="38" ht="25.5">
      <c r="A38" s="1"/>
      <c r="B38" s="1" t="s">
        <v>744</v>
      </c>
      <c r="C38" s="7" t="s">
        <v>745</v>
      </c>
      <c r="D38" s="46">
        <v>46309</v>
      </c>
      <c r="E38" s="46">
        <v>46314</v>
      </c>
      <c r="F38" s="7"/>
      <c r="G38" s="7"/>
      <c r="H38" s="7"/>
      <c r="I38" s="63" t="s">
        <v>746</v>
      </c>
      <c r="J38" s="63" t="s">
        <v>747</v>
      </c>
      <c r="K38" s="63" t="s">
        <v>748</v>
      </c>
      <c r="L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>
      <c r="A40" s="1"/>
      <c r="B40" s="14" t="s">
        <v>749</v>
      </c>
      <c r="C40" s="6"/>
      <c r="D40" s="6"/>
      <c r="E40" s="6"/>
      <c r="F40" s="6"/>
      <c r="G40" s="6"/>
      <c r="H40" s="6"/>
      <c r="I40" s="1"/>
      <c r="J40" s="1"/>
      <c r="K40" s="1"/>
      <c r="L40" s="1"/>
    </row>
    <row r="41">
      <c r="A41" s="1"/>
      <c r="B41" s="14" t="s">
        <v>750</v>
      </c>
      <c r="C41" s="6"/>
      <c r="D41" s="6"/>
      <c r="E41" s="6"/>
      <c r="F41" s="6"/>
      <c r="G41" s="6"/>
      <c r="H41" s="6"/>
      <c r="I41" s="1"/>
      <c r="J41" s="1"/>
      <c r="K41" s="1"/>
      <c r="L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J425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9" width="12" customWidth="1"/>
    <col min="10" max="10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2" t="s">
        <v>0</v>
      </c>
      <c r="C2" s="6"/>
      <c r="D2" s="6"/>
      <c r="E2" s="6"/>
      <c r="F2" s="6"/>
      <c r="G2" s="6"/>
      <c r="H2" s="6"/>
      <c r="I2" s="1"/>
      <c r="J2" s="1"/>
    </row>
    <row r="3">
      <c r="A3" s="1"/>
      <c r="B3" s="2" t="s">
        <v>751</v>
      </c>
      <c r="C3" s="6"/>
      <c r="D3" s="6"/>
      <c r="E3" s="6"/>
      <c r="F3" s="6"/>
      <c r="G3" s="6"/>
      <c r="H3" s="6"/>
      <c r="I3" s="1"/>
      <c r="J3" s="1"/>
    </row>
    <row r="4">
      <c r="A4" s="1"/>
      <c r="B4" s="1" t="s">
        <v>2</v>
      </c>
      <c r="C4" s="6"/>
      <c r="D4" s="6"/>
      <c r="E4" s="6"/>
      <c r="F4" s="6"/>
      <c r="G4" s="6"/>
      <c r="H4" s="6"/>
      <c r="I4" s="1"/>
      <c r="J4" s="1"/>
    </row>
    <row r="5">
      <c r="A5" s="1"/>
      <c r="B5" s="29" t="s">
        <v>3</v>
      </c>
      <c r="C5" s="24"/>
      <c r="D5" s="24"/>
      <c r="E5" s="24"/>
      <c r="F5" s="24"/>
      <c r="G5" s="24"/>
      <c r="H5" s="24"/>
      <c r="I5" s="29"/>
      <c r="J5" s="42" t="s">
        <v>4</v>
      </c>
    </row>
    <row r="6">
      <c r="A6" s="1"/>
      <c r="B6" s="19"/>
      <c r="C6" s="12"/>
      <c r="D6" s="12"/>
      <c r="E6" s="12"/>
      <c r="F6" s="12"/>
      <c r="G6" s="12"/>
      <c r="H6" s="12"/>
      <c r="I6" s="19"/>
      <c r="J6" s="19"/>
    </row>
    <row r="7">
      <c r="A7" s="1"/>
      <c r="B7" s="27"/>
      <c r="C7" s="20"/>
      <c r="D7" s="20"/>
      <c r="E7" s="20"/>
      <c r="F7" s="20"/>
      <c r="G7" s="20"/>
      <c r="H7" s="20"/>
      <c r="I7" s="27"/>
      <c r="J7" s="27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>
      <c r="A9" s="1"/>
      <c r="B9" s="14" t="s">
        <v>752</v>
      </c>
      <c r="C9" s="6"/>
      <c r="D9" s="6"/>
      <c r="E9" s="6"/>
      <c r="F9" s="6"/>
      <c r="G9" s="6"/>
      <c r="H9" s="6"/>
      <c r="I9" s="1"/>
      <c r="J9" s="1"/>
    </row>
    <row r="10">
      <c r="A10" s="1"/>
      <c r="B10" s="2" t="s">
        <v>753</v>
      </c>
      <c r="C10" s="6"/>
      <c r="D10" s="6"/>
      <c r="E10" s="6"/>
      <c r="F10" s="6"/>
      <c r="G10" s="6"/>
      <c r="H10" s="6"/>
      <c r="I10" s="1"/>
      <c r="J10" s="1"/>
    </row>
    <row r="11">
      <c r="A11" s="1"/>
      <c r="B11" s="1" t="s">
        <v>754</v>
      </c>
      <c r="C11" s="13" t="s">
        <v>699</v>
      </c>
      <c r="D11" s="1"/>
      <c r="E11" s="1"/>
      <c r="F11" s="1"/>
      <c r="G11" s="1"/>
      <c r="H11" s="1"/>
      <c r="I11" s="1"/>
      <c r="J11" s="1"/>
    </row>
    <row r="12">
      <c r="A12" s="1"/>
      <c r="B12" s="1" t="s">
        <v>755</v>
      </c>
      <c r="C12" s="13" t="s">
        <v>756</v>
      </c>
      <c r="D12" s="1"/>
      <c r="E12" s="1"/>
      <c r="F12" s="1"/>
      <c r="G12" s="1"/>
      <c r="H12" s="1"/>
      <c r="I12" s="1"/>
      <c r="J12" s="1"/>
    </row>
    <row r="13">
      <c r="A13" s="1"/>
      <c r="B13" s="1" t="s">
        <v>757</v>
      </c>
      <c r="C13" s="13" t="s">
        <v>6</v>
      </c>
      <c r="D13" s="1"/>
      <c r="E13" s="1"/>
      <c r="F13" s="1"/>
      <c r="G13" s="1"/>
      <c r="H13" s="1"/>
      <c r="I13" s="1"/>
      <c r="J13" s="1"/>
    </row>
    <row r="14">
      <c r="A14" s="1"/>
      <c r="B14" s="1" t="s">
        <v>758</v>
      </c>
      <c r="C14" s="13" t="s">
        <v>759</v>
      </c>
      <c r="D14" s="1"/>
      <c r="E14" s="1"/>
      <c r="F14" s="1"/>
      <c r="G14" s="1"/>
      <c r="H14" s="1"/>
      <c r="I14" s="1"/>
      <c r="J14" s="1"/>
    </row>
    <row r="15">
      <c r="A15" s="1"/>
      <c r="B15" s="1" t="s">
        <v>760</v>
      </c>
      <c r="C15" s="89">
        <v>46295</v>
      </c>
      <c r="D15" s="1"/>
      <c r="E15" s="1"/>
      <c r="F15" s="1"/>
      <c r="G15" s="1"/>
      <c r="H15" s="1"/>
      <c r="I15" s="1"/>
      <c r="J15" s="1"/>
    </row>
    <row r="16">
      <c r="A16" s="1"/>
      <c r="B16" s="1" t="s">
        <v>761</v>
      </c>
      <c r="C16" s="89">
        <v>46313</v>
      </c>
      <c r="D16" s="1"/>
      <c r="E16" s="1"/>
      <c r="F16" s="1"/>
      <c r="G16" s="1"/>
      <c r="H16" s="1"/>
      <c r="I16" s="1"/>
      <c r="J16" s="1"/>
    </row>
    <row r="17">
      <c r="A17" s="1"/>
      <c r="B17" s="1" t="s">
        <v>762</v>
      </c>
      <c r="C17" s="91">
        <v>19</v>
      </c>
      <c r="D17" s="1"/>
      <c r="E17" s="1"/>
      <c r="F17" s="1"/>
      <c r="G17" s="1"/>
      <c r="H17" s="1"/>
      <c r="I17" s="1"/>
      <c r="J17" s="1"/>
    </row>
    <row r="18">
      <c r="A18" s="1"/>
      <c r="B18" s="1" t="s">
        <v>763</v>
      </c>
      <c r="C18" s="88">
        <v>1.28</v>
      </c>
      <c r="D18" s="1"/>
      <c r="E18" s="1"/>
      <c r="F18" s="1"/>
      <c r="G18" s="1"/>
      <c r="H18" s="1"/>
      <c r="I18" s="1"/>
      <c r="J18" s="1"/>
    </row>
    <row r="19">
      <c r="A19" s="1"/>
      <c r="B19" s="1" t="s">
        <v>764</v>
      </c>
      <c r="C19" s="13" t="s">
        <v>765</v>
      </c>
      <c r="D19" s="1"/>
      <c r="E19" s="1"/>
      <c r="F19" s="1"/>
      <c r="G19" s="1"/>
      <c r="H19" s="1"/>
      <c r="I19" s="1"/>
      <c r="J19" s="1"/>
    </row>
    <row r="20">
      <c r="A20" s="1"/>
      <c r="B20" s="1" t="s">
        <v>766</v>
      </c>
      <c r="C20" s="49">
        <v>3334.15</v>
      </c>
      <c r="D20" s="1"/>
      <c r="E20" s="1"/>
      <c r="F20" s="1"/>
      <c r="G20" s="1"/>
      <c r="H20" s="1"/>
      <c r="I20" s="1"/>
      <c r="J20" s="1"/>
    </row>
    <row r="21">
      <c r="A21" s="1"/>
      <c r="B21" s="1" t="s">
        <v>767</v>
      </c>
      <c r="C21" s="13" t="s">
        <v>768</v>
      </c>
      <c r="D21" s="1"/>
      <c r="E21" s="1"/>
      <c r="F21" s="1"/>
      <c r="G21" s="1"/>
      <c r="H21" s="1"/>
      <c r="I21" s="1"/>
      <c r="J21" s="1"/>
    </row>
    <row r="22">
      <c r="A22" s="1"/>
      <c r="B22" s="1" t="s">
        <v>769</v>
      </c>
      <c r="C22" s="13" t="s">
        <v>770</v>
      </c>
      <c r="D22" s="1"/>
      <c r="E22" s="1"/>
      <c r="F22" s="1"/>
      <c r="G22" s="1"/>
      <c r="H22" s="1"/>
      <c r="I22" s="1"/>
      <c r="J22" s="1"/>
    </row>
    <row r="23">
      <c r="A23" s="1"/>
      <c r="B23" s="1" t="s">
        <v>771</v>
      </c>
      <c r="C23" s="13" t="s">
        <v>772</v>
      </c>
      <c r="D23" s="1"/>
      <c r="E23" s="1"/>
      <c r="F23" s="1"/>
      <c r="G23" s="1"/>
      <c r="H23" s="1"/>
      <c r="I23" s="1"/>
      <c r="J23" s="1"/>
    </row>
    <row r="24">
      <c r="A24" s="1"/>
      <c r="B24" s="1" t="s">
        <v>773</v>
      </c>
      <c r="C24" s="13" t="s">
        <v>768</v>
      </c>
      <c r="D24" s="1"/>
      <c r="E24" s="1"/>
      <c r="F24" s="1"/>
      <c r="G24" s="1"/>
      <c r="H24" s="1"/>
      <c r="I24" s="1"/>
      <c r="J24" s="1"/>
    </row>
    <row r="25">
      <c r="A25" s="1"/>
      <c r="B25" s="1" t="s">
        <v>774</v>
      </c>
      <c r="C25" s="13" t="s">
        <v>768</v>
      </c>
      <c r="D25" s="1"/>
      <c r="E25" s="1"/>
      <c r="F25" s="1"/>
      <c r="G25" s="1"/>
      <c r="H25" s="1"/>
      <c r="I25" s="1"/>
      <c r="J25" s="1"/>
    </row>
    <row r="26">
      <c r="A26" s="1"/>
      <c r="B26" s="1" t="s">
        <v>775</v>
      </c>
      <c r="C26" s="13" t="s">
        <v>776</v>
      </c>
      <c r="D26" s="1"/>
      <c r="E26" s="1"/>
      <c r="F26" s="1"/>
      <c r="G26" s="1"/>
      <c r="H26" s="1"/>
      <c r="I26" s="1"/>
      <c r="J26" s="1"/>
    </row>
    <row r="27">
      <c r="A27" s="1"/>
      <c r="B27" s="1" t="s">
        <v>777</v>
      </c>
      <c r="C27" s="13" t="s">
        <v>768</v>
      </c>
      <c r="D27" s="1"/>
      <c r="E27" s="1"/>
      <c r="F27" s="1"/>
      <c r="G27" s="1"/>
      <c r="H27" s="1"/>
      <c r="I27" s="1"/>
      <c r="J27" s="1"/>
    </row>
    <row r="28">
      <c r="A28" s="1"/>
      <c r="B28" s="1" t="s">
        <v>778</v>
      </c>
      <c r="C28" s="13" t="s">
        <v>779</v>
      </c>
      <c r="D28" s="1"/>
      <c r="E28" s="1"/>
      <c r="F28" s="1"/>
      <c r="G28" s="1"/>
      <c r="H28" s="1"/>
      <c r="I28" s="1"/>
      <c r="J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</row>
    <row r="30">
      <c r="A30" s="1"/>
      <c r="B30" s="2" t="s">
        <v>780</v>
      </c>
      <c r="C30" s="6"/>
      <c r="D30" s="6"/>
      <c r="E30" s="6"/>
      <c r="F30" s="6"/>
      <c r="G30" s="6"/>
      <c r="H30" s="6"/>
      <c r="I30" s="1"/>
      <c r="J30" s="1"/>
    </row>
    <row r="31">
      <c r="A31" s="1"/>
      <c r="B31" s="1" t="s">
        <v>755</v>
      </c>
      <c r="C31" s="13" t="s">
        <v>756</v>
      </c>
      <c r="D31" s="1"/>
      <c r="E31" s="1"/>
      <c r="F31" s="1"/>
      <c r="G31" s="1"/>
      <c r="H31" s="1"/>
      <c r="I31" s="1"/>
      <c r="J31" s="1"/>
    </row>
    <row r="32">
      <c r="A32" s="1"/>
      <c r="B32" s="1" t="s">
        <v>781</v>
      </c>
      <c r="C32" s="13" t="s">
        <v>6</v>
      </c>
      <c r="D32" s="1"/>
      <c r="E32" s="1"/>
      <c r="F32" s="1"/>
      <c r="G32" s="1"/>
      <c r="H32" s="1"/>
      <c r="I32" s="1"/>
      <c r="J32" s="1"/>
    </row>
    <row r="33">
      <c r="A33" s="1"/>
      <c r="B33" s="1" t="s">
        <v>782</v>
      </c>
      <c r="C33" s="13" t="s">
        <v>783</v>
      </c>
      <c r="D33" s="1"/>
      <c r="E33" s="1"/>
      <c r="F33" s="1"/>
      <c r="G33" s="1"/>
      <c r="H33" s="1"/>
      <c r="I33" s="1"/>
      <c r="J33" s="1"/>
    </row>
    <row r="34">
      <c r="A34" s="1"/>
      <c r="B34" s="1" t="s">
        <v>784</v>
      </c>
      <c r="C34" s="13">
        <v>671980</v>
      </c>
      <c r="D34" s="1"/>
      <c r="E34" s="1"/>
      <c r="F34" s="1"/>
      <c r="G34" s="1"/>
      <c r="H34" s="1"/>
      <c r="I34" s="1"/>
      <c r="J34" s="1"/>
    </row>
    <row r="35">
      <c r="A35" s="1"/>
      <c r="B35" s="1" t="s">
        <v>785</v>
      </c>
      <c r="C35" s="13" t="s">
        <v>768</v>
      </c>
      <c r="D35" s="1"/>
      <c r="E35" s="1"/>
      <c r="F35" s="1"/>
      <c r="G35" s="1"/>
      <c r="H35" s="1"/>
      <c r="I35" s="1"/>
      <c r="J35" s="1"/>
    </row>
    <row r="36">
      <c r="A36" s="1"/>
      <c r="B36" s="1" t="s">
        <v>786</v>
      </c>
      <c r="C36" s="13" t="s">
        <v>787</v>
      </c>
      <c r="D36" s="1"/>
      <c r="E36" s="1"/>
      <c r="F36" s="1"/>
      <c r="G36" s="1"/>
      <c r="H36" s="1"/>
      <c r="I36" s="1"/>
      <c r="J36" s="1"/>
    </row>
    <row r="37">
      <c r="A37" s="1"/>
      <c r="B37" s="1" t="s">
        <v>788</v>
      </c>
      <c r="C37" s="13" t="s">
        <v>759</v>
      </c>
      <c r="D37" s="1"/>
      <c r="E37" s="1"/>
      <c r="F37" s="1"/>
      <c r="G37" s="1"/>
      <c r="H37" s="1"/>
      <c r="I37" s="1"/>
      <c r="J37" s="1"/>
    </row>
    <row r="38">
      <c r="A38" s="1"/>
      <c r="B38" s="1" t="s">
        <v>789</v>
      </c>
      <c r="C38" s="89">
        <v>46295</v>
      </c>
      <c r="D38" s="1"/>
      <c r="E38" s="1"/>
      <c r="F38" s="1"/>
      <c r="G38" s="1"/>
      <c r="H38" s="1"/>
      <c r="I38" s="1"/>
      <c r="J38" s="1"/>
    </row>
    <row r="39">
      <c r="A39" s="1"/>
      <c r="B39" s="1" t="s">
        <v>790</v>
      </c>
      <c r="C39" s="89">
        <v>46317</v>
      </c>
      <c r="D39" s="1"/>
      <c r="E39" s="1"/>
      <c r="F39" s="1"/>
      <c r="G39" s="1"/>
      <c r="H39" s="1"/>
      <c r="I39" s="1"/>
      <c r="J39" s="1"/>
    </row>
    <row r="40">
      <c r="A40" s="1"/>
      <c r="B40" s="1" t="s">
        <v>764</v>
      </c>
      <c r="C40" s="13" t="s">
        <v>791</v>
      </c>
      <c r="D40" s="1"/>
      <c r="E40" s="1"/>
      <c r="F40" s="1"/>
      <c r="G40" s="1"/>
      <c r="H40" s="1"/>
      <c r="I40" s="1"/>
      <c r="J40" s="1"/>
    </row>
    <row r="41">
      <c r="A41" s="1"/>
      <c r="B41" s="1" t="s">
        <v>792</v>
      </c>
      <c r="C41" s="91">
        <v>19</v>
      </c>
      <c r="D41" s="1"/>
      <c r="E41" s="1"/>
      <c r="F41" s="1"/>
      <c r="G41" s="1"/>
      <c r="H41" s="1"/>
      <c r="I41" s="1"/>
      <c r="J41" s="1"/>
    </row>
    <row r="42">
      <c r="A42" s="1"/>
      <c r="B42" s="1" t="s">
        <v>793</v>
      </c>
      <c r="C42" s="91">
        <v>19</v>
      </c>
      <c r="D42" s="1"/>
      <c r="E42" s="1"/>
      <c r="F42" s="1"/>
      <c r="G42" s="1"/>
      <c r="H42" s="1"/>
      <c r="I42" s="1"/>
      <c r="J42" s="1"/>
    </row>
    <row r="43">
      <c r="A43" s="1"/>
      <c r="B43" s="1" t="s">
        <v>794</v>
      </c>
      <c r="C43" s="13"/>
      <c r="D43" s="1" t="s">
        <v>795</v>
      </c>
      <c r="E43" s="1"/>
      <c r="F43" s="1"/>
      <c r="G43" s="1"/>
      <c r="H43" s="1"/>
      <c r="I43" s="1"/>
      <c r="J43" s="1"/>
    </row>
    <row r="44">
      <c r="A44" s="1"/>
      <c r="B44" s="1" t="s">
        <v>796</v>
      </c>
      <c r="C44" s="88">
        <v>1.28</v>
      </c>
      <c r="D44" s="1"/>
      <c r="E44" s="1"/>
      <c r="F44" s="1"/>
      <c r="G44" s="1"/>
      <c r="H44" s="1"/>
      <c r="I44" s="1"/>
      <c r="J44" s="1"/>
    </row>
    <row r="45">
      <c r="A45" s="1"/>
      <c r="B45" s="1" t="s">
        <v>797</v>
      </c>
      <c r="C45" s="88">
        <v>1.27</v>
      </c>
      <c r="D45" s="1"/>
      <c r="E45" s="1"/>
      <c r="F45" s="1"/>
      <c r="G45" s="1"/>
      <c r="H45" s="1"/>
      <c r="I45" s="1"/>
      <c r="J45" s="1"/>
    </row>
    <row r="46">
      <c r="A46" s="1"/>
      <c r="B46" s="1" t="s">
        <v>798</v>
      </c>
      <c r="C46" s="88">
        <v>1.43</v>
      </c>
      <c r="D46" s="1"/>
      <c r="E46" s="1"/>
      <c r="F46" s="1"/>
      <c r="G46" s="1"/>
      <c r="H46" s="1"/>
      <c r="I46" s="1"/>
      <c r="J46" s="1"/>
    </row>
    <row r="47">
      <c r="A47" s="1"/>
      <c r="B47" s="1" t="s">
        <v>799</v>
      </c>
      <c r="C47" s="88">
        <v>1.14</v>
      </c>
      <c r="D47" s="1"/>
      <c r="E47" s="1"/>
      <c r="F47" s="1"/>
      <c r="G47" s="1"/>
      <c r="H47" s="1"/>
      <c r="I47" s="1"/>
      <c r="J47" s="1"/>
    </row>
    <row r="48">
      <c r="A48" s="1"/>
      <c r="B48" s="1" t="s">
        <v>800</v>
      </c>
      <c r="C48" s="88">
        <v>0.06</v>
      </c>
      <c r="D48" s="1"/>
      <c r="E48" s="1"/>
      <c r="F48" s="1"/>
      <c r="G48" s="1"/>
      <c r="H48" s="1"/>
      <c r="I48" s="1"/>
      <c r="J48" s="1"/>
    </row>
    <row r="49">
      <c r="A49" s="1"/>
      <c r="B49" s="1" t="s">
        <v>801</v>
      </c>
      <c r="C49" s="91">
        <v>19</v>
      </c>
      <c r="D49" s="1"/>
      <c r="E49" s="1"/>
      <c r="F49" s="1"/>
      <c r="G49" s="1"/>
      <c r="H49" s="1"/>
      <c r="I49" s="1"/>
      <c r="J49" s="1"/>
    </row>
    <row r="50">
      <c r="A50" s="1"/>
      <c r="B50" s="1" t="s">
        <v>802</v>
      </c>
      <c r="C50" s="13"/>
      <c r="D50" s="1" t="s">
        <v>795</v>
      </c>
      <c r="E50" s="1"/>
      <c r="F50" s="1"/>
      <c r="G50" s="1"/>
      <c r="H50" s="1"/>
      <c r="I50" s="1"/>
      <c r="J50" s="1"/>
    </row>
    <row r="51">
      <c r="A51" s="1"/>
      <c r="B51" s="1" t="s">
        <v>803</v>
      </c>
      <c r="C51" s="13"/>
      <c r="D51" s="1" t="s">
        <v>795</v>
      </c>
      <c r="E51" s="1"/>
      <c r="F51" s="1"/>
      <c r="G51" s="1"/>
      <c r="H51" s="1"/>
      <c r="I51" s="1"/>
      <c r="J51" s="1"/>
    </row>
    <row r="52">
      <c r="A52" s="1"/>
      <c r="B52" s="1" t="s">
        <v>804</v>
      </c>
      <c r="C52" s="13"/>
      <c r="D52" s="1" t="s">
        <v>795</v>
      </c>
      <c r="E52" s="1"/>
      <c r="F52" s="1"/>
      <c r="G52" s="1"/>
      <c r="H52" s="1"/>
      <c r="I52" s="1"/>
      <c r="J52" s="1"/>
    </row>
    <row r="53">
      <c r="A53" s="1"/>
      <c r="B53" s="1" t="s">
        <v>805</v>
      </c>
      <c r="C53" s="88">
        <v>1.29</v>
      </c>
      <c r="D53" s="1"/>
      <c r="E53" s="1"/>
      <c r="F53" s="1"/>
      <c r="G53" s="1"/>
      <c r="H53" s="1"/>
      <c r="I53" s="1"/>
      <c r="J53" s="1"/>
    </row>
    <row r="54">
      <c r="A54" s="1"/>
      <c r="B54" s="1" t="s">
        <v>806</v>
      </c>
      <c r="C54" s="88">
        <v>1.27</v>
      </c>
      <c r="D54" s="1"/>
      <c r="E54" s="1"/>
      <c r="F54" s="1"/>
      <c r="G54" s="1"/>
      <c r="H54" s="1"/>
      <c r="I54" s="1"/>
      <c r="J54" s="1"/>
    </row>
    <row r="55">
      <c r="A55" s="1"/>
      <c r="B55" s="1" t="s">
        <v>807</v>
      </c>
      <c r="C55" s="88">
        <v>1.43</v>
      </c>
      <c r="D55" s="1"/>
      <c r="E55" s="1"/>
      <c r="F55" s="1"/>
      <c r="G55" s="1"/>
      <c r="H55" s="1"/>
      <c r="I55" s="1"/>
      <c r="J55" s="1"/>
    </row>
    <row r="56">
      <c r="A56" s="1"/>
      <c r="B56" s="1" t="s">
        <v>808</v>
      </c>
      <c r="C56" s="88">
        <v>1.17</v>
      </c>
      <c r="D56" s="1"/>
      <c r="E56" s="1"/>
      <c r="F56" s="1"/>
      <c r="G56" s="1"/>
      <c r="H56" s="1"/>
      <c r="I56" s="1"/>
      <c r="J56" s="1"/>
    </row>
    <row r="57">
      <c r="A57" s="1"/>
      <c r="B57" s="1" t="s">
        <v>809</v>
      </c>
      <c r="C57" s="88">
        <v>0.06</v>
      </c>
      <c r="D57" s="1"/>
      <c r="E57" s="1"/>
      <c r="F57" s="1"/>
      <c r="G57" s="1"/>
      <c r="H57" s="1"/>
      <c r="I57" s="1"/>
      <c r="J57" s="1"/>
    </row>
    <row r="58">
      <c r="A58" s="1"/>
      <c r="B58" s="1" t="s">
        <v>810</v>
      </c>
      <c r="C58" s="91">
        <v>13</v>
      </c>
      <c r="D58" s="1"/>
      <c r="E58" s="1"/>
      <c r="F58" s="1"/>
      <c r="G58" s="1"/>
      <c r="H58" s="1"/>
      <c r="I58" s="1"/>
      <c r="J58" s="1"/>
    </row>
    <row r="59">
      <c r="A59" s="1"/>
      <c r="B59" s="1" t="s">
        <v>811</v>
      </c>
      <c r="C59" s="13"/>
      <c r="D59" s="1" t="s">
        <v>795</v>
      </c>
      <c r="E59" s="1"/>
      <c r="F59" s="1"/>
      <c r="G59" s="1"/>
      <c r="H59" s="1"/>
      <c r="I59" s="1"/>
      <c r="J59" s="1"/>
    </row>
    <row r="60">
      <c r="A60" s="1"/>
      <c r="B60" s="1" t="s">
        <v>812</v>
      </c>
      <c r="C60" s="13"/>
      <c r="D60" s="1" t="s">
        <v>795</v>
      </c>
      <c r="E60" s="1"/>
      <c r="F60" s="1"/>
      <c r="G60" s="1"/>
      <c r="H60" s="1"/>
      <c r="I60" s="1"/>
      <c r="J60" s="1"/>
    </row>
    <row r="61">
      <c r="A61" s="1"/>
      <c r="B61" s="1" t="s">
        <v>813</v>
      </c>
      <c r="C61" s="13"/>
      <c r="D61" s="1" t="s">
        <v>795</v>
      </c>
      <c r="E61" s="1"/>
      <c r="F61" s="1"/>
      <c r="G61" s="1"/>
      <c r="H61" s="1"/>
      <c r="I61" s="1"/>
      <c r="J61" s="1"/>
    </row>
    <row r="62">
      <c r="A62" s="1"/>
      <c r="B62" s="1" t="s">
        <v>814</v>
      </c>
      <c r="C62" s="49">
        <v>3334.15</v>
      </c>
      <c r="D62" s="1"/>
      <c r="E62" s="1"/>
      <c r="F62" s="1"/>
      <c r="G62" s="1"/>
      <c r="H62" s="1"/>
      <c r="I62" s="1"/>
      <c r="J62" s="1"/>
    </row>
    <row r="63">
      <c r="A63" s="1"/>
      <c r="B63" s="1" t="s">
        <v>815</v>
      </c>
      <c r="C63" s="49">
        <v>3309.3</v>
      </c>
      <c r="D63" s="1"/>
      <c r="E63" s="1"/>
      <c r="F63" s="1"/>
      <c r="G63" s="1"/>
      <c r="H63" s="1"/>
      <c r="I63" s="1"/>
      <c r="J63" s="1"/>
    </row>
    <row r="64">
      <c r="A64" s="1"/>
      <c r="B64" s="1" t="s">
        <v>816</v>
      </c>
      <c r="C64" s="49">
        <v>3622</v>
      </c>
      <c r="D64" s="1"/>
      <c r="E64" s="1"/>
      <c r="F64" s="1"/>
      <c r="G64" s="1"/>
      <c r="H64" s="1"/>
      <c r="I64" s="1"/>
      <c r="J64" s="1"/>
    </row>
    <row r="65">
      <c r="A65" s="1"/>
      <c r="B65" s="1" t="s">
        <v>817</v>
      </c>
      <c r="C65" s="49">
        <v>3096</v>
      </c>
      <c r="D65" s="1"/>
      <c r="E65" s="1"/>
      <c r="F65" s="1"/>
      <c r="G65" s="1"/>
      <c r="H65" s="1"/>
      <c r="I65" s="1"/>
      <c r="J65" s="1"/>
    </row>
    <row r="66">
      <c r="A66" s="1"/>
      <c r="B66" s="1" t="s">
        <v>818</v>
      </c>
      <c r="C66" s="49">
        <v>188.6</v>
      </c>
      <c r="D66" s="1"/>
      <c r="E66" s="1"/>
      <c r="F66" s="1"/>
      <c r="G66" s="1"/>
      <c r="H66" s="1"/>
      <c r="I66" s="1"/>
      <c r="J66" s="1"/>
    </row>
    <row r="67">
      <c r="A67" s="1"/>
      <c r="B67" s="1" t="s">
        <v>819</v>
      </c>
      <c r="C67" s="91">
        <v>4</v>
      </c>
      <c r="D67" s="1"/>
      <c r="E67" s="1"/>
      <c r="F67" s="1"/>
      <c r="G67" s="1"/>
      <c r="H67" s="1"/>
      <c r="I67" s="1"/>
      <c r="J67" s="1"/>
    </row>
    <row r="68">
      <c r="A68" s="1"/>
      <c r="B68" s="1" t="s">
        <v>820</v>
      </c>
      <c r="C68" s="13"/>
      <c r="D68" s="1" t="s">
        <v>795</v>
      </c>
      <c r="E68" s="1"/>
      <c r="F68" s="1"/>
      <c r="G68" s="1"/>
      <c r="H68" s="1"/>
      <c r="I68" s="1"/>
      <c r="J68" s="1"/>
    </row>
    <row r="69">
      <c r="A69" s="1"/>
      <c r="B69" s="1" t="s">
        <v>821</v>
      </c>
      <c r="C69" s="13"/>
      <c r="D69" s="1" t="s">
        <v>795</v>
      </c>
      <c r="E69" s="1"/>
      <c r="F69" s="1"/>
      <c r="G69" s="1"/>
      <c r="H69" s="1"/>
      <c r="I69" s="1"/>
      <c r="J69" s="1"/>
    </row>
    <row r="70">
      <c r="A70" s="1"/>
      <c r="B70" s="1" t="s">
        <v>822</v>
      </c>
      <c r="C70" s="13"/>
      <c r="D70" s="1" t="s">
        <v>795</v>
      </c>
      <c r="E70" s="1"/>
      <c r="F70" s="1"/>
      <c r="G70" s="1"/>
      <c r="H70" s="1"/>
      <c r="I70" s="1"/>
      <c r="J70" s="1"/>
    </row>
    <row r="71">
      <c r="A71" s="1"/>
      <c r="B71" s="1" t="s">
        <v>823</v>
      </c>
      <c r="C71" s="49">
        <v>2012</v>
      </c>
      <c r="D71" s="1"/>
      <c r="E71" s="1"/>
      <c r="F71" s="1"/>
      <c r="G71" s="1"/>
      <c r="H71" s="1"/>
      <c r="I71" s="1"/>
      <c r="J71" s="1"/>
    </row>
    <row r="72">
      <c r="A72" s="1"/>
      <c r="B72" s="1" t="s">
        <v>824</v>
      </c>
      <c r="C72" s="49">
        <v>1849</v>
      </c>
      <c r="D72" s="1"/>
      <c r="E72" s="1"/>
      <c r="F72" s="1"/>
      <c r="G72" s="1"/>
      <c r="H72" s="1"/>
      <c r="I72" s="1"/>
      <c r="J72" s="1"/>
    </row>
    <row r="73">
      <c r="A73" s="1"/>
      <c r="B73" s="1" t="s">
        <v>825</v>
      </c>
      <c r="C73" s="49">
        <v>2049</v>
      </c>
      <c r="D73" s="1"/>
      <c r="E73" s="1"/>
      <c r="F73" s="1"/>
      <c r="G73" s="1"/>
      <c r="H73" s="1"/>
      <c r="I73" s="1"/>
      <c r="J73" s="1"/>
    </row>
    <row r="74">
      <c r="A74" s="1"/>
      <c r="B74" s="1" t="s">
        <v>826</v>
      </c>
      <c r="C74" s="49">
        <v>2049</v>
      </c>
      <c r="D74" s="1"/>
      <c r="E74" s="1"/>
      <c r="F74" s="1"/>
      <c r="G74" s="1"/>
      <c r="H74" s="1"/>
      <c r="I74" s="1"/>
      <c r="J74" s="1"/>
    </row>
    <row r="75">
      <c r="A75" s="1"/>
      <c r="B75" s="1" t="s">
        <v>827</v>
      </c>
      <c r="C75" s="49">
        <v>1698.38</v>
      </c>
      <c r="D75" s="1"/>
      <c r="E75" s="1"/>
      <c r="F75" s="1"/>
      <c r="G75" s="1"/>
      <c r="H75" s="1"/>
      <c r="I75" s="1"/>
      <c r="J75" s="1"/>
    </row>
    <row r="76">
      <c r="A76" s="1"/>
      <c r="B76" s="1" t="s">
        <v>828</v>
      </c>
      <c r="C76" s="49">
        <v>1725.4</v>
      </c>
      <c r="D76" s="1"/>
      <c r="E76" s="1"/>
      <c r="F76" s="1"/>
      <c r="G76" s="1"/>
      <c r="H76" s="1"/>
      <c r="I76" s="1"/>
      <c r="J76" s="1"/>
    </row>
    <row r="77">
      <c r="A77" s="1"/>
      <c r="B77" s="1" t="s">
        <v>829</v>
      </c>
      <c r="C77" s="13"/>
      <c r="D77" s="1" t="s">
        <v>795</v>
      </c>
      <c r="E77" s="1"/>
      <c r="F77" s="1"/>
      <c r="G77" s="1"/>
      <c r="H77" s="1"/>
      <c r="I77" s="1"/>
      <c r="J77" s="1"/>
    </row>
    <row r="78">
      <c r="A78" s="1"/>
      <c r="B78" s="1" t="s">
        <v>830</v>
      </c>
      <c r="C78" s="13"/>
      <c r="D78" s="1" t="s">
        <v>795</v>
      </c>
      <c r="E78" s="1"/>
      <c r="F78" s="1"/>
      <c r="G78" s="1"/>
      <c r="H78" s="1"/>
      <c r="I78" s="1"/>
      <c r="J78" s="1"/>
    </row>
    <row r="79">
      <c r="A79" s="1"/>
      <c r="B79" s="1" t="s">
        <v>831</v>
      </c>
      <c r="C79" s="49">
        <v>26</v>
      </c>
      <c r="D79" s="1"/>
      <c r="E79" s="1"/>
      <c r="F79" s="1"/>
      <c r="G79" s="1"/>
      <c r="H79" s="1"/>
      <c r="I79" s="1"/>
      <c r="J79" s="1"/>
    </row>
    <row r="80">
      <c r="A80" s="1"/>
      <c r="B80" s="1" t="s">
        <v>832</v>
      </c>
      <c r="C80" s="13"/>
      <c r="D80" s="1" t="s">
        <v>795</v>
      </c>
      <c r="E80" s="1"/>
      <c r="F80" s="1"/>
      <c r="G80" s="1"/>
      <c r="H80" s="1"/>
      <c r="I80" s="1"/>
      <c r="J80" s="1"/>
    </row>
    <row r="81">
      <c r="A81" s="1"/>
      <c r="B81" s="1" t="s">
        <v>833</v>
      </c>
      <c r="C81" s="13"/>
      <c r="D81" s="1" t="s">
        <v>795</v>
      </c>
      <c r="E81" s="1"/>
      <c r="F81" s="1"/>
      <c r="G81" s="1"/>
      <c r="H81" s="1"/>
      <c r="I81" s="1"/>
      <c r="J81" s="1"/>
    </row>
    <row r="82">
      <c r="A82" s="1"/>
      <c r="B82" s="1" t="s">
        <v>834</v>
      </c>
      <c r="C82" s="13"/>
      <c r="D82" s="1" t="s">
        <v>795</v>
      </c>
      <c r="E82" s="1"/>
      <c r="F82" s="1"/>
      <c r="G82" s="1"/>
      <c r="H82" s="1"/>
      <c r="I82" s="1"/>
      <c r="J82" s="1"/>
    </row>
    <row r="83">
      <c r="A83" s="1"/>
      <c r="B83" s="1" t="s">
        <v>835</v>
      </c>
      <c r="C83" s="49">
        <v>-14.53</v>
      </c>
      <c r="D83" s="1"/>
      <c r="E83" s="1"/>
      <c r="F83" s="1"/>
      <c r="G83" s="1"/>
      <c r="H83" s="1"/>
      <c r="I83" s="1"/>
      <c r="J83" s="1"/>
    </row>
    <row r="84">
      <c r="A84" s="1"/>
      <c r="B84" s="1" t="s">
        <v>836</v>
      </c>
      <c r="C84" s="13"/>
      <c r="D84" s="1" t="s">
        <v>795</v>
      </c>
      <c r="E84" s="1"/>
      <c r="F84" s="1"/>
      <c r="G84" s="1"/>
      <c r="H84" s="1"/>
      <c r="I84" s="1"/>
      <c r="J84" s="1"/>
    </row>
    <row r="85">
      <c r="A85" s="1"/>
      <c r="B85" s="1" t="s">
        <v>837</v>
      </c>
      <c r="C85" s="13"/>
      <c r="D85" s="1" t="s">
        <v>795</v>
      </c>
      <c r="E85" s="1"/>
      <c r="F85" s="1"/>
      <c r="G85" s="1"/>
      <c r="H85" s="1"/>
      <c r="I85" s="1"/>
      <c r="J85" s="1"/>
    </row>
    <row r="86">
      <c r="A86" s="1"/>
      <c r="B86" s="1" t="s">
        <v>838</v>
      </c>
      <c r="C86" s="13"/>
      <c r="D86" s="1" t="s">
        <v>795</v>
      </c>
      <c r="E86" s="1"/>
      <c r="F86" s="1"/>
      <c r="G86" s="1"/>
      <c r="H86" s="1"/>
      <c r="I86" s="1"/>
      <c r="J86" s="1"/>
    </row>
    <row r="87">
      <c r="A87" s="1"/>
      <c r="B87" s="1" t="s">
        <v>839</v>
      </c>
      <c r="C87" s="88">
        <v>139.91</v>
      </c>
      <c r="D87" s="1"/>
      <c r="E87" s="1"/>
      <c r="F87" s="1"/>
      <c r="G87" s="1"/>
      <c r="H87" s="1"/>
      <c r="I87" s="1"/>
      <c r="J87" s="1"/>
    </row>
    <row r="88">
      <c r="A88" s="1"/>
      <c r="B88" s="1" t="s">
        <v>840</v>
      </c>
      <c r="C88" s="88">
        <v>136.5</v>
      </c>
      <c r="D88" s="1"/>
      <c r="E88" s="1"/>
      <c r="F88" s="1"/>
      <c r="G88" s="1"/>
      <c r="H88" s="1"/>
      <c r="I88" s="1"/>
      <c r="J88" s="1"/>
    </row>
    <row r="89">
      <c r="A89" s="1"/>
      <c r="B89" s="1" t="s">
        <v>841</v>
      </c>
      <c r="C89" s="88">
        <v>171</v>
      </c>
      <c r="D89" s="1"/>
      <c r="E89" s="1"/>
      <c r="F89" s="1"/>
      <c r="G89" s="1"/>
      <c r="H89" s="1"/>
      <c r="I89" s="1"/>
      <c r="J89" s="1"/>
    </row>
    <row r="90">
      <c r="A90" s="1"/>
      <c r="B90" s="1" t="s">
        <v>842</v>
      </c>
      <c r="C90" s="88">
        <v>116</v>
      </c>
      <c r="D90" s="1"/>
      <c r="E90" s="1"/>
      <c r="F90" s="1"/>
      <c r="G90" s="1"/>
      <c r="H90" s="1"/>
      <c r="I90" s="1"/>
      <c r="J90" s="1"/>
    </row>
    <row r="91">
      <c r="A91" s="1"/>
      <c r="B91" s="1" t="s">
        <v>843</v>
      </c>
      <c r="C91" s="88">
        <v>16.97</v>
      </c>
      <c r="D91" s="1"/>
      <c r="E91" s="1"/>
      <c r="F91" s="1"/>
      <c r="G91" s="1"/>
      <c r="H91" s="1"/>
      <c r="I91" s="1"/>
      <c r="J91" s="1"/>
    </row>
    <row r="92">
      <c r="A92" s="1"/>
      <c r="B92" s="1" t="s">
        <v>844</v>
      </c>
      <c r="C92" s="91">
        <v>22</v>
      </c>
      <c r="D92" s="1"/>
      <c r="E92" s="1"/>
      <c r="F92" s="1"/>
      <c r="G92" s="1"/>
      <c r="H92" s="1"/>
      <c r="I92" s="1"/>
      <c r="J92" s="1"/>
    </row>
    <row r="93">
      <c r="A93" s="1"/>
      <c r="B93" s="1" t="s">
        <v>845</v>
      </c>
      <c r="C93" s="13" t="s">
        <v>846</v>
      </c>
      <c r="D93" s="1"/>
      <c r="E93" s="1"/>
      <c r="F93" s="1"/>
      <c r="G93" s="1"/>
      <c r="H93" s="1"/>
      <c r="I93" s="1"/>
      <c r="J93" s="1"/>
    </row>
    <row r="94">
      <c r="A94" s="1"/>
      <c r="B94" s="1" t="s">
        <v>847</v>
      </c>
      <c r="C94" s="88">
        <v>2.08</v>
      </c>
      <c r="D94" s="1"/>
      <c r="E94" s="1"/>
      <c r="F94" s="1"/>
      <c r="G94" s="1"/>
      <c r="H94" s="1"/>
      <c r="I94" s="1"/>
      <c r="J94" s="1"/>
    </row>
    <row r="95">
      <c r="A95" s="1"/>
      <c r="B95" s="1" t="s">
        <v>848</v>
      </c>
      <c r="C95" s="88">
        <v>106.61</v>
      </c>
      <c r="D95" s="1"/>
      <c r="E95" s="1"/>
      <c r="F95" s="1"/>
      <c r="G95" s="1"/>
      <c r="H95" s="1"/>
      <c r="I95" s="1"/>
      <c r="J95" s="1"/>
    </row>
    <row r="96">
      <c r="A96" s="1"/>
      <c r="B96" s="1" t="s">
        <v>849</v>
      </c>
      <c r="C96" s="13" t="s">
        <v>850</v>
      </c>
      <c r="D96" s="1"/>
      <c r="E96" s="1"/>
      <c r="F96" s="1"/>
      <c r="G96" s="1"/>
      <c r="H96" s="1"/>
      <c r="I96" s="1"/>
      <c r="J96" s="1"/>
    </row>
    <row r="97">
      <c r="A97" s="1"/>
      <c r="B97" s="1" t="s">
        <v>851</v>
      </c>
      <c r="C97" s="89">
        <v>46313</v>
      </c>
      <c r="D97" s="1"/>
      <c r="E97" s="1"/>
      <c r="F97" s="1"/>
      <c r="G97" s="1"/>
      <c r="H97" s="1"/>
      <c r="I97" s="1"/>
      <c r="J97" s="1"/>
    </row>
    <row r="98">
      <c r="A98" s="1"/>
      <c r="B98" s="1" t="s">
        <v>852</v>
      </c>
      <c r="C98" s="13" t="s">
        <v>853</v>
      </c>
      <c r="D98" s="1"/>
      <c r="E98" s="1"/>
      <c r="F98" s="1"/>
      <c r="G98" s="1"/>
      <c r="H98" s="1"/>
      <c r="I98" s="1"/>
      <c r="J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>
      <c r="A100" s="1"/>
      <c r="B100" s="2" t="s">
        <v>854</v>
      </c>
      <c r="C100" s="6"/>
      <c r="D100" s="6"/>
      <c r="E100" s="6"/>
      <c r="F100" s="6"/>
      <c r="G100" s="6"/>
      <c r="H100" s="6"/>
      <c r="I100" s="1"/>
      <c r="J100" s="1"/>
    </row>
    <row r="101">
      <c r="A101" s="1"/>
      <c r="B101" s="28" t="s">
        <v>855</v>
      </c>
      <c r="C101" s="21" t="s">
        <v>856</v>
      </c>
      <c r="D101" s="21" t="s">
        <v>857</v>
      </c>
      <c r="E101" s="21" t="s">
        <v>858</v>
      </c>
      <c r="F101" s="21" t="s">
        <v>859</v>
      </c>
      <c r="G101" s="21" t="s">
        <v>860</v>
      </c>
      <c r="H101" s="21" t="s">
        <v>861</v>
      </c>
      <c r="I101" s="45" t="s">
        <v>862</v>
      </c>
      <c r="J101" s="45"/>
    </row>
    <row r="102">
      <c r="A102" s="1"/>
      <c r="B102" s="1" t="s">
        <v>863</v>
      </c>
      <c r="C102" s="46">
        <v>45764</v>
      </c>
      <c r="D102" s="88">
        <v>1.06</v>
      </c>
      <c r="E102" s="88">
        <v>1.09</v>
      </c>
      <c r="F102" s="88">
        <v>1.05</v>
      </c>
      <c r="G102" s="88">
        <v>1.09</v>
      </c>
      <c r="H102" s="49">
        <v>2684.66</v>
      </c>
      <c r="I102" s="49">
        <v>2763.85</v>
      </c>
      <c r="J102" s="1"/>
    </row>
    <row r="103">
      <c r="A103" s="1"/>
      <c r="B103" s="1" t="s">
        <v>864</v>
      </c>
      <c r="C103" s="46">
        <v>45862</v>
      </c>
      <c r="D103" s="88">
        <v>1.1</v>
      </c>
      <c r="E103" s="88">
        <v>1.21</v>
      </c>
      <c r="F103" s="88">
        <v>1.09</v>
      </c>
      <c r="G103" s="88">
        <v>1.21</v>
      </c>
      <c r="H103" s="49">
        <v>2809.34</v>
      </c>
      <c r="I103" s="49">
        <v>3074.6</v>
      </c>
      <c r="J103" s="1"/>
    </row>
    <row r="104">
      <c r="A104" s="1"/>
      <c r="B104" s="1" t="s">
        <v>865</v>
      </c>
      <c r="C104" s="46">
        <v>45953</v>
      </c>
      <c r="D104" s="88">
        <v>1.23</v>
      </c>
      <c r="E104" s="88">
        <v>1.52</v>
      </c>
      <c r="F104" s="88">
        <v>1.23</v>
      </c>
      <c r="G104" s="88">
        <v>1.52</v>
      </c>
      <c r="H104" s="49">
        <v>3110.66</v>
      </c>
      <c r="I104" s="49">
        <v>3302.33</v>
      </c>
      <c r="J104" s="1"/>
    </row>
    <row r="105">
      <c r="A105" s="1"/>
      <c r="B105" s="1" t="s">
        <v>866</v>
      </c>
      <c r="C105" s="46">
        <v>46051</v>
      </c>
      <c r="D105" s="88">
        <v>1.54</v>
      </c>
      <c r="E105" s="88">
        <v>1.75</v>
      </c>
      <c r="F105" s="88">
        <v>1.54</v>
      </c>
      <c r="G105" s="88">
        <v>1.75</v>
      </c>
      <c r="H105" s="49">
        <v>3694.75</v>
      </c>
      <c r="I105" s="49">
        <v>3935.97</v>
      </c>
      <c r="J105" s="1"/>
    </row>
    <row r="106">
      <c r="A106" s="1"/>
      <c r="B106" s="1" t="s">
        <v>867</v>
      </c>
      <c r="C106" s="46">
        <v>46135</v>
      </c>
      <c r="D106" s="88">
        <v>1.34</v>
      </c>
      <c r="E106" s="88">
        <v>1.36</v>
      </c>
      <c r="F106" s="88">
        <v>1.32</v>
      </c>
      <c r="G106" s="88">
        <v>1.36</v>
      </c>
      <c r="H106" s="49">
        <v>3396.03</v>
      </c>
      <c r="I106" s="49">
        <v>3433.37</v>
      </c>
      <c r="J106" s="1"/>
    </row>
    <row r="107">
      <c r="A107" s="1"/>
      <c r="B107" s="1" t="s">
        <v>868</v>
      </c>
      <c r="C107" s="46">
        <v>46226</v>
      </c>
      <c r="D107" s="88">
        <v>1.34</v>
      </c>
      <c r="E107" s="88">
        <v>1.52</v>
      </c>
      <c r="F107" s="88">
        <v>1.33</v>
      </c>
      <c r="G107" s="88">
        <v>1.52</v>
      </c>
      <c r="H107" s="49">
        <v>3348.65</v>
      </c>
      <c r="I107" s="49">
        <v>3802.07</v>
      </c>
      <c r="J107" s="1"/>
    </row>
    <row r="108">
      <c r="A108" s="1"/>
      <c r="B108" s="1" t="s">
        <v>869</v>
      </c>
      <c r="C108" s="90"/>
      <c r="D108" s="90"/>
      <c r="E108" s="90">
        <f>SUMPRODUCT(--(E102:E107&gt;D102:D107))</f>
        <v>6</v>
      </c>
      <c r="F108" s="90"/>
      <c r="G108" s="90"/>
      <c r="H108" s="90"/>
      <c r="I108" s="1"/>
      <c r="J108" s="1"/>
    </row>
    <row r="109">
      <c r="A109" s="1"/>
      <c r="B109" s="1" t="s">
        <v>870</v>
      </c>
      <c r="C109" s="90"/>
      <c r="D109" s="90"/>
      <c r="E109" s="90">
        <f>COUNT(E102:E107)</f>
        <v>6</v>
      </c>
      <c r="F109" s="90"/>
      <c r="G109" s="90"/>
      <c r="H109" s="90"/>
      <c r="I109" s="1"/>
      <c r="J109" s="1"/>
    </row>
    <row r="110">
      <c r="A110" s="1"/>
      <c r="B110" s="1" t="s">
        <v>871</v>
      </c>
      <c r="C110" s="9"/>
      <c r="D110" s="9"/>
      <c r="E110" s="9">
        <f>AVERAGE(E102:E107)-AVERAGE(D102:D107)</f>
        <v>0.1399999999999999</v>
      </c>
      <c r="F110" s="9"/>
      <c r="G110" s="9"/>
      <c r="H110" s="9"/>
      <c r="I110" s="1"/>
      <c r="J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>
      <c r="A112" s="1"/>
      <c r="B112" s="2" t="s">
        <v>872</v>
      </c>
      <c r="C112" s="6"/>
      <c r="D112" s="6"/>
      <c r="E112" s="6"/>
      <c r="F112" s="6"/>
      <c r="G112" s="6"/>
      <c r="H112" s="6"/>
      <c r="I112" s="1"/>
      <c r="J112" s="1"/>
    </row>
    <row r="113">
      <c r="A113" s="1"/>
      <c r="B113" s="28" t="s">
        <v>873</v>
      </c>
      <c r="C113" s="21" t="s">
        <v>874</v>
      </c>
      <c r="D113" s="21" t="s">
        <v>875</v>
      </c>
      <c r="E113" s="21" t="s">
        <v>876</v>
      </c>
      <c r="F113" s="21" t="s">
        <v>877</v>
      </c>
      <c r="G113" s="21" t="s">
        <v>878</v>
      </c>
      <c r="H113" s="21"/>
      <c r="I113" s="45"/>
      <c r="J113" s="45"/>
    </row>
    <row r="114">
      <c r="A114" s="1"/>
      <c r="B114" s="1" t="s">
        <v>879</v>
      </c>
      <c r="C114" s="91">
        <v>92</v>
      </c>
      <c r="D114" s="91">
        <v>92</v>
      </c>
      <c r="E114" s="91">
        <v>366</v>
      </c>
      <c r="F114" s="91">
        <v>90</v>
      </c>
      <c r="G114" s="91">
        <v>91</v>
      </c>
      <c r="H114" s="90"/>
      <c r="I114" s="1"/>
      <c r="J114" s="1"/>
    </row>
    <row r="115">
      <c r="A115" s="1"/>
      <c r="B115" s="1" t="s">
        <v>880</v>
      </c>
      <c r="C115" s="49">
        <v>342.669</v>
      </c>
      <c r="D115" s="49">
        <v>865.08</v>
      </c>
      <c r="E115" s="49">
        <v>2287.031</v>
      </c>
      <c r="F115" s="49">
        <v>460.023</v>
      </c>
      <c r="G115" s="49">
        <v>553.121</v>
      </c>
      <c r="H115" s="6"/>
      <c r="I115" s="1"/>
      <c r="J115" s="1"/>
    </row>
    <row r="116">
      <c r="A116" s="1"/>
      <c r="B116" s="1" t="s">
        <v>881</v>
      </c>
      <c r="C116" s="49">
        <v>40.403</v>
      </c>
      <c r="D116" s="49">
        <v>25.613</v>
      </c>
      <c r="E116" s="49">
        <v>92.526</v>
      </c>
      <c r="F116" s="49">
        <v>117.91</v>
      </c>
      <c r="G116" s="49">
        <v>29.421</v>
      </c>
      <c r="H116" s="6"/>
      <c r="I116" s="1"/>
      <c r="J116" s="1"/>
    </row>
    <row r="117">
      <c r="A117" s="1"/>
      <c r="B117" s="1" t="s">
        <v>882</v>
      </c>
      <c r="C117" s="49">
        <v>285488</v>
      </c>
      <c r="D117" s="49">
        <v>278915</v>
      </c>
      <c r="E117" s="6">
        <f>D117</f>
        <v>278915</v>
      </c>
      <c r="F117" s="49">
        <v>282060</v>
      </c>
      <c r="G117" s="49">
        <v>285827</v>
      </c>
      <c r="H117" s="6"/>
      <c r="I117" s="1"/>
      <c r="J117" s="1"/>
    </row>
    <row r="118">
      <c r="A118" s="1"/>
      <c r="B118" s="1" t="s">
        <v>883</v>
      </c>
      <c r="C118" s="49">
        <v>299066</v>
      </c>
      <c r="D118" s="6">
        <f>C117</f>
        <v>285488</v>
      </c>
      <c r="E118" s="49">
        <v>298889</v>
      </c>
      <c r="F118" s="6">
        <f>D117</f>
        <v>278915</v>
      </c>
      <c r="G118" s="6">
        <f>F117</f>
        <v>282060</v>
      </c>
      <c r="H118" s="6"/>
      <c r="I118" s="1"/>
      <c r="J118" s="1"/>
    </row>
    <row r="119">
      <c r="A119" s="1"/>
      <c r="B119" s="1" t="s">
        <v>884</v>
      </c>
      <c r="C119" s="49">
        <v>6339</v>
      </c>
      <c r="D119" s="49">
        <v>6565</v>
      </c>
      <c r="E119" s="49">
        <v>28674</v>
      </c>
      <c r="F119" s="49">
        <v>5973</v>
      </c>
      <c r="G119" s="49">
        <v>7587</v>
      </c>
      <c r="H119" s="6"/>
      <c r="I119" s="1"/>
      <c r="J119" s="1"/>
    </row>
    <row r="120">
      <c r="A120" s="1"/>
      <c r="B120" s="1" t="s">
        <v>885</v>
      </c>
      <c r="C120" s="49">
        <v>-14705</v>
      </c>
      <c r="D120" s="49">
        <v>-1691</v>
      </c>
      <c r="E120" s="49">
        <v>-23207</v>
      </c>
      <c r="F120" s="49">
        <v>-2596</v>
      </c>
      <c r="G120" s="49">
        <v>-1713</v>
      </c>
      <c r="H120" s="6"/>
      <c r="I120" s="1"/>
      <c r="J120" s="1"/>
    </row>
    <row r="121">
      <c r="A121" s="1"/>
      <c r="B121" s="1" t="s">
        <v>886</v>
      </c>
      <c r="C121" s="49">
        <v>-8366</v>
      </c>
      <c r="D121" s="49">
        <v>4874</v>
      </c>
      <c r="E121" s="49">
        <v>5467</v>
      </c>
      <c r="F121" s="49">
        <v>3377</v>
      </c>
      <c r="G121" s="49">
        <v>5874</v>
      </c>
      <c r="H121" s="6"/>
      <c r="I121" s="1"/>
      <c r="J121" s="1"/>
    </row>
    <row r="122">
      <c r="A122" s="1"/>
      <c r="B122" s="1" t="s">
        <v>887</v>
      </c>
      <c r="C122" s="49">
        <v>-7767</v>
      </c>
      <c r="D122" s="49">
        <v>-6038</v>
      </c>
      <c r="E122" s="49">
        <v>-23409</v>
      </c>
      <c r="F122" s="49">
        <v>-3817</v>
      </c>
      <c r="G122" s="49">
        <v>-5406</v>
      </c>
      <c r="H122" s="6"/>
      <c r="I122" s="1"/>
      <c r="J122" s="1"/>
    </row>
    <row r="123">
      <c r="A123" s="1"/>
      <c r="B123" s="1" t="s">
        <v>888</v>
      </c>
      <c r="C123" s="49">
        <v>2554</v>
      </c>
      <c r="D123" s="49">
        <v>-5409</v>
      </c>
      <c r="E123" s="49">
        <v>-2033</v>
      </c>
      <c r="F123" s="49">
        <v>3586</v>
      </c>
      <c r="G123" s="49">
        <v>3297</v>
      </c>
      <c r="H123" s="6"/>
      <c r="I123" s="1"/>
      <c r="J123" s="1"/>
    </row>
    <row r="124">
      <c r="A124" s="1"/>
      <c r="B124" s="1" t="s">
        <v>889</v>
      </c>
      <c r="C124" s="49">
        <v>292277.161</v>
      </c>
      <c r="D124" s="49">
        <v>282201.506</v>
      </c>
      <c r="E124" s="49">
        <v>292788.459</v>
      </c>
      <c r="F124" s="49">
        <v>280487.712</v>
      </c>
      <c r="G124" s="49">
        <v>283943.581</v>
      </c>
      <c r="H124" s="6"/>
      <c r="I124" s="1"/>
      <c r="J124" s="1"/>
    </row>
    <row r="125">
      <c r="A125" s="1"/>
      <c r="B125" s="1" t="s">
        <v>890</v>
      </c>
      <c r="C125" s="49">
        <v>325076</v>
      </c>
      <c r="D125" s="49">
        <v>315353</v>
      </c>
      <c r="E125" s="6">
        <f>D125</f>
        <v>315353</v>
      </c>
      <c r="F125" s="49">
        <v>319989</v>
      </c>
      <c r="G125" s="49">
        <v>324995</v>
      </c>
      <c r="H125" s="6"/>
      <c r="I125" s="1"/>
      <c r="J125" s="1"/>
    </row>
    <row r="126">
      <c r="A126" s="1"/>
      <c r="B126" s="1" t="s">
        <v>891</v>
      </c>
      <c r="C126" s="49">
        <v>336100</v>
      </c>
      <c r="D126" s="6">
        <f>C125</f>
        <v>325076</v>
      </c>
      <c r="E126" s="49">
        <v>336940</v>
      </c>
      <c r="F126" s="6">
        <f>D125</f>
        <v>315353</v>
      </c>
      <c r="G126" s="6">
        <f>F125</f>
        <v>319989</v>
      </c>
      <c r="H126" s="6"/>
      <c r="I126" s="1"/>
      <c r="J126" s="1"/>
    </row>
    <row r="127">
      <c r="A127" s="1"/>
      <c r="B127" s="1" t="s">
        <v>892</v>
      </c>
      <c r="C127" s="49">
        <v>5835</v>
      </c>
      <c r="D127" s="49">
        <v>8094</v>
      </c>
      <c r="E127" s="49">
        <v>27941</v>
      </c>
      <c r="F127" s="49">
        <v>6176</v>
      </c>
      <c r="G127" s="49">
        <v>7222</v>
      </c>
      <c r="H127" s="6"/>
      <c r="I127" s="1"/>
      <c r="J127" s="1"/>
    </row>
    <row r="128">
      <c r="A128" s="1"/>
      <c r="B128" s="1" t="s">
        <v>893</v>
      </c>
      <c r="C128" s="49">
        <v>-14626</v>
      </c>
      <c r="D128" s="49">
        <v>-3047</v>
      </c>
      <c r="E128" s="49">
        <v>-24543</v>
      </c>
      <c r="F128" s="49">
        <v>-2676</v>
      </c>
      <c r="G128" s="49">
        <v>-1883</v>
      </c>
      <c r="H128" s="6"/>
      <c r="I128" s="1"/>
      <c r="J128" s="1"/>
    </row>
    <row r="129">
      <c r="A129" s="1"/>
      <c r="B129" s="1" t="s">
        <v>894</v>
      </c>
      <c r="C129" s="49">
        <v>-8791</v>
      </c>
      <c r="D129" s="49">
        <v>5047</v>
      </c>
      <c r="E129" s="49">
        <v>3398</v>
      </c>
      <c r="F129" s="49">
        <v>3500</v>
      </c>
      <c r="G129" s="49">
        <v>5339</v>
      </c>
      <c r="H129" s="6"/>
      <c r="I129" s="1"/>
      <c r="J129" s="1"/>
    </row>
    <row r="130">
      <c r="A130" s="1"/>
      <c r="B130" s="1" t="s">
        <v>887</v>
      </c>
      <c r="C130" s="49">
        <v>-7405</v>
      </c>
      <c r="D130" s="49">
        <v>-5457</v>
      </c>
      <c r="E130" s="49">
        <v>-22164</v>
      </c>
      <c r="F130" s="49">
        <v>-4306</v>
      </c>
      <c r="G130" s="49">
        <v>-5249</v>
      </c>
      <c r="H130" s="6"/>
      <c r="I130" s="1"/>
      <c r="J130" s="1"/>
    </row>
    <row r="131">
      <c r="A131" s="1"/>
      <c r="B131" s="1" t="s">
        <v>888</v>
      </c>
      <c r="C131" s="49">
        <v>5171</v>
      </c>
      <c r="D131" s="49">
        <v>-9312</v>
      </c>
      <c r="E131" s="49">
        <v>-2820</v>
      </c>
      <c r="F131" s="49">
        <v>5442</v>
      </c>
      <c r="G131" s="49">
        <v>4916</v>
      </c>
      <c r="H131" s="6"/>
      <c r="I131" s="1"/>
      <c r="J131" s="1"/>
    </row>
    <row r="132">
      <c r="A132" s="1"/>
      <c r="B132" s="1" t="s">
        <v>895</v>
      </c>
      <c r="C132" s="49">
        <v>555</v>
      </c>
      <c r="D132" s="49">
        <v>1491</v>
      </c>
      <c r="E132" s="49">
        <v>5030</v>
      </c>
      <c r="F132" s="49">
        <v>1707</v>
      </c>
      <c r="G132" s="49">
        <v>383</v>
      </c>
      <c r="H132" s="6"/>
      <c r="I132" s="1"/>
      <c r="J132" s="1"/>
    </row>
    <row r="133">
      <c r="A133" s="1"/>
      <c r="B133" s="1" t="s">
        <v>896</v>
      </c>
      <c r="C133" s="49">
        <v>3703</v>
      </c>
      <c r="D133" s="49">
        <v>2962</v>
      </c>
      <c r="E133" s="49">
        <v>11555</v>
      </c>
      <c r="F133" s="49">
        <v>3359</v>
      </c>
      <c r="G133" s="49">
        <v>4479</v>
      </c>
      <c r="H133" s="6"/>
      <c r="I133" s="1"/>
      <c r="J133" s="1"/>
    </row>
    <row r="134">
      <c r="A134" s="1"/>
      <c r="B134" s="1" t="s">
        <v>897</v>
      </c>
      <c r="C134" s="49">
        <v>1577</v>
      </c>
      <c r="D134" s="49">
        <v>3642</v>
      </c>
      <c r="E134" s="49">
        <v>11356</v>
      </c>
      <c r="F134" s="49">
        <v>1109</v>
      </c>
      <c r="G134" s="49">
        <v>2360</v>
      </c>
      <c r="H134" s="6"/>
      <c r="I134" s="1"/>
      <c r="J134" s="1"/>
    </row>
    <row r="135">
      <c r="A135" s="1"/>
      <c r="B135" s="1" t="s">
        <v>898</v>
      </c>
      <c r="C135" s="49">
        <v>3655.251</v>
      </c>
      <c r="D135" s="49">
        <v>7014.543</v>
      </c>
      <c r="E135" s="49">
        <v>25280.219</v>
      </c>
      <c r="F135" s="49">
        <v>5233.084</v>
      </c>
      <c r="G135" s="49">
        <v>6167.832</v>
      </c>
      <c r="H135" s="6"/>
      <c r="I135" s="1"/>
      <c r="J135" s="1"/>
    </row>
    <row r="136">
      <c r="A136" s="1"/>
      <c r="B136" s="1" t="s">
        <v>899</v>
      </c>
      <c r="C136" s="49">
        <v>1634</v>
      </c>
      <c r="D136" s="49">
        <v>4676</v>
      </c>
      <c r="E136" s="49">
        <v>13799</v>
      </c>
      <c r="F136" s="49">
        <v>2647</v>
      </c>
      <c r="G136" s="49">
        <v>1230</v>
      </c>
      <c r="H136" s="6"/>
      <c r="I136" s="1"/>
      <c r="J136" s="1"/>
    </row>
    <row r="137">
      <c r="A137" s="1"/>
      <c r="B137" s="1" t="s">
        <v>900</v>
      </c>
      <c r="C137" s="49">
        <v>744</v>
      </c>
      <c r="D137" s="49">
        <v>686</v>
      </c>
      <c r="E137" s="49">
        <v>3705</v>
      </c>
      <c r="F137" s="49">
        <v>1608</v>
      </c>
      <c r="G137" s="49">
        <v>1857</v>
      </c>
      <c r="H137" s="6"/>
      <c r="I137" s="1"/>
      <c r="J137" s="1"/>
    </row>
    <row r="138">
      <c r="A138" s="1"/>
      <c r="B138" s="1" t="s">
        <v>901</v>
      </c>
      <c r="C138" s="49">
        <v>1277</v>
      </c>
      <c r="D138" s="49">
        <v>1653</v>
      </c>
      <c r="E138" s="49">
        <v>7777</v>
      </c>
      <c r="F138" s="49">
        <v>978</v>
      </c>
      <c r="G138" s="49">
        <v>3081</v>
      </c>
      <c r="H138" s="6"/>
      <c r="I138" s="1"/>
      <c r="J138" s="1"/>
    </row>
    <row r="139">
      <c r="A139" s="1"/>
      <c r="B139" s="1" t="s">
        <v>902</v>
      </c>
      <c r="C139" s="49">
        <v>1783</v>
      </c>
      <c r="D139" s="49">
        <v>1026</v>
      </c>
      <c r="E139" s="49">
        <v>3836</v>
      </c>
      <c r="F139" s="49">
        <v>804</v>
      </c>
      <c r="G139" s="49">
        <v>636</v>
      </c>
      <c r="H139" s="6"/>
      <c r="I139" s="1"/>
      <c r="J139" s="1"/>
    </row>
    <row r="140">
      <c r="A140" s="1"/>
      <c r="B140" s="1" t="s">
        <v>903</v>
      </c>
      <c r="C140" s="49">
        <v>3263</v>
      </c>
      <c r="D140" s="49">
        <v>2254</v>
      </c>
      <c r="E140" s="49">
        <v>10152</v>
      </c>
      <c r="F140" s="49">
        <v>1318</v>
      </c>
      <c r="G140" s="49">
        <v>2141</v>
      </c>
      <c r="H140" s="6"/>
      <c r="I140" s="1"/>
      <c r="J140" s="1"/>
    </row>
    <row r="141">
      <c r="A141" s="1"/>
      <c r="B141" s="1" t="s">
        <v>904</v>
      </c>
      <c r="C141" s="49">
        <v>2359</v>
      </c>
      <c r="D141" s="49">
        <v>2177</v>
      </c>
      <c r="E141" s="49">
        <v>8177</v>
      </c>
      <c r="F141" s="49">
        <v>2184</v>
      </c>
      <c r="G141" s="49">
        <v>2472</v>
      </c>
      <c r="H141" s="6"/>
      <c r="I141" s="1"/>
      <c r="J141" s="1"/>
    </row>
    <row r="142">
      <c r="A142" s="1"/>
      <c r="B142" s="1" t="s">
        <v>905</v>
      </c>
      <c r="C142" s="49">
        <v>672.26</v>
      </c>
      <c r="D142" s="49">
        <v>664.76</v>
      </c>
      <c r="E142" s="49">
        <v>2716.983</v>
      </c>
      <c r="F142" s="49">
        <v>664.601</v>
      </c>
      <c r="G142" s="49">
        <v>673.154</v>
      </c>
      <c r="H142" s="6"/>
      <c r="I142" s="1"/>
      <c r="J142" s="1"/>
    </row>
    <row r="143">
      <c r="A143" s="1"/>
      <c r="B143" s="1" t="s">
        <v>906</v>
      </c>
      <c r="C143" s="49">
        <v>24.81</v>
      </c>
      <c r="D143" s="49">
        <v>45.87</v>
      </c>
      <c r="E143" s="49">
        <v>175.01</v>
      </c>
      <c r="F143" s="49">
        <v>40.146</v>
      </c>
      <c r="G143" s="49">
        <v>41.72</v>
      </c>
      <c r="H143" s="6"/>
      <c r="I143" s="1"/>
      <c r="J143" s="1"/>
    </row>
    <row r="144">
      <c r="A144" s="1"/>
      <c r="B144" s="1" t="s">
        <v>907</v>
      </c>
      <c r="C144" s="49">
        <v>-1.524</v>
      </c>
      <c r="D144" s="49">
        <v>-8.795</v>
      </c>
      <c r="E144" s="49">
        <v>-16.716</v>
      </c>
      <c r="F144" s="49">
        <v>-3.899</v>
      </c>
      <c r="G144" s="49">
        <v>-3.582</v>
      </c>
      <c r="H144" s="6"/>
      <c r="I144" s="1"/>
      <c r="J144" s="1"/>
    </row>
    <row r="145">
      <c r="A145" s="1"/>
      <c r="B145" s="1" t="s">
        <v>908</v>
      </c>
      <c r="C145" s="49">
        <v>695.546</v>
      </c>
      <c r="D145" s="49">
        <v>701.835</v>
      </c>
      <c r="E145" s="49">
        <v>2875.277</v>
      </c>
      <c r="F145" s="49">
        <v>700.848</v>
      </c>
      <c r="G145" s="49">
        <v>711.292</v>
      </c>
      <c r="H145" s="6"/>
      <c r="I145" s="1"/>
      <c r="J145" s="1"/>
    </row>
    <row r="146">
      <c r="A146" s="1"/>
      <c r="B146" s="1" t="s">
        <v>909</v>
      </c>
      <c r="C146" s="49">
        <v>72.428</v>
      </c>
      <c r="D146" s="49">
        <v>0.433</v>
      </c>
      <c r="E146" s="49">
        <v>203.425</v>
      </c>
      <c r="F146" s="49">
        <v>37.803</v>
      </c>
      <c r="G146" s="49">
        <v>89.59</v>
      </c>
      <c r="H146" s="6"/>
      <c r="I146" s="1"/>
      <c r="J146" s="1"/>
    </row>
    <row r="147">
      <c r="A147" s="1"/>
      <c r="B147" s="1" t="s">
        <v>910</v>
      </c>
      <c r="C147" s="49">
        <v>78.022</v>
      </c>
      <c r="D147" s="49">
        <v>19.513</v>
      </c>
      <c r="E147" s="49">
        <v>200.974</v>
      </c>
      <c r="F147" s="49">
        <v>19.01</v>
      </c>
      <c r="G147" s="49">
        <v>43.587</v>
      </c>
      <c r="H147" s="6"/>
      <c r="I147" s="1"/>
      <c r="J147" s="1"/>
    </row>
    <row r="148">
      <c r="A148" s="1"/>
      <c r="B148" s="1" t="s">
        <v>911</v>
      </c>
      <c r="C148" s="49">
        <v>6.421</v>
      </c>
      <c r="D148" s="49">
        <v>-1.145</v>
      </c>
      <c r="E148" s="49">
        <v>14.522</v>
      </c>
      <c r="F148" s="49">
        <v>0.349</v>
      </c>
      <c r="G148" s="49">
        <v>2.797</v>
      </c>
      <c r="H148" s="6"/>
      <c r="I148" s="1"/>
      <c r="J148" s="1"/>
    </row>
    <row r="149">
      <c r="A149" s="1"/>
      <c r="B149" s="1" t="s">
        <v>912</v>
      </c>
      <c r="C149" s="49">
        <v>852.417</v>
      </c>
      <c r="D149" s="49">
        <v>720.636</v>
      </c>
      <c r="E149" s="49">
        <v>3294.198</v>
      </c>
      <c r="F149" s="49">
        <v>758.01</v>
      </c>
      <c r="G149" s="49">
        <v>847.266</v>
      </c>
      <c r="H149" s="6"/>
      <c r="I149" s="1"/>
      <c r="J149" s="1"/>
    </row>
    <row r="150">
      <c r="A150" s="1"/>
      <c r="B150" s="1" t="s">
        <v>913</v>
      </c>
      <c r="C150" s="49">
        <v>-166.567</v>
      </c>
      <c r="D150" s="49">
        <v>-149.425</v>
      </c>
      <c r="E150" s="49">
        <v>-674.965</v>
      </c>
      <c r="F150" s="49">
        <v>-170.525</v>
      </c>
      <c r="G150" s="49">
        <v>-170.209</v>
      </c>
      <c r="H150" s="6"/>
      <c r="I150" s="1"/>
      <c r="J150" s="1"/>
    </row>
    <row r="151">
      <c r="A151" s="1"/>
      <c r="B151" s="1" t="s">
        <v>914</v>
      </c>
      <c r="C151" s="49">
        <v>-100.739</v>
      </c>
      <c r="D151" s="49">
        <v>-97.442</v>
      </c>
      <c r="E151" s="49">
        <v>-380.321</v>
      </c>
      <c r="F151" s="49">
        <v>-83.281</v>
      </c>
      <c r="G151" s="49">
        <v>-87.048</v>
      </c>
      <c r="H151" s="6"/>
      <c r="I151" s="1"/>
      <c r="J151" s="1"/>
    </row>
    <row r="152">
      <c r="A152" s="1"/>
      <c r="B152" s="1" t="s">
        <v>915</v>
      </c>
      <c r="C152" s="49">
        <v>500.668</v>
      </c>
      <c r="D152" s="49">
        <v>455.401</v>
      </c>
      <c r="E152" s="49">
        <v>2023.416</v>
      </c>
      <c r="F152" s="49">
        <v>484.845</v>
      </c>
      <c r="G152" s="49">
        <v>543.625</v>
      </c>
      <c r="H152" s="6"/>
      <c r="I152" s="1"/>
      <c r="J152" s="1"/>
    </row>
    <row r="153">
      <c r="A153" s="1"/>
      <c r="B153" s="1" t="s">
        <v>916</v>
      </c>
      <c r="C153" s="49">
        <v>-44.761</v>
      </c>
      <c r="D153" s="49">
        <v>-9.092</v>
      </c>
      <c r="E153" s="49">
        <v>-101.011</v>
      </c>
      <c r="F153" s="49">
        <v>-8.77</v>
      </c>
      <c r="G153" s="49">
        <v>-24.139</v>
      </c>
      <c r="H153" s="6"/>
      <c r="I153" s="1"/>
      <c r="J153" s="1"/>
    </row>
    <row r="154">
      <c r="A154" s="1"/>
      <c r="B154" s="1" t="s">
        <v>917</v>
      </c>
      <c r="C154" s="49">
        <v>39.682</v>
      </c>
      <c r="D154" s="49">
        <v>9.276</v>
      </c>
      <c r="E154" s="49">
        <v>114.485</v>
      </c>
      <c r="F154" s="49">
        <v>10.589</v>
      </c>
      <c r="G154" s="49">
        <v>22.245</v>
      </c>
      <c r="H154" s="6"/>
      <c r="I154" s="1"/>
      <c r="J154" s="1"/>
    </row>
    <row r="155">
      <c r="A155" s="1"/>
      <c r="B155" s="1" t="s">
        <v>918</v>
      </c>
      <c r="C155" s="49">
        <v>540.35</v>
      </c>
      <c r="D155" s="49">
        <v>464.677</v>
      </c>
      <c r="E155" s="49">
        <v>2137.901</v>
      </c>
      <c r="F155" s="49">
        <v>495.434</v>
      </c>
      <c r="G155" s="49">
        <v>565.87</v>
      </c>
      <c r="H155" s="6"/>
      <c r="I155" s="1"/>
      <c r="J155" s="1"/>
    </row>
    <row r="156">
      <c r="A156" s="1"/>
      <c r="B156" s="1" t="s">
        <v>919</v>
      </c>
      <c r="C156" s="49">
        <v>767.974</v>
      </c>
      <c r="D156" s="49">
        <v>702.268</v>
      </c>
      <c r="E156" s="49">
        <v>3078.702</v>
      </c>
      <c r="F156" s="49">
        <v>738.651</v>
      </c>
      <c r="G156" s="49">
        <v>800.8820000000001</v>
      </c>
      <c r="H156" s="6"/>
      <c r="I156" s="1"/>
      <c r="J156" s="1"/>
    </row>
    <row r="157">
      <c r="A157" s="1"/>
      <c r="B157" s="1" t="s">
        <v>920</v>
      </c>
      <c r="C157" s="53">
        <v>0.011</v>
      </c>
      <c r="D157" s="53">
        <v>-0.051</v>
      </c>
      <c r="E157" s="53">
        <v>-0.037000000000000005</v>
      </c>
      <c r="F157" s="53">
        <v>0.002</v>
      </c>
      <c r="G157" s="53">
        <v>0.001</v>
      </c>
      <c r="H157" s="50"/>
      <c r="I157" s="1"/>
      <c r="J157" s="1"/>
    </row>
    <row r="158">
      <c r="A158" s="1"/>
      <c r="B158" s="1" t="s">
        <v>921</v>
      </c>
      <c r="C158" s="53">
        <v>-0.005</v>
      </c>
      <c r="D158" s="53">
        <v>-0.008</v>
      </c>
      <c r="E158" s="53">
        <v>0.001</v>
      </c>
      <c r="F158" s="53">
        <v>0.012</v>
      </c>
      <c r="G158" s="53">
        <v>-0.004</v>
      </c>
      <c r="H158" s="50"/>
      <c r="I158" s="1"/>
      <c r="J158" s="1"/>
    </row>
    <row r="159">
      <c r="A159" s="1"/>
      <c r="B159" s="1" t="s">
        <v>922</v>
      </c>
      <c r="C159" s="49">
        <v>1331</v>
      </c>
      <c r="D159" s="49">
        <v>892</v>
      </c>
      <c r="E159" s="6">
        <f>D159</f>
        <v>892</v>
      </c>
      <c r="F159" s="49">
        <v>904</v>
      </c>
      <c r="G159" s="49">
        <v>721</v>
      </c>
      <c r="H159" s="6"/>
      <c r="I159" s="1"/>
      <c r="J159" s="1"/>
    </row>
    <row r="160">
      <c r="A160" s="1"/>
      <c r="B160" s="1" t="s">
        <v>923</v>
      </c>
      <c r="C160" s="49">
        <v>130</v>
      </c>
      <c r="D160" s="49">
        <v>126</v>
      </c>
      <c r="E160" s="6">
        <f>D160</f>
        <v>126</v>
      </c>
      <c r="F160" s="49">
        <v>69</v>
      </c>
      <c r="G160" s="49">
        <v>27</v>
      </c>
      <c r="H160" s="6"/>
      <c r="I160" s="1"/>
      <c r="J160" s="1"/>
    </row>
    <row r="161">
      <c r="A161" s="1"/>
      <c r="B161" s="1" t="s">
        <v>924</v>
      </c>
      <c r="C161" s="49">
        <v>97</v>
      </c>
      <c r="D161" s="49">
        <v>98</v>
      </c>
      <c r="E161" s="6">
        <f>D161</f>
        <v>98</v>
      </c>
      <c r="F161" s="49">
        <v>98</v>
      </c>
      <c r="G161" s="49">
        <v>98</v>
      </c>
      <c r="H161" s="6"/>
      <c r="I161" s="1"/>
      <c r="J161" s="1"/>
    </row>
    <row r="162">
      <c r="A162" s="1"/>
      <c r="B162" s="1" t="s">
        <v>925</v>
      </c>
      <c r="C162" s="49">
        <v>32</v>
      </c>
      <c r="D162" s="49">
        <v>42</v>
      </c>
      <c r="E162" s="6">
        <f>D162</f>
        <v>42</v>
      </c>
      <c r="F162" s="49">
        <v>37</v>
      </c>
      <c r="G162" s="49">
        <v>45</v>
      </c>
      <c r="H162" s="6"/>
      <c r="I162" s="1"/>
      <c r="J162" s="1"/>
    </row>
    <row r="163">
      <c r="A163" s="1"/>
      <c r="B163" s="1" t="s">
        <v>926</v>
      </c>
      <c r="C163" s="49">
        <v>18</v>
      </c>
      <c r="D163" s="49">
        <v>27</v>
      </c>
      <c r="E163" s="6">
        <f>D163</f>
        <v>27</v>
      </c>
      <c r="F163" s="49">
        <v>32</v>
      </c>
      <c r="G163" s="49">
        <v>32</v>
      </c>
      <c r="H163" s="6"/>
      <c r="I163" s="1"/>
      <c r="J163" s="1"/>
    </row>
    <row r="164">
      <c r="A164" s="1"/>
      <c r="B164" s="1" t="s">
        <v>927</v>
      </c>
      <c r="C164" s="49">
        <v>208682</v>
      </c>
      <c r="D164" s="49">
        <v>212183</v>
      </c>
      <c r="E164" s="6">
        <f>D164</f>
        <v>212183</v>
      </c>
      <c r="F164" s="49">
        <v>226219</v>
      </c>
      <c r="G164" s="49">
        <v>232160</v>
      </c>
      <c r="H164" s="6"/>
      <c r="I164" s="1"/>
      <c r="J164" s="1"/>
    </row>
    <row r="165">
      <c r="A165" s="1"/>
      <c r="B165" s="1" t="s">
        <v>928</v>
      </c>
      <c r="C165" s="49">
        <v>200487</v>
      </c>
      <c r="D165" s="6">
        <f>C164</f>
        <v>208682</v>
      </c>
      <c r="E165" s="49">
        <v>176997</v>
      </c>
      <c r="F165" s="6">
        <f>D164</f>
        <v>212183</v>
      </c>
      <c r="G165" s="6">
        <f>F164</f>
        <v>226219</v>
      </c>
      <c r="H165" s="6"/>
      <c r="I165" s="1"/>
      <c r="J165" s="1"/>
    </row>
    <row r="166">
      <c r="A166" s="1"/>
      <c r="B166" s="1" t="s">
        <v>929</v>
      </c>
      <c r="C166" s="49">
        <v>9837</v>
      </c>
      <c r="D166" s="49">
        <v>7086</v>
      </c>
      <c r="E166" s="49">
        <v>46270</v>
      </c>
      <c r="F166" s="49">
        <v>15352</v>
      </c>
      <c r="G166" s="49">
        <v>7550</v>
      </c>
      <c r="H166" s="6"/>
      <c r="I166" s="1"/>
      <c r="J166" s="1"/>
    </row>
    <row r="167">
      <c r="A167" s="1"/>
      <c r="B167" s="1" t="s">
        <v>930</v>
      </c>
      <c r="C167" s="49">
        <v>-1940</v>
      </c>
      <c r="D167" s="49">
        <v>-1729</v>
      </c>
      <c r="E167" s="49">
        <v>-7998</v>
      </c>
      <c r="F167" s="49">
        <v>-1669</v>
      </c>
      <c r="G167" s="49">
        <v>-805</v>
      </c>
      <c r="H167" s="6"/>
      <c r="I167" s="1"/>
      <c r="J167" s="1"/>
    </row>
    <row r="168">
      <c r="A168" s="1"/>
      <c r="B168" s="1" t="s">
        <v>931</v>
      </c>
      <c r="C168" s="49">
        <v>7897</v>
      </c>
      <c r="D168" s="49">
        <v>5357</v>
      </c>
      <c r="E168" s="49">
        <v>38272</v>
      </c>
      <c r="F168" s="49">
        <v>13683</v>
      </c>
      <c r="G168" s="49">
        <v>6745</v>
      </c>
      <c r="H168" s="6"/>
      <c r="I168" s="1"/>
      <c r="J168" s="1"/>
    </row>
    <row r="169">
      <c r="A169" s="1"/>
      <c r="B169" s="1" t="s">
        <v>932</v>
      </c>
      <c r="C169" s="49">
        <v>-1482</v>
      </c>
      <c r="D169" s="49">
        <v>-3791</v>
      </c>
      <c r="E169" s="49">
        <v>-9409</v>
      </c>
      <c r="F169" s="49">
        <v>-2815</v>
      </c>
      <c r="G169" s="49">
        <v>-3289</v>
      </c>
      <c r="H169" s="6"/>
      <c r="I169" s="1"/>
      <c r="J169" s="1"/>
    </row>
    <row r="170">
      <c r="A170" s="1"/>
      <c r="B170" s="1" t="s">
        <v>933</v>
      </c>
      <c r="C170" s="49">
        <v>1779</v>
      </c>
      <c r="D170" s="49">
        <v>1935</v>
      </c>
      <c r="E170" s="49">
        <v>6322</v>
      </c>
      <c r="F170" s="49">
        <v>3169</v>
      </c>
      <c r="G170" s="49">
        <v>2484</v>
      </c>
      <c r="H170" s="6"/>
      <c r="I170" s="1"/>
      <c r="J170" s="1"/>
    </row>
    <row r="171">
      <c r="A171" s="1"/>
      <c r="B171" s="1" t="s">
        <v>934</v>
      </c>
      <c r="C171" s="49">
        <v>204584.198</v>
      </c>
      <c r="D171" s="49">
        <v>210432.276</v>
      </c>
      <c r="E171" s="49">
        <v>195540.418</v>
      </c>
      <c r="F171" s="49">
        <v>219201.144</v>
      </c>
      <c r="G171" s="49">
        <v>229189.801</v>
      </c>
      <c r="H171" s="6"/>
      <c r="I171" s="1"/>
      <c r="J171" s="1"/>
    </row>
    <row r="172">
      <c r="A172" s="1"/>
      <c r="B172" s="1" t="s">
        <v>935</v>
      </c>
      <c r="C172" s="49">
        <v>344710</v>
      </c>
      <c r="D172" s="49">
        <v>352169</v>
      </c>
      <c r="E172" s="6">
        <f>D172</f>
        <v>352169</v>
      </c>
      <c r="F172" s="49">
        <v>370990</v>
      </c>
      <c r="G172" s="49">
        <v>388907</v>
      </c>
      <c r="H172" s="6"/>
      <c r="I172" s="1"/>
      <c r="J172" s="1"/>
    </row>
    <row r="173">
      <c r="A173" s="1"/>
      <c r="B173" s="1" t="s">
        <v>936</v>
      </c>
      <c r="C173" s="49">
        <v>330590</v>
      </c>
      <c r="D173" s="6">
        <f>C172</f>
        <v>344710</v>
      </c>
      <c r="E173" s="49">
        <v>314391</v>
      </c>
      <c r="F173" s="6">
        <f>D172</f>
        <v>352169</v>
      </c>
      <c r="G173" s="6">
        <f>F172</f>
        <v>370990</v>
      </c>
      <c r="H173" s="6"/>
      <c r="I173" s="1"/>
      <c r="J173" s="1"/>
    </row>
    <row r="174">
      <c r="A174" s="1"/>
      <c r="B174" s="1" t="s">
        <v>937</v>
      </c>
      <c r="C174" s="49">
        <v>10201</v>
      </c>
      <c r="D174" s="49">
        <v>11617</v>
      </c>
      <c r="E174" s="49">
        <v>41285</v>
      </c>
      <c r="F174" s="49">
        <v>21685</v>
      </c>
      <c r="G174" s="49">
        <v>15323</v>
      </c>
      <c r="H174" s="6"/>
      <c r="I174" s="1"/>
      <c r="J174" s="1"/>
    </row>
    <row r="175">
      <c r="A175" s="1"/>
      <c r="B175" s="1" t="s">
        <v>938</v>
      </c>
      <c r="C175" s="49">
        <v>-1796</v>
      </c>
      <c r="D175" s="49">
        <v>-2735</v>
      </c>
      <c r="E175" s="49">
        <v>-7226</v>
      </c>
      <c r="F175" s="49">
        <v>-3438</v>
      </c>
      <c r="G175" s="49">
        <v>-1805</v>
      </c>
      <c r="H175" s="6"/>
      <c r="I175" s="1"/>
      <c r="J175" s="1"/>
    </row>
    <row r="176">
      <c r="A176" s="1"/>
      <c r="B176" s="1" t="s">
        <v>939</v>
      </c>
      <c r="C176" s="49">
        <v>8405</v>
      </c>
      <c r="D176" s="49">
        <v>8882</v>
      </c>
      <c r="E176" s="49">
        <v>34059</v>
      </c>
      <c r="F176" s="49">
        <v>18247</v>
      </c>
      <c r="G176" s="49">
        <v>13518</v>
      </c>
      <c r="H176" s="6"/>
      <c r="I176" s="1"/>
      <c r="J176" s="1"/>
    </row>
    <row r="177">
      <c r="A177" s="1"/>
      <c r="B177" s="1" t="s">
        <v>932</v>
      </c>
      <c r="C177" s="49">
        <v>-5256</v>
      </c>
      <c r="D177" s="49">
        <v>-10566</v>
      </c>
      <c r="E177" s="49">
        <v>-28931</v>
      </c>
      <c r="F177" s="49">
        <v>-6467</v>
      </c>
      <c r="G177" s="49">
        <v>-7316</v>
      </c>
      <c r="H177" s="6"/>
      <c r="I177" s="1"/>
      <c r="J177" s="1"/>
    </row>
    <row r="178">
      <c r="A178" s="1"/>
      <c r="B178" s="1" t="s">
        <v>933</v>
      </c>
      <c r="C178" s="49">
        <v>10971</v>
      </c>
      <c r="D178" s="49">
        <v>9142</v>
      </c>
      <c r="E178" s="49">
        <v>32648</v>
      </c>
      <c r="F178" s="49">
        <v>7042</v>
      </c>
      <c r="G178" s="49">
        <v>11715</v>
      </c>
      <c r="H178" s="6"/>
      <c r="I178" s="1"/>
      <c r="J178" s="1"/>
    </row>
    <row r="179">
      <c r="A179" s="1"/>
      <c r="B179" s="1" t="s">
        <v>940</v>
      </c>
      <c r="C179" s="49">
        <v>4650</v>
      </c>
      <c r="D179" s="49">
        <v>5909</v>
      </c>
      <c r="E179" s="49">
        <v>19529</v>
      </c>
      <c r="F179" s="49">
        <v>12904</v>
      </c>
      <c r="G179" s="49">
        <v>7714</v>
      </c>
      <c r="H179" s="6"/>
      <c r="I179" s="1"/>
      <c r="J179" s="1"/>
    </row>
    <row r="180">
      <c r="A180" s="1"/>
      <c r="B180" s="1" t="s">
        <v>941</v>
      </c>
      <c r="C180" s="49">
        <v>1190</v>
      </c>
      <c r="D180" s="49">
        <v>1117</v>
      </c>
      <c r="E180" s="49">
        <v>4820</v>
      </c>
      <c r="F180" s="49">
        <v>634</v>
      </c>
      <c r="G180" s="49">
        <v>550</v>
      </c>
      <c r="H180" s="6"/>
      <c r="I180" s="1"/>
      <c r="J180" s="1"/>
    </row>
    <row r="181">
      <c r="A181" s="1"/>
      <c r="B181" s="1" t="s">
        <v>942</v>
      </c>
      <c r="C181" s="49">
        <v>1524</v>
      </c>
      <c r="D181" s="49">
        <v>1774</v>
      </c>
      <c r="E181" s="49">
        <v>6693</v>
      </c>
      <c r="F181" s="49">
        <v>6397</v>
      </c>
      <c r="G181" s="49">
        <v>3289</v>
      </c>
      <c r="H181" s="6"/>
      <c r="I181" s="1"/>
      <c r="J181" s="1"/>
    </row>
    <row r="182">
      <c r="A182" s="1"/>
      <c r="B182" s="1" t="s">
        <v>943</v>
      </c>
      <c r="C182" s="49">
        <v>2838</v>
      </c>
      <c r="D182" s="49">
        <v>2818</v>
      </c>
      <c r="E182" s="49">
        <v>10243</v>
      </c>
      <c r="F182" s="49">
        <v>1750</v>
      </c>
      <c r="G182" s="49">
        <v>3770</v>
      </c>
      <c r="H182" s="6"/>
      <c r="I182" s="1"/>
      <c r="J182" s="1"/>
    </row>
    <row r="183">
      <c r="A183" s="1"/>
      <c r="B183" s="1" t="s">
        <v>944</v>
      </c>
      <c r="C183" s="49">
        <v>11395.437</v>
      </c>
      <c r="D183" s="49">
        <v>12132.834</v>
      </c>
      <c r="E183" s="49">
        <v>42190.548</v>
      </c>
      <c r="F183" s="49">
        <v>16367.958</v>
      </c>
      <c r="G183" s="49">
        <v>11758.87</v>
      </c>
      <c r="H183" s="6"/>
      <c r="I183" s="1"/>
      <c r="J183" s="1"/>
    </row>
    <row r="184">
      <c r="A184" s="1"/>
      <c r="B184" s="1" t="s">
        <v>945</v>
      </c>
      <c r="C184" s="49">
        <v>5857</v>
      </c>
      <c r="D184" s="49">
        <v>3845</v>
      </c>
      <c r="E184" s="49">
        <v>19514</v>
      </c>
      <c r="F184" s="49">
        <v>8660</v>
      </c>
      <c r="G184" s="49">
        <v>5088</v>
      </c>
      <c r="H184" s="6"/>
      <c r="I184" s="1"/>
      <c r="J184" s="1"/>
    </row>
    <row r="185">
      <c r="A185" s="1"/>
      <c r="B185" s="1" t="s">
        <v>946</v>
      </c>
      <c r="C185" s="49">
        <v>2484</v>
      </c>
      <c r="D185" s="49">
        <v>1079</v>
      </c>
      <c r="E185" s="49">
        <v>5998</v>
      </c>
      <c r="F185" s="49">
        <v>1000</v>
      </c>
      <c r="G185" s="49">
        <v>231</v>
      </c>
      <c r="H185" s="6"/>
      <c r="I185" s="1"/>
      <c r="J185" s="1"/>
    </row>
    <row r="186">
      <c r="A186" s="1"/>
      <c r="B186" s="1" t="s">
        <v>947</v>
      </c>
      <c r="C186" s="49">
        <v>2176</v>
      </c>
      <c r="D186" s="49">
        <v>4328</v>
      </c>
      <c r="E186" s="49">
        <v>11380</v>
      </c>
      <c r="F186" s="49">
        <v>5898</v>
      </c>
      <c r="G186" s="49">
        <v>2453</v>
      </c>
      <c r="H186" s="6"/>
      <c r="I186" s="1"/>
      <c r="J186" s="1"/>
    </row>
    <row r="187">
      <c r="A187" s="1"/>
      <c r="B187" s="1" t="s">
        <v>948</v>
      </c>
      <c r="C187" s="49">
        <v>879</v>
      </c>
      <c r="D187" s="49">
        <v>2880</v>
      </c>
      <c r="E187" s="49">
        <v>5299</v>
      </c>
      <c r="F187" s="49">
        <v>809</v>
      </c>
      <c r="G187" s="49">
        <v>3986</v>
      </c>
      <c r="H187" s="6"/>
      <c r="I187" s="1"/>
      <c r="J187" s="1"/>
    </row>
    <row r="188">
      <c r="A188" s="1"/>
      <c r="B188" s="1" t="s">
        <v>949</v>
      </c>
      <c r="C188" s="49">
        <v>2220</v>
      </c>
      <c r="D188" s="49">
        <v>6376</v>
      </c>
      <c r="E188" s="49">
        <v>15565</v>
      </c>
      <c r="F188" s="49">
        <v>3000</v>
      </c>
      <c r="G188" s="49">
        <v>3875</v>
      </c>
      <c r="H188" s="6"/>
      <c r="I188" s="1"/>
      <c r="J188" s="1"/>
    </row>
    <row r="189">
      <c r="A189" s="1"/>
      <c r="B189" s="1" t="s">
        <v>950</v>
      </c>
      <c r="C189" s="49">
        <v>421</v>
      </c>
      <c r="D189" s="49">
        <v>963</v>
      </c>
      <c r="E189" s="49">
        <v>3605</v>
      </c>
      <c r="F189" s="49">
        <v>2025</v>
      </c>
      <c r="G189" s="49">
        <v>1042</v>
      </c>
      <c r="H189" s="6"/>
      <c r="I189" s="1"/>
      <c r="J189" s="1"/>
    </row>
    <row r="190">
      <c r="A190" s="1"/>
      <c r="B190" s="1" t="s">
        <v>951</v>
      </c>
      <c r="C190" s="49">
        <v>1643</v>
      </c>
      <c r="D190" s="49">
        <v>2587</v>
      </c>
      <c r="E190" s="49">
        <v>7939</v>
      </c>
      <c r="F190" s="49">
        <v>1348</v>
      </c>
      <c r="G190" s="49">
        <v>1687</v>
      </c>
      <c r="H190" s="6"/>
      <c r="I190" s="1"/>
      <c r="J190" s="1"/>
    </row>
    <row r="191">
      <c r="A191" s="1"/>
      <c r="B191" s="1" t="s">
        <v>952</v>
      </c>
      <c r="C191" s="49">
        <v>971</v>
      </c>
      <c r="D191" s="49">
        <v>640</v>
      </c>
      <c r="E191" s="49">
        <v>1821</v>
      </c>
      <c r="F191" s="49">
        <v>94</v>
      </c>
      <c r="G191" s="49">
        <v>712</v>
      </c>
      <c r="H191" s="6"/>
      <c r="I191" s="1"/>
      <c r="J191" s="1"/>
    </row>
    <row r="192">
      <c r="A192" s="1"/>
      <c r="B192" s="1" t="s">
        <v>953</v>
      </c>
      <c r="C192" s="49">
        <v>511.355</v>
      </c>
      <c r="D192" s="49">
        <v>573.672</v>
      </c>
      <c r="E192" s="49">
        <v>2027.855</v>
      </c>
      <c r="F192" s="49">
        <v>578.444</v>
      </c>
      <c r="G192" s="49">
        <v>605.068</v>
      </c>
      <c r="H192" s="6"/>
      <c r="I192" s="1"/>
      <c r="J192" s="1"/>
    </row>
    <row r="193">
      <c r="A193" s="1"/>
      <c r="B193" s="1" t="s">
        <v>954</v>
      </c>
      <c r="C193" s="49">
        <v>45.592</v>
      </c>
      <c r="D193" s="49">
        <v>57.748</v>
      </c>
      <c r="E193" s="49">
        <v>176.469</v>
      </c>
      <c r="F193" s="49">
        <v>54.22</v>
      </c>
      <c r="G193" s="49">
        <v>108.988</v>
      </c>
      <c r="H193" s="6"/>
      <c r="I193" s="1"/>
      <c r="J193" s="1"/>
    </row>
    <row r="194">
      <c r="A194" s="1"/>
      <c r="B194" s="1" t="s">
        <v>955</v>
      </c>
      <c r="C194" s="49">
        <v>-4.127</v>
      </c>
      <c r="D194" s="49">
        <v>-2.018</v>
      </c>
      <c r="E194" s="49">
        <v>-6.044</v>
      </c>
      <c r="F194" s="49">
        <v>-10.872</v>
      </c>
      <c r="G194" s="49">
        <v>-7.758</v>
      </c>
      <c r="H194" s="6"/>
      <c r="I194" s="1"/>
      <c r="J194" s="1"/>
    </row>
    <row r="195">
      <c r="A195" s="1"/>
      <c r="B195" s="1" t="s">
        <v>956</v>
      </c>
      <c r="C195" s="49">
        <v>552.82</v>
      </c>
      <c r="D195" s="49">
        <v>629.402</v>
      </c>
      <c r="E195" s="49">
        <v>2198.28</v>
      </c>
      <c r="F195" s="49">
        <v>621.792</v>
      </c>
      <c r="G195" s="49">
        <v>706.298</v>
      </c>
      <c r="H195" s="6"/>
      <c r="I195" s="1"/>
      <c r="J195" s="1"/>
    </row>
    <row r="196">
      <c r="A196" s="1"/>
      <c r="B196" s="1" t="s">
        <v>957</v>
      </c>
      <c r="C196" s="49">
        <v>5.868</v>
      </c>
      <c r="D196" s="49">
        <v>1170.857</v>
      </c>
      <c r="E196" s="49">
        <v>1185.428</v>
      </c>
      <c r="F196" s="49">
        <v>60.904</v>
      </c>
      <c r="G196" s="49">
        <v>192.331</v>
      </c>
      <c r="H196" s="6"/>
      <c r="I196" s="1"/>
      <c r="J196" s="1"/>
    </row>
    <row r="197">
      <c r="A197" s="1"/>
      <c r="B197" s="1" t="s">
        <v>958</v>
      </c>
      <c r="C197" s="49">
        <v>216.643</v>
      </c>
      <c r="D197" s="49">
        <v>344.133</v>
      </c>
      <c r="E197" s="49">
        <v>1392.447</v>
      </c>
      <c r="F197" s="49">
        <v>350.073</v>
      </c>
      <c r="G197" s="49">
        <v>408.98</v>
      </c>
      <c r="H197" s="6"/>
      <c r="I197" s="1"/>
      <c r="J197" s="1"/>
    </row>
    <row r="198">
      <c r="A198" s="1"/>
      <c r="B198" s="1" t="s">
        <v>959</v>
      </c>
      <c r="C198" s="49">
        <v>9.028</v>
      </c>
      <c r="D198" s="49">
        <v>15.174</v>
      </c>
      <c r="E198" s="49">
        <v>52.356</v>
      </c>
      <c r="F198" s="49">
        <v>9.176</v>
      </c>
      <c r="G198" s="49">
        <v>19.859</v>
      </c>
      <c r="H198" s="6"/>
      <c r="I198" s="1"/>
      <c r="J198" s="1"/>
    </row>
    <row r="199">
      <c r="A199" s="1"/>
      <c r="B199" s="1" t="s">
        <v>960</v>
      </c>
      <c r="C199" s="49">
        <v>784.359</v>
      </c>
      <c r="D199" s="49">
        <v>2159.566</v>
      </c>
      <c r="E199" s="49">
        <v>4828.511</v>
      </c>
      <c r="F199" s="49">
        <v>1041.945</v>
      </c>
      <c r="G199" s="49">
        <v>1327.468</v>
      </c>
      <c r="H199" s="6"/>
      <c r="I199" s="1"/>
      <c r="J199" s="1"/>
    </row>
    <row r="200">
      <c r="A200" s="1"/>
      <c r="B200" s="1" t="s">
        <v>961</v>
      </c>
      <c r="C200" s="49">
        <v>-169.059</v>
      </c>
      <c r="D200" s="49">
        <v>-674.551</v>
      </c>
      <c r="E200" s="49">
        <v>-1164.237</v>
      </c>
      <c r="F200" s="49">
        <v>-203.319</v>
      </c>
      <c r="G200" s="49">
        <v>-266.925</v>
      </c>
      <c r="H200" s="6"/>
      <c r="I200" s="1"/>
      <c r="J200" s="1"/>
    </row>
    <row r="201">
      <c r="A201" s="1"/>
      <c r="B201" s="1" t="s">
        <v>962</v>
      </c>
      <c r="C201" s="49">
        <v>-96.66</v>
      </c>
      <c r="D201" s="49">
        <v>-117.178</v>
      </c>
      <c r="E201" s="49">
        <v>-391.309</v>
      </c>
      <c r="F201" s="49">
        <v>-102.894</v>
      </c>
      <c r="G201" s="49">
        <v>-112.3</v>
      </c>
      <c r="H201" s="6"/>
      <c r="I201" s="1"/>
      <c r="J201" s="1"/>
    </row>
    <row r="202">
      <c r="A202" s="1"/>
      <c r="B202" s="1" t="s">
        <v>963</v>
      </c>
      <c r="C202" s="49">
        <v>292.969</v>
      </c>
      <c r="D202" s="49">
        <v>1008.53</v>
      </c>
      <c r="E202" s="49">
        <v>1828.162</v>
      </c>
      <c r="F202" s="49">
        <v>376.483</v>
      </c>
      <c r="G202" s="49">
        <v>519.404</v>
      </c>
      <c r="H202" s="6"/>
      <c r="I202" s="1"/>
      <c r="J202" s="1"/>
    </row>
    <row r="203">
      <c r="A203" s="1"/>
      <c r="B203" s="1" t="s">
        <v>964</v>
      </c>
      <c r="C203" s="49">
        <v>-94.8</v>
      </c>
      <c r="D203" s="49">
        <v>-138.449</v>
      </c>
      <c r="E203" s="49">
        <v>-633.491</v>
      </c>
      <c r="F203" s="49">
        <v>-171.141</v>
      </c>
      <c r="G203" s="49">
        <v>-196.824</v>
      </c>
      <c r="H203" s="6"/>
      <c r="I203" s="1"/>
      <c r="J203" s="1"/>
    </row>
    <row r="204">
      <c r="A204" s="1"/>
      <c r="B204" s="1" t="s">
        <v>965</v>
      </c>
      <c r="C204" s="49">
        <v>130.871</v>
      </c>
      <c r="D204" s="49">
        <v>220.858</v>
      </c>
      <c r="E204" s="49">
        <v>811.312</v>
      </c>
      <c r="F204" s="49">
        <v>188.108</v>
      </c>
      <c r="G204" s="49">
        <v>232.015</v>
      </c>
      <c r="H204" s="6"/>
      <c r="I204" s="1"/>
      <c r="J204" s="1"/>
    </row>
    <row r="205">
      <c r="A205" s="1"/>
      <c r="B205" s="1" t="s">
        <v>966</v>
      </c>
      <c r="C205" s="49">
        <v>423.84</v>
      </c>
      <c r="D205" s="49">
        <v>1229.388</v>
      </c>
      <c r="E205" s="49">
        <v>2639.474</v>
      </c>
      <c r="F205" s="49">
        <v>564.591</v>
      </c>
      <c r="G205" s="49">
        <v>751.419</v>
      </c>
      <c r="H205" s="6"/>
      <c r="I205" s="1"/>
      <c r="J205" s="1"/>
    </row>
    <row r="206">
      <c r="A206" s="1"/>
      <c r="B206" s="1" t="s">
        <v>967</v>
      </c>
      <c r="C206" s="49">
        <v>558.6880000000001</v>
      </c>
      <c r="D206" s="49">
        <v>1800.259</v>
      </c>
      <c r="E206" s="49">
        <v>3383.7080000000005</v>
      </c>
      <c r="F206" s="49">
        <v>682.696</v>
      </c>
      <c r="G206" s="49">
        <v>898.629</v>
      </c>
      <c r="H206" s="6"/>
      <c r="I206" s="1"/>
      <c r="J206" s="1"/>
    </row>
    <row r="207">
      <c r="A207" s="1"/>
      <c r="B207" s="1" t="s">
        <v>968</v>
      </c>
      <c r="C207" s="53">
        <v>0.062</v>
      </c>
      <c r="D207" s="53">
        <v>0.049</v>
      </c>
      <c r="E207" s="53">
        <v>0.166</v>
      </c>
      <c r="F207" s="53">
        <v>0.011</v>
      </c>
      <c r="G207" s="53">
        <v>0.051</v>
      </c>
      <c r="H207" s="50"/>
      <c r="I207" s="1"/>
      <c r="J207" s="1"/>
    </row>
    <row r="208">
      <c r="A208" s="1"/>
      <c r="B208" s="1" t="s">
        <v>969</v>
      </c>
      <c r="C208" s="53">
        <v>0.043</v>
      </c>
      <c r="D208" s="53">
        <v>0.035</v>
      </c>
      <c r="E208" s="53">
        <v>0.101</v>
      </c>
      <c r="F208" s="53">
        <v>0.029</v>
      </c>
      <c r="G208" s="53">
        <v>0.040999999999999995</v>
      </c>
      <c r="H208" s="50"/>
      <c r="I208" s="1"/>
      <c r="J208" s="1"/>
    </row>
    <row r="209">
      <c r="A209" s="1"/>
      <c r="B209" s="1" t="s">
        <v>970</v>
      </c>
      <c r="C209" s="53">
        <v>0.006999999999999999</v>
      </c>
      <c r="D209" s="53">
        <v>0.027999999999999997</v>
      </c>
      <c r="E209" s="53">
        <v>0.078</v>
      </c>
      <c r="F209" s="53">
        <v>0.006</v>
      </c>
      <c r="G209" s="53">
        <v>0.066</v>
      </c>
      <c r="H209" s="50"/>
      <c r="I209" s="1"/>
      <c r="J209" s="1"/>
    </row>
    <row r="210">
      <c r="A210" s="1"/>
      <c r="B210" s="1" t="s">
        <v>971</v>
      </c>
      <c r="C210" s="53">
        <v>0.055</v>
      </c>
      <c r="D210" s="53">
        <v>0.048</v>
      </c>
      <c r="E210" s="53">
        <v>0.21</v>
      </c>
      <c r="F210" s="53">
        <v>0.075</v>
      </c>
      <c r="G210" s="53">
        <v>0.029</v>
      </c>
      <c r="H210" s="50"/>
      <c r="I210" s="1"/>
      <c r="J210" s="1"/>
    </row>
    <row r="211">
      <c r="A211" s="1"/>
      <c r="B211" s="1" t="s">
        <v>972</v>
      </c>
      <c r="C211" s="49">
        <v>1708</v>
      </c>
      <c r="D211" s="49">
        <v>1733</v>
      </c>
      <c r="E211" s="6">
        <f>D211</f>
        <v>1733</v>
      </c>
      <c r="F211" s="49">
        <v>1739</v>
      </c>
      <c r="G211" s="49">
        <v>1869</v>
      </c>
      <c r="H211" s="6"/>
      <c r="I211" s="1"/>
      <c r="J211" s="1"/>
    </row>
    <row r="212">
      <c r="A212" s="1"/>
      <c r="B212" s="1" t="s">
        <v>973</v>
      </c>
      <c r="C212" s="49">
        <v>260</v>
      </c>
      <c r="D212" s="49">
        <v>334</v>
      </c>
      <c r="E212" s="6">
        <f>D212</f>
        <v>334</v>
      </c>
      <c r="F212" s="49">
        <v>253</v>
      </c>
      <c r="G212" s="49">
        <v>344</v>
      </c>
      <c r="H212" s="6"/>
      <c r="I212" s="1"/>
      <c r="J212" s="1"/>
    </row>
    <row r="213">
      <c r="A213" s="1"/>
      <c r="B213" s="1" t="s">
        <v>974</v>
      </c>
      <c r="C213" s="49">
        <v>533</v>
      </c>
      <c r="D213" s="49">
        <v>568</v>
      </c>
      <c r="E213" s="6">
        <f>D213</f>
        <v>568</v>
      </c>
      <c r="F213" s="49">
        <v>545</v>
      </c>
      <c r="G213" s="49">
        <v>515</v>
      </c>
      <c r="H213" s="6"/>
      <c r="I213" s="1"/>
      <c r="J213" s="1"/>
    </row>
    <row r="214">
      <c r="A214" s="1"/>
      <c r="B214" s="1" t="s">
        <v>975</v>
      </c>
      <c r="C214" s="49">
        <v>244</v>
      </c>
      <c r="D214" s="49">
        <v>247</v>
      </c>
      <c r="E214" s="6">
        <f>D214</f>
        <v>247</v>
      </c>
      <c r="F214" s="49">
        <v>257</v>
      </c>
      <c r="G214" s="49">
        <v>266</v>
      </c>
      <c r="H214" s="6"/>
      <c r="I214" s="1"/>
      <c r="J214" s="1"/>
    </row>
    <row r="215">
      <c r="A215" s="1"/>
      <c r="B215" s="1" t="s">
        <v>976</v>
      </c>
      <c r="C215" s="49">
        <v>181</v>
      </c>
      <c r="D215" s="49">
        <v>201</v>
      </c>
      <c r="E215" s="6">
        <f>D215</f>
        <v>201</v>
      </c>
      <c r="F215" s="49">
        <v>200</v>
      </c>
      <c r="G215" s="49">
        <v>227</v>
      </c>
      <c r="H215" s="6"/>
      <c r="I215" s="1"/>
      <c r="J215" s="1"/>
    </row>
    <row r="216">
      <c r="A216" s="1"/>
      <c r="B216" s="1" t="s">
        <v>977</v>
      </c>
      <c r="C216" s="49">
        <v>951</v>
      </c>
      <c r="D216" s="49">
        <v>1072</v>
      </c>
      <c r="E216" s="6">
        <f>D216</f>
        <v>1072</v>
      </c>
      <c r="F216" s="49">
        <v>1144</v>
      </c>
      <c r="G216" s="49">
        <v>1270</v>
      </c>
      <c r="H216" s="6"/>
      <c r="I216" s="1"/>
      <c r="J216" s="1"/>
    </row>
    <row r="217">
      <c r="A217" s="1"/>
      <c r="B217" s="1" t="s">
        <v>978</v>
      </c>
      <c r="C217" s="49">
        <v>568</v>
      </c>
      <c r="D217" s="49">
        <v>84</v>
      </c>
      <c r="E217" s="6">
        <f>D217</f>
        <v>84</v>
      </c>
      <c r="F217" s="49">
        <v>248</v>
      </c>
      <c r="G217" s="49">
        <v>247</v>
      </c>
      <c r="H217" s="6"/>
      <c r="I217" s="1"/>
      <c r="J217" s="1"/>
    </row>
    <row r="218">
      <c r="A218" s="1"/>
      <c r="B218" s="1" t="s">
        <v>979</v>
      </c>
      <c r="C218" s="49">
        <v>145</v>
      </c>
      <c r="D218" s="49">
        <v>197</v>
      </c>
      <c r="E218" s="6">
        <f>D218</f>
        <v>197</v>
      </c>
      <c r="F218" s="49">
        <v>214</v>
      </c>
      <c r="G218" s="49">
        <v>239</v>
      </c>
      <c r="H218" s="6"/>
      <c r="I218" s="1"/>
      <c r="J218" s="1"/>
    </row>
    <row r="219">
      <c r="A219" s="1"/>
      <c r="B219" s="1" t="s">
        <v>980</v>
      </c>
      <c r="C219" s="49">
        <v>240</v>
      </c>
      <c r="D219" s="49">
        <v>229</v>
      </c>
      <c r="E219" s="6">
        <f>D219</f>
        <v>229</v>
      </c>
      <c r="F219" s="49">
        <v>238</v>
      </c>
      <c r="G219" s="49">
        <v>236</v>
      </c>
      <c r="H219" s="6"/>
      <c r="I219" s="1"/>
      <c r="J219" s="1"/>
    </row>
    <row r="220">
      <c r="A220" s="1"/>
      <c r="B220" s="1" t="s">
        <v>981</v>
      </c>
      <c r="C220" s="49">
        <v>251567</v>
      </c>
      <c r="D220" s="49">
        <v>264618</v>
      </c>
      <c r="E220" s="6">
        <f>D220</f>
        <v>264618</v>
      </c>
      <c r="F220" s="49">
        <v>274120</v>
      </c>
      <c r="G220" s="49">
        <v>288931</v>
      </c>
      <c r="H220" s="6"/>
      <c r="I220" s="1"/>
      <c r="J220" s="1"/>
    </row>
    <row r="221">
      <c r="A221" s="1"/>
      <c r="B221" s="1" t="s">
        <v>982</v>
      </c>
      <c r="C221" s="49">
        <v>237286</v>
      </c>
      <c r="D221" s="6">
        <f>C220</f>
        <v>251567</v>
      </c>
      <c r="E221" s="49">
        <v>218189</v>
      </c>
      <c r="F221" s="6">
        <f>D220</f>
        <v>264618</v>
      </c>
      <c r="G221" s="6">
        <f>F220</f>
        <v>274120</v>
      </c>
      <c r="H221" s="6"/>
      <c r="I221" s="1"/>
      <c r="J221" s="1"/>
    </row>
    <row r="222">
      <c r="A222" s="1"/>
      <c r="B222" s="1" t="s">
        <v>983</v>
      </c>
      <c r="C222" s="49">
        <v>15544</v>
      </c>
      <c r="D222" s="49">
        <v>22872</v>
      </c>
      <c r="E222" s="49">
        <v>71530</v>
      </c>
      <c r="F222" s="49">
        <v>20404</v>
      </c>
      <c r="G222" s="49">
        <v>23817</v>
      </c>
      <c r="H222" s="6"/>
      <c r="I222" s="1"/>
      <c r="J222" s="1"/>
    </row>
    <row r="223">
      <c r="A223" s="1"/>
      <c r="B223" s="1" t="s">
        <v>984</v>
      </c>
      <c r="C223" s="49">
        <v>1179</v>
      </c>
      <c r="D223" s="49">
        <v>-3150</v>
      </c>
      <c r="E223" s="49">
        <v>-6392</v>
      </c>
      <c r="F223" s="49">
        <v>-4930</v>
      </c>
      <c r="G223" s="49">
        <v>-5873</v>
      </c>
      <c r="H223" s="6"/>
      <c r="I223" s="1"/>
      <c r="J223" s="1"/>
    </row>
    <row r="224">
      <c r="A224" s="1"/>
      <c r="B224" s="1" t="s">
        <v>985</v>
      </c>
      <c r="C224" s="49">
        <v>16723</v>
      </c>
      <c r="D224" s="49">
        <v>19722</v>
      </c>
      <c r="E224" s="49">
        <v>65138</v>
      </c>
      <c r="F224" s="49">
        <v>15474</v>
      </c>
      <c r="G224" s="49">
        <v>17944</v>
      </c>
      <c r="H224" s="6"/>
      <c r="I224" s="1"/>
      <c r="J224" s="1"/>
    </row>
    <row r="225">
      <c r="A225" s="1"/>
      <c r="B225" s="1" t="s">
        <v>986</v>
      </c>
      <c r="C225" s="49">
        <v>-7185</v>
      </c>
      <c r="D225" s="49">
        <v>-4947</v>
      </c>
      <c r="E225" s="49">
        <v>-23840</v>
      </c>
      <c r="F225" s="49">
        <v>-7851</v>
      </c>
      <c r="G225" s="49">
        <v>-7006</v>
      </c>
      <c r="H225" s="6"/>
      <c r="I225" s="1"/>
      <c r="J225" s="1"/>
    </row>
    <row r="226">
      <c r="A226" s="1"/>
      <c r="B226" s="1" t="s">
        <v>987</v>
      </c>
      <c r="C226" s="49">
        <v>4744</v>
      </c>
      <c r="D226" s="49">
        <v>-1725</v>
      </c>
      <c r="E226" s="49">
        <v>5131</v>
      </c>
      <c r="F226" s="49">
        <v>1880</v>
      </c>
      <c r="G226" s="49">
        <v>3873</v>
      </c>
      <c r="H226" s="6"/>
      <c r="I226" s="1"/>
      <c r="J226" s="1"/>
    </row>
    <row r="227">
      <c r="A227" s="1"/>
      <c r="B227" s="1" t="s">
        <v>988</v>
      </c>
      <c r="C227" s="49">
        <v>244426.489</v>
      </c>
      <c r="D227" s="49">
        <v>258092.495</v>
      </c>
      <c r="E227" s="49">
        <v>240202.094</v>
      </c>
      <c r="F227" s="49">
        <v>269368.943</v>
      </c>
      <c r="G227" s="49">
        <v>281525.781</v>
      </c>
      <c r="H227" s="6"/>
      <c r="I227" s="1"/>
      <c r="J227" s="1"/>
    </row>
    <row r="228">
      <c r="A228" s="1"/>
      <c r="B228" s="1" t="s">
        <v>989</v>
      </c>
      <c r="C228" s="49">
        <v>354742</v>
      </c>
      <c r="D228" s="49">
        <v>375508</v>
      </c>
      <c r="E228" s="6">
        <f>D228</f>
        <v>375508</v>
      </c>
      <c r="F228" s="49">
        <v>388720</v>
      </c>
      <c r="G228" s="49">
        <v>407296</v>
      </c>
      <c r="H228" s="6"/>
      <c r="I228" s="1"/>
      <c r="J228" s="1"/>
    </row>
    <row r="229">
      <c r="A229" s="1"/>
      <c r="B229" s="1" t="s">
        <v>990</v>
      </c>
      <c r="C229" s="49">
        <v>330117</v>
      </c>
      <c r="D229" s="6">
        <f>C228</f>
        <v>354742</v>
      </c>
      <c r="E229" s="49">
        <v>312674</v>
      </c>
      <c r="F229" s="6">
        <f>D228</f>
        <v>375508</v>
      </c>
      <c r="G229" s="6">
        <f>F228</f>
        <v>388720</v>
      </c>
      <c r="H229" s="6"/>
      <c r="I229" s="1"/>
      <c r="J229" s="1"/>
    </row>
    <row r="230">
      <c r="A230" s="1"/>
      <c r="B230" s="1" t="s">
        <v>991</v>
      </c>
      <c r="C230" s="49">
        <v>21390</v>
      </c>
      <c r="D230" s="49">
        <v>34181</v>
      </c>
      <c r="E230" s="49">
        <v>91200</v>
      </c>
      <c r="F230" s="49">
        <v>30349</v>
      </c>
      <c r="G230" s="49">
        <v>26818</v>
      </c>
      <c r="H230" s="6"/>
      <c r="I230" s="1"/>
      <c r="J230" s="1"/>
    </row>
    <row r="231">
      <c r="A231" s="1"/>
      <c r="B231" s="1" t="s">
        <v>992</v>
      </c>
      <c r="C231" s="49">
        <v>6487</v>
      </c>
      <c r="D231" s="49">
        <v>-3907</v>
      </c>
      <c r="E231" s="49">
        <v>-6348</v>
      </c>
      <c r="F231" s="49">
        <v>-6626</v>
      </c>
      <c r="G231" s="49">
        <v>-5287</v>
      </c>
      <c r="H231" s="6"/>
      <c r="I231" s="1"/>
      <c r="J231" s="1"/>
    </row>
    <row r="232">
      <c r="A232" s="1"/>
      <c r="B232" s="1" t="s">
        <v>993</v>
      </c>
      <c r="C232" s="49">
        <v>27877</v>
      </c>
      <c r="D232" s="49">
        <v>30274</v>
      </c>
      <c r="E232" s="49">
        <v>84852</v>
      </c>
      <c r="F232" s="49">
        <v>23723</v>
      </c>
      <c r="G232" s="49">
        <v>21531</v>
      </c>
      <c r="H232" s="6"/>
      <c r="I232" s="1"/>
      <c r="J232" s="1"/>
    </row>
    <row r="233">
      <c r="A233" s="1"/>
      <c r="B233" s="1" t="s">
        <v>986</v>
      </c>
      <c r="C233" s="49">
        <v>-9632</v>
      </c>
      <c r="D233" s="49">
        <v>-8698</v>
      </c>
      <c r="E233" s="49">
        <v>-33319</v>
      </c>
      <c r="F233" s="49">
        <v>-13888</v>
      </c>
      <c r="G233" s="49">
        <v>-9962</v>
      </c>
      <c r="H233" s="6"/>
      <c r="I233" s="1"/>
      <c r="J233" s="1"/>
    </row>
    <row r="234">
      <c r="A234" s="1"/>
      <c r="B234" s="1" t="s">
        <v>987</v>
      </c>
      <c r="C234" s="49">
        <v>6379</v>
      </c>
      <c r="D234" s="49">
        <v>-810</v>
      </c>
      <c r="E234" s="49">
        <v>11300</v>
      </c>
      <c r="F234" s="49">
        <v>3377</v>
      </c>
      <c r="G234" s="49">
        <v>7007</v>
      </c>
      <c r="H234" s="6"/>
      <c r="I234" s="1"/>
      <c r="J234" s="1"/>
    </row>
    <row r="235">
      <c r="A235" s="1"/>
      <c r="B235" s="1" t="s">
        <v>994</v>
      </c>
      <c r="C235" s="49">
        <v>18416.578</v>
      </c>
      <c r="D235" s="49">
        <v>21633.496</v>
      </c>
      <c r="E235" s="49">
        <v>63783.398</v>
      </c>
      <c r="F235" s="49">
        <v>13998.335</v>
      </c>
      <c r="G235" s="49">
        <v>14098</v>
      </c>
      <c r="H235" s="6"/>
      <c r="I235" s="1"/>
      <c r="J235" s="1"/>
    </row>
    <row r="236">
      <c r="A236" s="1"/>
      <c r="B236" s="1" t="s">
        <v>995</v>
      </c>
      <c r="C236" s="49">
        <v>407.947</v>
      </c>
      <c r="D236" s="49">
        <v>411.838</v>
      </c>
      <c r="E236" s="49">
        <v>1561.649</v>
      </c>
      <c r="F236" s="49">
        <v>443.223</v>
      </c>
      <c r="G236" s="49">
        <v>467.657</v>
      </c>
      <c r="H236" s="6"/>
      <c r="I236" s="1"/>
      <c r="J236" s="1"/>
    </row>
    <row r="237">
      <c r="A237" s="1"/>
      <c r="B237" s="1" t="s">
        <v>996</v>
      </c>
      <c r="C237" s="49">
        <v>11.164</v>
      </c>
      <c r="D237" s="49">
        <v>13.154</v>
      </c>
      <c r="E237" s="49">
        <v>44.354</v>
      </c>
      <c r="F237" s="49">
        <v>15.48</v>
      </c>
      <c r="G237" s="49">
        <v>13.98</v>
      </c>
      <c r="H237" s="6"/>
      <c r="I237" s="1"/>
      <c r="J237" s="1"/>
    </row>
    <row r="238">
      <c r="A238" s="1"/>
      <c r="B238" s="1" t="s">
        <v>997</v>
      </c>
      <c r="C238" s="49">
        <v>-1.062</v>
      </c>
      <c r="D238" s="49">
        <v>-21.249</v>
      </c>
      <c r="E238" s="49">
        <v>-24.196</v>
      </c>
      <c r="F238" s="49">
        <v>-11.659</v>
      </c>
      <c r="G238" s="49">
        <v>-11.01</v>
      </c>
      <c r="H238" s="6"/>
      <c r="I238" s="1"/>
      <c r="J238" s="1"/>
    </row>
    <row r="239">
      <c r="A239" s="1"/>
      <c r="B239" s="1" t="s">
        <v>998</v>
      </c>
      <c r="C239" s="49">
        <v>418.049</v>
      </c>
      <c r="D239" s="49">
        <v>403.743</v>
      </c>
      <c r="E239" s="49">
        <v>1581.807</v>
      </c>
      <c r="F239" s="49">
        <v>447.044</v>
      </c>
      <c r="G239" s="49">
        <v>470.627</v>
      </c>
      <c r="H239" s="6"/>
      <c r="I239" s="1"/>
      <c r="J239" s="1"/>
    </row>
    <row r="240">
      <c r="A240" s="1"/>
      <c r="B240" s="1" t="s">
        <v>999</v>
      </c>
      <c r="C240" s="49">
        <v>185.805</v>
      </c>
      <c r="D240" s="49">
        <v>227.986</v>
      </c>
      <c r="E240" s="49">
        <v>747.092</v>
      </c>
      <c r="F240" s="49">
        <v>195.208</v>
      </c>
      <c r="G240" s="49">
        <v>190.129</v>
      </c>
      <c r="H240" s="6"/>
      <c r="I240" s="1"/>
      <c r="J240" s="1"/>
    </row>
    <row r="241">
      <c r="A241" s="1"/>
      <c r="B241" s="1" t="s">
        <v>1000</v>
      </c>
      <c r="C241" s="49">
        <v>42.926</v>
      </c>
      <c r="D241" s="49">
        <v>163.799</v>
      </c>
      <c r="E241" s="49">
        <v>313.092</v>
      </c>
      <c r="F241" s="49">
        <v>91.597</v>
      </c>
      <c r="G241" s="49">
        <v>87.393</v>
      </c>
      <c r="H241" s="6"/>
      <c r="I241" s="1"/>
      <c r="J241" s="1"/>
    </row>
    <row r="242">
      <c r="A242" s="1"/>
      <c r="B242" s="1" t="s">
        <v>1001</v>
      </c>
      <c r="C242" s="49">
        <v>24.239</v>
      </c>
      <c r="D242" s="49">
        <v>8.544</v>
      </c>
      <c r="E242" s="49">
        <v>39.855</v>
      </c>
      <c r="F242" s="49">
        <v>107.903</v>
      </c>
      <c r="G242" s="49">
        <v>5.8</v>
      </c>
      <c r="H242" s="6"/>
      <c r="I242" s="1"/>
      <c r="J242" s="1"/>
    </row>
    <row r="243">
      <c r="A243" s="1"/>
      <c r="B243" s="1" t="s">
        <v>1002</v>
      </c>
      <c r="C243" s="49">
        <v>671.019</v>
      </c>
      <c r="D243" s="49">
        <v>804.072</v>
      </c>
      <c r="E243" s="49">
        <v>2681.846</v>
      </c>
      <c r="F243" s="49">
        <v>841.752</v>
      </c>
      <c r="G243" s="49">
        <v>753.949</v>
      </c>
      <c r="H243" s="6"/>
      <c r="I243" s="1"/>
      <c r="J243" s="1"/>
    </row>
    <row r="244">
      <c r="A244" s="1"/>
      <c r="B244" s="1" t="s">
        <v>1003</v>
      </c>
      <c r="C244" s="49">
        <v>-181.586</v>
      </c>
      <c r="D244" s="49">
        <v>-222.962</v>
      </c>
      <c r="E244" s="49">
        <v>-755.62</v>
      </c>
      <c r="F244" s="49">
        <v>-201.618</v>
      </c>
      <c r="G244" s="49">
        <v>-220.305</v>
      </c>
      <c r="H244" s="6"/>
      <c r="I244" s="1"/>
      <c r="J244" s="1"/>
    </row>
    <row r="245">
      <c r="A245" s="1"/>
      <c r="B245" s="1" t="s">
        <v>1004</v>
      </c>
      <c r="C245" s="49">
        <v>-97.756</v>
      </c>
      <c r="D245" s="49">
        <v>-100.674</v>
      </c>
      <c r="E245" s="49">
        <v>-371.354</v>
      </c>
      <c r="F245" s="49">
        <v>-96.278</v>
      </c>
      <c r="G245" s="49">
        <v>-107.426</v>
      </c>
      <c r="H245" s="6"/>
      <c r="I245" s="1"/>
      <c r="J245" s="1"/>
    </row>
    <row r="246">
      <c r="A246" s="1"/>
      <c r="B246" s="1" t="s">
        <v>1005</v>
      </c>
      <c r="C246" s="49">
        <v>324.512</v>
      </c>
      <c r="D246" s="49">
        <v>308.093</v>
      </c>
      <c r="E246" s="49">
        <v>1201.925</v>
      </c>
      <c r="F246" s="49">
        <v>344.356</v>
      </c>
      <c r="G246" s="49">
        <v>333.025</v>
      </c>
      <c r="H246" s="6"/>
      <c r="I246" s="1"/>
      <c r="J246" s="1"/>
    </row>
    <row r="247">
      <c r="A247" s="1"/>
      <c r="B247" s="1" t="s">
        <v>1006</v>
      </c>
      <c r="C247" s="49">
        <v>-16.489</v>
      </c>
      <c r="D247" s="49">
        <v>-70.266</v>
      </c>
      <c r="E247" s="49">
        <v>-129.814</v>
      </c>
      <c r="F247" s="49">
        <v>-40.495</v>
      </c>
      <c r="G247" s="49">
        <v>-30.433</v>
      </c>
      <c r="H247" s="6"/>
      <c r="I247" s="1"/>
      <c r="J247" s="1"/>
    </row>
    <row r="248">
      <c r="A248" s="1"/>
      <c r="B248" s="1" t="s">
        <v>1007</v>
      </c>
      <c r="C248" s="49">
        <v>50.676</v>
      </c>
      <c r="D248" s="49">
        <v>102.077</v>
      </c>
      <c r="E248" s="49">
        <v>223.133</v>
      </c>
      <c r="F248" s="49">
        <v>159.005</v>
      </c>
      <c r="G248" s="49">
        <v>62.76</v>
      </c>
      <c r="H248" s="6"/>
      <c r="I248" s="1"/>
      <c r="J248" s="1"/>
    </row>
    <row r="249">
      <c r="A249" s="1"/>
      <c r="B249" s="1" t="s">
        <v>1008</v>
      </c>
      <c r="C249" s="49">
        <v>375.188</v>
      </c>
      <c r="D249" s="49">
        <v>410.17</v>
      </c>
      <c r="E249" s="49">
        <v>1425.058</v>
      </c>
      <c r="F249" s="49">
        <v>503.361</v>
      </c>
      <c r="G249" s="49">
        <v>395.785</v>
      </c>
      <c r="H249" s="6"/>
      <c r="I249" s="1"/>
      <c r="J249" s="1"/>
    </row>
    <row r="250">
      <c r="A250" s="1"/>
      <c r="B250" s="1" t="s">
        <v>1009</v>
      </c>
      <c r="C250" s="49">
        <v>603.854</v>
      </c>
      <c r="D250" s="49">
        <v>631.729</v>
      </c>
      <c r="E250" s="49">
        <v>2328.899</v>
      </c>
      <c r="F250" s="49">
        <v>642.252</v>
      </c>
      <c r="G250" s="49">
        <v>660.756</v>
      </c>
      <c r="H250" s="6"/>
      <c r="I250" s="1"/>
      <c r="J250" s="1"/>
    </row>
    <row r="251">
      <c r="A251" s="1"/>
      <c r="B251" s="1" t="s">
        <v>1010</v>
      </c>
      <c r="C251" s="53">
        <v>0.036000000000000004</v>
      </c>
      <c r="D251" s="53">
        <v>0.031</v>
      </c>
      <c r="E251" s="53">
        <v>0.157</v>
      </c>
      <c r="F251" s="53">
        <v>0.027000000000000003</v>
      </c>
      <c r="G251" s="53">
        <v>0.03</v>
      </c>
      <c r="H251" s="50"/>
      <c r="I251" s="1"/>
      <c r="J251" s="1"/>
    </row>
    <row r="252">
      <c r="A252" s="1"/>
      <c r="B252" s="1" t="s">
        <v>1011</v>
      </c>
      <c r="C252" s="53">
        <v>0.024</v>
      </c>
      <c r="D252" s="53">
        <v>0.024</v>
      </c>
      <c r="E252" s="53">
        <v>0.095</v>
      </c>
      <c r="F252" s="53">
        <v>0.005</v>
      </c>
      <c r="G252" s="53">
        <v>0.024</v>
      </c>
      <c r="H252" s="50"/>
      <c r="I252" s="1"/>
      <c r="J252" s="1"/>
    </row>
    <row r="253">
      <c r="A253" s="1"/>
      <c r="B253" s="1" t="s">
        <v>1012</v>
      </c>
      <c r="C253" s="49">
        <v>450</v>
      </c>
      <c r="D253" s="49">
        <v>401</v>
      </c>
      <c r="E253" s="6">
        <f>D253</f>
        <v>401</v>
      </c>
      <c r="F253" s="49">
        <v>374</v>
      </c>
      <c r="G253" s="49">
        <v>369</v>
      </c>
      <c r="H253" s="6"/>
      <c r="I253" s="1"/>
      <c r="J253" s="1"/>
    </row>
    <row r="254">
      <c r="A254" s="1"/>
      <c r="B254" s="1" t="s">
        <v>1013</v>
      </c>
      <c r="C254" s="49">
        <v>74720</v>
      </c>
      <c r="D254" s="49">
        <v>74993</v>
      </c>
      <c r="E254" s="6">
        <f>D254</f>
        <v>74993</v>
      </c>
      <c r="F254" s="49">
        <v>77670</v>
      </c>
      <c r="G254" s="49">
        <v>80196</v>
      </c>
      <c r="H254" s="6"/>
      <c r="I254" s="1"/>
      <c r="J254" s="1"/>
    </row>
    <row r="255">
      <c r="A255" s="1"/>
      <c r="B255" s="1" t="s">
        <v>1014</v>
      </c>
      <c r="C255" s="49">
        <v>71818</v>
      </c>
      <c r="D255" s="6">
        <f>C254</f>
        <v>74720</v>
      </c>
      <c r="E255" s="49">
        <v>68532</v>
      </c>
      <c r="F255" s="6">
        <f>D254</f>
        <v>74993</v>
      </c>
      <c r="G255" s="6">
        <f>F254</f>
        <v>77670</v>
      </c>
      <c r="H255" s="6"/>
      <c r="I255" s="1"/>
      <c r="J255" s="1"/>
    </row>
    <row r="256">
      <c r="A256" s="1"/>
      <c r="B256" s="1" t="s">
        <v>1015</v>
      </c>
      <c r="C256" s="49">
        <v>2415</v>
      </c>
      <c r="D256" s="49">
        <v>2685</v>
      </c>
      <c r="E256" s="49">
        <v>8958</v>
      </c>
      <c r="F256" s="49">
        <v>2431</v>
      </c>
      <c r="G256" s="49">
        <v>2945</v>
      </c>
      <c r="H256" s="6"/>
      <c r="I256" s="1"/>
      <c r="J256" s="1"/>
    </row>
    <row r="257">
      <c r="A257" s="1"/>
      <c r="B257" s="1" t="s">
        <v>1016</v>
      </c>
      <c r="C257" s="49">
        <v>-1236</v>
      </c>
      <c r="D257" s="49">
        <v>-3615</v>
      </c>
      <c r="E257" s="49">
        <v>-8769</v>
      </c>
      <c r="F257" s="49">
        <v>-1036</v>
      </c>
      <c r="G257" s="49">
        <v>-1689</v>
      </c>
      <c r="H257" s="6"/>
      <c r="I257" s="1"/>
      <c r="J257" s="1"/>
    </row>
    <row r="258">
      <c r="A258" s="1"/>
      <c r="B258" s="1" t="s">
        <v>1017</v>
      </c>
      <c r="C258" s="49">
        <v>1179</v>
      </c>
      <c r="D258" s="49">
        <v>-930</v>
      </c>
      <c r="E258" s="49">
        <v>189</v>
      </c>
      <c r="F258" s="49">
        <v>1395</v>
      </c>
      <c r="G258" s="49">
        <v>1256</v>
      </c>
      <c r="H258" s="6"/>
      <c r="I258" s="1"/>
      <c r="J258" s="1"/>
    </row>
    <row r="259">
      <c r="A259" s="1"/>
      <c r="B259" s="1" t="s">
        <v>1018</v>
      </c>
      <c r="C259" s="49">
        <v>-394</v>
      </c>
      <c r="D259" s="49">
        <v>-1102</v>
      </c>
      <c r="E259" s="49">
        <v>-2505</v>
      </c>
      <c r="F259" s="49">
        <v>-693</v>
      </c>
      <c r="G259" s="49">
        <v>-782</v>
      </c>
      <c r="H259" s="6"/>
      <c r="I259" s="1"/>
      <c r="J259" s="1"/>
    </row>
    <row r="260">
      <c r="A260" s="1"/>
      <c r="B260" s="1" t="s">
        <v>1019</v>
      </c>
      <c r="C260" s="49">
        <v>2116</v>
      </c>
      <c r="D260" s="49">
        <v>2305</v>
      </c>
      <c r="E260" s="49">
        <v>8777</v>
      </c>
      <c r="F260" s="49">
        <v>1975</v>
      </c>
      <c r="G260" s="49">
        <v>2053</v>
      </c>
      <c r="H260" s="6"/>
      <c r="I260" s="1"/>
      <c r="J260" s="1"/>
    </row>
    <row r="261">
      <c r="A261" s="1"/>
      <c r="B261" s="1" t="s">
        <v>1020</v>
      </c>
      <c r="C261" s="49">
        <v>73269.154</v>
      </c>
      <c r="D261" s="49">
        <v>74856.626</v>
      </c>
      <c r="E261" s="49">
        <v>72234.642</v>
      </c>
      <c r="F261" s="49">
        <v>76331.477</v>
      </c>
      <c r="G261" s="49">
        <v>78932.915</v>
      </c>
      <c r="H261" s="6"/>
      <c r="I261" s="1"/>
      <c r="J261" s="1"/>
    </row>
    <row r="262">
      <c r="A262" s="1"/>
      <c r="B262" s="1" t="s">
        <v>1021</v>
      </c>
      <c r="C262" s="49">
        <v>83101</v>
      </c>
      <c r="D262" s="49">
        <v>84150</v>
      </c>
      <c r="E262" s="6">
        <f>D262</f>
        <v>84150</v>
      </c>
      <c r="F262" s="49">
        <v>87763</v>
      </c>
      <c r="G262" s="49">
        <v>90009</v>
      </c>
      <c r="H262" s="6"/>
      <c r="I262" s="1"/>
      <c r="J262" s="1"/>
    </row>
    <row r="263">
      <c r="A263" s="1"/>
      <c r="B263" s="1" t="s">
        <v>1022</v>
      </c>
      <c r="C263" s="49">
        <v>79565</v>
      </c>
      <c r="D263" s="6">
        <f>C262</f>
        <v>83101</v>
      </c>
      <c r="E263" s="49">
        <v>76187</v>
      </c>
      <c r="F263" s="6">
        <f>D262</f>
        <v>84150</v>
      </c>
      <c r="G263" s="6">
        <f>F262</f>
        <v>87763</v>
      </c>
      <c r="H263" s="6"/>
      <c r="I263" s="1"/>
      <c r="J263" s="1"/>
    </row>
    <row r="264">
      <c r="A264" s="1"/>
      <c r="B264" s="1" t="s">
        <v>1023</v>
      </c>
      <c r="C264" s="49">
        <v>3115</v>
      </c>
      <c r="D264" s="49">
        <v>3607</v>
      </c>
      <c r="E264" s="49">
        <v>11032</v>
      </c>
      <c r="F264" s="49">
        <v>3425</v>
      </c>
      <c r="G264" s="49">
        <v>2714</v>
      </c>
      <c r="H264" s="6"/>
      <c r="I264" s="1"/>
      <c r="J264" s="1"/>
    </row>
    <row r="265">
      <c r="A265" s="1"/>
      <c r="B265" s="1" t="s">
        <v>1024</v>
      </c>
      <c r="C265" s="49">
        <v>-1385</v>
      </c>
      <c r="D265" s="49">
        <v>-3856</v>
      </c>
      <c r="E265" s="49">
        <v>-9688</v>
      </c>
      <c r="F265" s="49">
        <v>-1124</v>
      </c>
      <c r="G265" s="49">
        <v>-1796</v>
      </c>
      <c r="H265" s="6"/>
      <c r="I265" s="1"/>
      <c r="J265" s="1"/>
    </row>
    <row r="266">
      <c r="A266" s="1"/>
      <c r="B266" s="1" t="s">
        <v>1025</v>
      </c>
      <c r="C266" s="49">
        <v>1730</v>
      </c>
      <c r="D266" s="49">
        <v>-249</v>
      </c>
      <c r="E266" s="49">
        <v>1344</v>
      </c>
      <c r="F266" s="49">
        <v>2301</v>
      </c>
      <c r="G266" s="49">
        <v>918</v>
      </c>
      <c r="H266" s="6"/>
      <c r="I266" s="1"/>
      <c r="J266" s="1"/>
    </row>
    <row r="267">
      <c r="A267" s="1"/>
      <c r="B267" s="1" t="s">
        <v>1018</v>
      </c>
      <c r="C267" s="49">
        <v>-445</v>
      </c>
      <c r="D267" s="49">
        <v>-1179</v>
      </c>
      <c r="E267" s="49">
        <v>-2729</v>
      </c>
      <c r="F267" s="49">
        <v>-825</v>
      </c>
      <c r="G267" s="49">
        <v>-825</v>
      </c>
      <c r="H267" s="6"/>
      <c r="I267" s="1"/>
      <c r="J267" s="1"/>
    </row>
    <row r="268">
      <c r="A268" s="1"/>
      <c r="B268" s="1" t="s">
        <v>1019</v>
      </c>
      <c r="C268" s="49">
        <v>2252</v>
      </c>
      <c r="D268" s="49">
        <v>2477</v>
      </c>
      <c r="E268" s="49">
        <v>9348</v>
      </c>
      <c r="F268" s="49">
        <v>2135</v>
      </c>
      <c r="G268" s="49">
        <v>2154</v>
      </c>
      <c r="H268" s="6"/>
      <c r="I268" s="1"/>
      <c r="J268" s="1"/>
    </row>
    <row r="269">
      <c r="A269" s="1"/>
      <c r="B269" s="1" t="s">
        <v>1026</v>
      </c>
      <c r="C269" s="49">
        <v>571.506</v>
      </c>
      <c r="D269" s="49">
        <v>792.712</v>
      </c>
      <c r="E269" s="49">
        <v>2608.743</v>
      </c>
      <c r="F269" s="49">
        <v>811.84</v>
      </c>
      <c r="G269" s="49">
        <v>1055.265</v>
      </c>
      <c r="H269" s="6"/>
      <c r="I269" s="1"/>
      <c r="J269" s="1"/>
    </row>
    <row r="270">
      <c r="A270" s="1"/>
      <c r="B270" s="1" t="s">
        <v>1027</v>
      </c>
      <c r="C270" s="49">
        <v>119.379</v>
      </c>
      <c r="D270" s="49">
        <v>123.375</v>
      </c>
      <c r="E270" s="49">
        <v>474.395</v>
      </c>
      <c r="F270" s="49">
        <v>120.851</v>
      </c>
      <c r="G270" s="49">
        <v>130.793</v>
      </c>
      <c r="H270" s="6"/>
      <c r="I270" s="1"/>
      <c r="J270" s="1"/>
    </row>
    <row r="271">
      <c r="A271" s="1"/>
      <c r="B271" s="1" t="s">
        <v>1028</v>
      </c>
      <c r="C271" s="49">
        <v>0.94</v>
      </c>
      <c r="D271" s="49">
        <v>0.936</v>
      </c>
      <c r="E271" s="49">
        <v>3.855</v>
      </c>
      <c r="F271" s="49">
        <v>1.463</v>
      </c>
      <c r="G271" s="49">
        <v>1.002</v>
      </c>
      <c r="H271" s="6"/>
      <c r="I271" s="1"/>
      <c r="J271" s="1"/>
    </row>
    <row r="272">
      <c r="A272" s="1"/>
      <c r="B272" s="1" t="s">
        <v>1029</v>
      </c>
      <c r="C272" s="49">
        <v>0</v>
      </c>
      <c r="D272" s="49">
        <v>0</v>
      </c>
      <c r="E272" s="49">
        <v>-0.08</v>
      </c>
      <c r="F272" s="49">
        <v>0</v>
      </c>
      <c r="G272" s="49">
        <v>0</v>
      </c>
      <c r="H272" s="6"/>
      <c r="I272" s="1"/>
      <c r="J272" s="1"/>
    </row>
    <row r="273">
      <c r="A273" s="1"/>
      <c r="B273" s="1" t="s">
        <v>1030</v>
      </c>
      <c r="C273" s="49">
        <v>120.319</v>
      </c>
      <c r="D273" s="49">
        <v>124.311</v>
      </c>
      <c r="E273" s="49">
        <v>478.17</v>
      </c>
      <c r="F273" s="49">
        <v>122.314</v>
      </c>
      <c r="G273" s="49">
        <v>131.795</v>
      </c>
      <c r="H273" s="6"/>
      <c r="I273" s="1"/>
      <c r="J273" s="1"/>
    </row>
    <row r="274">
      <c r="A274" s="1"/>
      <c r="B274" s="1" t="s">
        <v>1031</v>
      </c>
      <c r="C274" s="49">
        <v>5.078</v>
      </c>
      <c r="D274" s="49">
        <v>337.635</v>
      </c>
      <c r="E274" s="49">
        <v>380.518</v>
      </c>
      <c r="F274" s="49">
        <v>-0.657</v>
      </c>
      <c r="G274" s="49">
        <v>13.161</v>
      </c>
      <c r="H274" s="6"/>
      <c r="I274" s="1"/>
      <c r="J274" s="1"/>
    </row>
    <row r="275">
      <c r="A275" s="1"/>
      <c r="B275" s="1" t="s">
        <v>1032</v>
      </c>
      <c r="C275" s="49">
        <v>0.715</v>
      </c>
      <c r="D275" s="49">
        <v>3.04</v>
      </c>
      <c r="E275" s="49">
        <v>-14.207</v>
      </c>
      <c r="F275" s="49">
        <v>0.482</v>
      </c>
      <c r="G275" s="49">
        <v>0.965</v>
      </c>
      <c r="H275" s="6"/>
      <c r="I275" s="1"/>
      <c r="J275" s="1"/>
    </row>
    <row r="276">
      <c r="A276" s="1"/>
      <c r="B276" s="1" t="s">
        <v>1033</v>
      </c>
      <c r="C276" s="49">
        <v>126.112</v>
      </c>
      <c r="D276" s="49">
        <v>464.986</v>
      </c>
      <c r="E276" s="49">
        <v>844.481</v>
      </c>
      <c r="F276" s="49">
        <v>122.139</v>
      </c>
      <c r="G276" s="49">
        <v>145.921</v>
      </c>
      <c r="H276" s="6"/>
      <c r="I276" s="1"/>
      <c r="J276" s="1"/>
    </row>
    <row r="277">
      <c r="A277" s="1"/>
      <c r="B277" s="1" t="s">
        <v>1034</v>
      </c>
      <c r="C277" s="49">
        <v>-37.643</v>
      </c>
      <c r="D277" s="49">
        <v>-30.539</v>
      </c>
      <c r="E277" s="49">
        <v>-144.5</v>
      </c>
      <c r="F277" s="49">
        <v>-41.52</v>
      </c>
      <c r="G277" s="49">
        <v>-42.877</v>
      </c>
      <c r="H277" s="6"/>
      <c r="I277" s="1"/>
      <c r="J277" s="1"/>
    </row>
    <row r="278">
      <c r="A278" s="1"/>
      <c r="B278" s="1" t="s">
        <v>1035</v>
      </c>
      <c r="C278" s="49">
        <v>-25.668</v>
      </c>
      <c r="D278" s="49">
        <v>-29.875</v>
      </c>
      <c r="E278" s="49">
        <v>-105.108</v>
      </c>
      <c r="F278" s="49">
        <v>-24.422</v>
      </c>
      <c r="G278" s="49">
        <v>-25.469</v>
      </c>
      <c r="H278" s="6"/>
      <c r="I278" s="1"/>
      <c r="J278" s="1"/>
    </row>
    <row r="279">
      <c r="A279" s="1"/>
      <c r="B279" s="1" t="s">
        <v>1036</v>
      </c>
      <c r="C279" s="49">
        <v>57.008</v>
      </c>
      <c r="D279" s="49">
        <v>63.897</v>
      </c>
      <c r="E279" s="49">
        <v>228.562</v>
      </c>
      <c r="F279" s="49">
        <v>56.372</v>
      </c>
      <c r="G279" s="49">
        <v>63.449</v>
      </c>
      <c r="H279" s="6"/>
      <c r="I279" s="1"/>
      <c r="J279" s="1"/>
    </row>
    <row r="280">
      <c r="A280" s="1"/>
      <c r="B280" s="1" t="s">
        <v>1037</v>
      </c>
      <c r="C280" s="49">
        <v>-1.52</v>
      </c>
      <c r="D280" s="49">
        <v>-71.788</v>
      </c>
      <c r="E280" s="49">
        <v>-86.93</v>
      </c>
      <c r="F280" s="49">
        <v>-0.518</v>
      </c>
      <c r="G280" s="49">
        <v>-5.228</v>
      </c>
      <c r="H280" s="6"/>
      <c r="I280" s="1"/>
      <c r="J280" s="1"/>
    </row>
    <row r="281">
      <c r="A281" s="1"/>
      <c r="B281" s="1" t="s">
        <v>1038</v>
      </c>
      <c r="C281" s="49">
        <v>4.273</v>
      </c>
      <c r="D281" s="49">
        <v>268.887</v>
      </c>
      <c r="E281" s="49">
        <v>279.381</v>
      </c>
      <c r="F281" s="49">
        <v>-0.693</v>
      </c>
      <c r="G281" s="49">
        <v>8.898</v>
      </c>
      <c r="H281" s="6"/>
      <c r="I281" s="1"/>
      <c r="J281" s="1"/>
    </row>
    <row r="282">
      <c r="A282" s="1"/>
      <c r="B282" s="1" t="s">
        <v>1039</v>
      </c>
      <c r="C282" s="49">
        <v>61.281</v>
      </c>
      <c r="D282" s="49">
        <v>332.784</v>
      </c>
      <c r="E282" s="49">
        <v>507.943</v>
      </c>
      <c r="F282" s="49">
        <v>55.679</v>
      </c>
      <c r="G282" s="49">
        <v>72.347</v>
      </c>
      <c r="H282" s="6"/>
      <c r="I282" s="1"/>
      <c r="J282" s="1"/>
    </row>
    <row r="283">
      <c r="A283" s="1"/>
      <c r="B283" s="1" t="s">
        <v>1040</v>
      </c>
      <c r="C283" s="49">
        <v>120.319</v>
      </c>
      <c r="D283" s="49">
        <v>124.311</v>
      </c>
      <c r="E283" s="49">
        <v>478.17</v>
      </c>
      <c r="F283" s="49">
        <v>122.314</v>
      </c>
      <c r="G283" s="49">
        <v>131.795</v>
      </c>
      <c r="H283" s="6"/>
      <c r="I283" s="1"/>
      <c r="J283" s="1"/>
    </row>
    <row r="284">
      <c r="A284" s="1"/>
      <c r="B284" s="1" t="s">
        <v>1041</v>
      </c>
      <c r="C284" s="53">
        <v>0.022</v>
      </c>
      <c r="D284" s="53">
        <v>0.037000000000000005</v>
      </c>
      <c r="E284" s="53">
        <v>0.132</v>
      </c>
      <c r="F284" s="53">
        <v>0.026</v>
      </c>
      <c r="G284" s="53">
        <v>0.027999999999999997</v>
      </c>
      <c r="H284" s="50"/>
      <c r="I284" s="1"/>
      <c r="J284" s="1"/>
    </row>
    <row r="285">
      <c r="A285" s="1"/>
      <c r="B285" s="1" t="s">
        <v>1042</v>
      </c>
      <c r="C285" s="49">
        <v>105</v>
      </c>
      <c r="D285" s="49">
        <v>30</v>
      </c>
      <c r="E285" s="6">
        <f>D285</f>
        <v>30</v>
      </c>
      <c r="F285" s="49">
        <v>46</v>
      </c>
      <c r="G285" s="49">
        <v>103</v>
      </c>
      <c r="H285" s="6"/>
      <c r="I285" s="1"/>
      <c r="J285" s="1"/>
    </row>
    <row r="286">
      <c r="A286" s="1"/>
      <c r="B286" s="1" t="s">
        <v>1043</v>
      </c>
      <c r="C286" s="49">
        <v>852.417</v>
      </c>
      <c r="D286" s="49">
        <v>720.636</v>
      </c>
      <c r="E286" s="49">
        <v>3294.198</v>
      </c>
      <c r="F286" s="49">
        <v>758.01</v>
      </c>
      <c r="G286" s="49">
        <v>847.266</v>
      </c>
      <c r="H286" s="6"/>
      <c r="I286" s="1"/>
      <c r="J286" s="1"/>
    </row>
    <row r="287">
      <c r="A287" s="1"/>
      <c r="B287" s="1" t="s">
        <v>1044</v>
      </c>
      <c r="C287" s="49">
        <v>784.359</v>
      </c>
      <c r="D287" s="49">
        <v>2159.566</v>
      </c>
      <c r="E287" s="49">
        <v>4828.511</v>
      </c>
      <c r="F287" s="49">
        <v>1041.945</v>
      </c>
      <c r="G287" s="49">
        <v>1327.468</v>
      </c>
      <c r="H287" s="6"/>
      <c r="I287" s="1"/>
      <c r="J287" s="1"/>
    </row>
    <row r="288">
      <c r="A288" s="1"/>
      <c r="B288" s="1" t="s">
        <v>1045</v>
      </c>
      <c r="C288" s="49">
        <v>671.019</v>
      </c>
      <c r="D288" s="49">
        <v>804.072</v>
      </c>
      <c r="E288" s="49">
        <v>2681.846</v>
      </c>
      <c r="F288" s="49">
        <v>841.752</v>
      </c>
      <c r="G288" s="49">
        <v>753.949</v>
      </c>
      <c r="H288" s="6"/>
      <c r="I288" s="1"/>
      <c r="J288" s="1"/>
    </row>
    <row r="289">
      <c r="A289" s="1"/>
      <c r="B289" s="1" t="s">
        <v>1046</v>
      </c>
      <c r="C289" s="49">
        <v>126.112</v>
      </c>
      <c r="D289" s="49">
        <v>464.986</v>
      </c>
      <c r="E289" s="49">
        <v>844.481</v>
      </c>
      <c r="F289" s="49">
        <v>122.139</v>
      </c>
      <c r="G289" s="49">
        <v>145.921</v>
      </c>
      <c r="H289" s="6"/>
      <c r="I289" s="1"/>
      <c r="J289" s="1"/>
    </row>
    <row r="290">
      <c r="A290" s="1"/>
      <c r="B290" s="1" t="s">
        <v>1047</v>
      </c>
      <c r="C290" s="49">
        <v>2433.907</v>
      </c>
      <c r="D290" s="49">
        <v>4149.26</v>
      </c>
      <c r="E290" s="49">
        <v>11649.036</v>
      </c>
      <c r="F290" s="49">
        <v>2763.846</v>
      </c>
      <c r="G290" s="49">
        <v>3074.604</v>
      </c>
      <c r="H290" s="6"/>
      <c r="I290" s="1"/>
      <c r="J290" s="1"/>
    </row>
    <row r="291">
      <c r="A291" s="1"/>
      <c r="B291" s="1" t="s">
        <v>1048</v>
      </c>
      <c r="C291" s="49">
        <v>1710.941</v>
      </c>
      <c r="D291" s="49">
        <v>1773.645</v>
      </c>
      <c r="E291" s="49">
        <v>6780.882</v>
      </c>
      <c r="F291" s="49">
        <v>1807.119</v>
      </c>
      <c r="G291" s="49">
        <v>1876.672</v>
      </c>
      <c r="H291" s="6"/>
      <c r="I291" s="1"/>
      <c r="J291" s="1"/>
    </row>
    <row r="292">
      <c r="A292" s="1"/>
      <c r="B292" s="1" t="s">
        <v>1049</v>
      </c>
      <c r="C292" s="49">
        <v>82.506</v>
      </c>
      <c r="D292" s="49">
        <v>117.708</v>
      </c>
      <c r="E292" s="49">
        <v>399.688</v>
      </c>
      <c r="F292" s="49">
        <v>111.309</v>
      </c>
      <c r="G292" s="49">
        <v>165.69</v>
      </c>
      <c r="H292" s="6"/>
      <c r="I292" s="1"/>
      <c r="J292" s="1"/>
    </row>
    <row r="293">
      <c r="A293" s="1"/>
      <c r="B293" s="1" t="s">
        <v>1050</v>
      </c>
      <c r="C293" s="49">
        <v>-6.713</v>
      </c>
      <c r="D293" s="49">
        <v>-32.062</v>
      </c>
      <c r="E293" s="49">
        <v>-47.036</v>
      </c>
      <c r="F293" s="49">
        <v>-26.43</v>
      </c>
      <c r="G293" s="49">
        <v>-22.35</v>
      </c>
      <c r="H293" s="6"/>
      <c r="I293" s="1"/>
      <c r="J293" s="1"/>
    </row>
    <row r="294">
      <c r="A294" s="1"/>
      <c r="B294" s="1" t="s">
        <v>1051</v>
      </c>
      <c r="C294" s="49">
        <v>1786.734</v>
      </c>
      <c r="D294" s="49">
        <v>1859.291</v>
      </c>
      <c r="E294" s="49">
        <v>7133.534</v>
      </c>
      <c r="F294" s="49">
        <v>1891.998</v>
      </c>
      <c r="G294" s="49">
        <v>2020.012</v>
      </c>
      <c r="H294" s="6"/>
      <c r="I294" s="1"/>
      <c r="J294" s="1"/>
    </row>
    <row r="295">
      <c r="A295" s="1"/>
      <c r="B295" s="1" t="s">
        <v>1052</v>
      </c>
      <c r="C295" s="49">
        <v>264.101</v>
      </c>
      <c r="D295" s="49">
        <v>1399.276</v>
      </c>
      <c r="E295" s="49">
        <v>2135.945</v>
      </c>
      <c r="F295" s="49">
        <v>293.915</v>
      </c>
      <c r="G295" s="49">
        <v>472.05</v>
      </c>
      <c r="H295" s="6"/>
      <c r="I295" s="1"/>
      <c r="J295" s="1"/>
    </row>
    <row r="296">
      <c r="A296" s="1"/>
      <c r="B296" s="1" t="s">
        <v>1053</v>
      </c>
      <c r="C296" s="49">
        <v>2050.835</v>
      </c>
      <c r="D296" s="49">
        <v>3258.567</v>
      </c>
      <c r="E296" s="49">
        <v>9269.479</v>
      </c>
      <c r="F296" s="49">
        <v>2185.913</v>
      </c>
      <c r="G296" s="49">
        <v>2492.062</v>
      </c>
      <c r="H296" s="6"/>
      <c r="I296" s="1"/>
      <c r="J296" s="1"/>
    </row>
    <row r="297">
      <c r="A297" s="1"/>
      <c r="B297" s="1" t="s">
        <v>1054</v>
      </c>
      <c r="C297" s="49">
        <v>383.072</v>
      </c>
      <c r="D297" s="49">
        <v>890.693</v>
      </c>
      <c r="E297" s="49">
        <v>2379.557</v>
      </c>
      <c r="F297" s="49">
        <v>577.933</v>
      </c>
      <c r="G297" s="49">
        <v>582.542</v>
      </c>
      <c r="H297" s="6"/>
      <c r="I297" s="1"/>
      <c r="J297" s="1"/>
    </row>
    <row r="298">
      <c r="A298" s="1"/>
      <c r="B298" s="1" t="s">
        <v>1055</v>
      </c>
      <c r="C298" s="49">
        <v>1794.894</v>
      </c>
      <c r="D298" s="49">
        <v>1879.581</v>
      </c>
      <c r="E298" s="49">
        <v>7188.936</v>
      </c>
      <c r="F298" s="49">
        <v>1904.317</v>
      </c>
      <c r="G298" s="49">
        <v>2035.495</v>
      </c>
      <c r="H298" s="6"/>
      <c r="I298" s="1"/>
      <c r="J298" s="1"/>
    </row>
    <row r="299">
      <c r="A299" s="1"/>
      <c r="B299" s="1" t="s">
        <v>1056</v>
      </c>
      <c r="C299" s="49">
        <v>191.794</v>
      </c>
      <c r="D299" s="49">
        <v>404.744</v>
      </c>
      <c r="E299" s="49">
        <v>964.178</v>
      </c>
      <c r="F299" s="49">
        <v>191.825</v>
      </c>
      <c r="G299" s="49">
        <v>195.414</v>
      </c>
      <c r="H299" s="6"/>
      <c r="I299" s="1"/>
      <c r="J299" s="1"/>
    </row>
    <row r="300">
      <c r="A300" s="1"/>
      <c r="B300" s="1" t="s">
        <v>1057</v>
      </c>
      <c r="C300" s="49">
        <v>414.755</v>
      </c>
      <c r="D300" s="49">
        <v>1858.833</v>
      </c>
      <c r="E300" s="49">
        <v>3457.746</v>
      </c>
      <c r="F300" s="49">
        <v>562.05</v>
      </c>
      <c r="G300" s="49">
        <v>829.82</v>
      </c>
      <c r="H300" s="6"/>
      <c r="I300" s="1"/>
      <c r="J300" s="1"/>
    </row>
    <row r="301">
      <c r="A301" s="1"/>
      <c r="B301" s="1" t="s">
        <v>1058</v>
      </c>
      <c r="C301" s="49">
        <v>1154.918</v>
      </c>
      <c r="D301" s="49">
        <v>-1351.683</v>
      </c>
      <c r="E301" s="49">
        <v>371.407</v>
      </c>
      <c r="F301" s="49">
        <v>263.201</v>
      </c>
      <c r="G301" s="49">
        <v>313.283</v>
      </c>
      <c r="H301" s="6"/>
      <c r="I301" s="1"/>
      <c r="J301" s="1"/>
    </row>
    <row r="302">
      <c r="A302" s="1"/>
      <c r="B302" s="1" t="s">
        <v>1059</v>
      </c>
      <c r="C302" s="49">
        <v>95.235</v>
      </c>
      <c r="D302" s="49">
        <v>84.381</v>
      </c>
      <c r="E302" s="49">
        <v>332.258</v>
      </c>
      <c r="F302" s="49">
        <v>185.542</v>
      </c>
      <c r="G302" s="49">
        <v>97.171</v>
      </c>
      <c r="H302" s="6"/>
      <c r="I302" s="1"/>
      <c r="J302" s="1"/>
    </row>
    <row r="303">
      <c r="A303" s="1"/>
      <c r="B303" s="1" t="s">
        <v>1060</v>
      </c>
      <c r="C303" s="49">
        <v>-1.864</v>
      </c>
      <c r="D303" s="49">
        <v>-47.392</v>
      </c>
      <c r="E303" s="49">
        <v>380.591</v>
      </c>
      <c r="F303" s="49">
        <v>158.713</v>
      </c>
      <c r="G303" s="49">
        <v>365.391</v>
      </c>
      <c r="H303" s="6"/>
      <c r="I303" s="1"/>
      <c r="J303" s="1"/>
    </row>
    <row r="304">
      <c r="A304" s="1"/>
      <c r="B304" s="1" t="s">
        <v>1061</v>
      </c>
      <c r="C304" s="49">
        <v>1663.044</v>
      </c>
      <c r="D304" s="49">
        <v>544.139</v>
      </c>
      <c r="E304" s="49">
        <v>4542.002</v>
      </c>
      <c r="F304" s="49">
        <v>1169.506</v>
      </c>
      <c r="G304" s="49">
        <v>1605.665</v>
      </c>
      <c r="H304" s="6"/>
      <c r="I304" s="1"/>
      <c r="J304" s="1"/>
    </row>
    <row r="305">
      <c r="A305" s="1"/>
      <c r="B305" s="1" t="s">
        <v>1062</v>
      </c>
      <c r="C305" s="49">
        <v>109.774</v>
      </c>
      <c r="D305" s="49">
        <v>98.547</v>
      </c>
      <c r="E305" s="49">
        <v>411.159</v>
      </c>
      <c r="F305" s="49">
        <v>97.42</v>
      </c>
      <c r="G305" s="49">
        <v>100.389</v>
      </c>
      <c r="H305" s="6"/>
      <c r="I305" s="1"/>
      <c r="J305" s="1"/>
    </row>
    <row r="306">
      <c r="A306" s="1"/>
      <c r="B306" s="1" t="s">
        <v>1063</v>
      </c>
      <c r="C306" s="49">
        <v>-96.312</v>
      </c>
      <c r="D306" s="49">
        <v>155.554</v>
      </c>
      <c r="E306" s="49">
        <v>123.693</v>
      </c>
      <c r="F306" s="49">
        <v>-73.61</v>
      </c>
      <c r="G306" s="49">
        <v>-225.063</v>
      </c>
      <c r="H306" s="6"/>
      <c r="I306" s="1"/>
      <c r="J306" s="1"/>
    </row>
    <row r="307">
      <c r="A307" s="1"/>
      <c r="B307" s="1" t="s">
        <v>1064</v>
      </c>
      <c r="C307" s="49">
        <v>3663.194</v>
      </c>
      <c r="D307" s="49">
        <v>3082.565</v>
      </c>
      <c r="E307" s="49">
        <v>13229.968</v>
      </c>
      <c r="F307" s="49">
        <v>3289.458</v>
      </c>
      <c r="G307" s="49">
        <v>3711.9</v>
      </c>
      <c r="H307" s="6"/>
      <c r="I307" s="1"/>
      <c r="J307" s="1"/>
    </row>
    <row r="308">
      <c r="A308" s="1"/>
      <c r="B308" s="1" t="s">
        <v>1065</v>
      </c>
      <c r="C308" s="49">
        <v>732.041</v>
      </c>
      <c r="D308" s="49">
        <v>754.738</v>
      </c>
      <c r="E308" s="49">
        <v>3048.229</v>
      </c>
      <c r="F308" s="49">
        <v>1029.362</v>
      </c>
      <c r="G308" s="49">
        <v>870.358</v>
      </c>
      <c r="H308" s="6"/>
      <c r="I308" s="1"/>
      <c r="J308" s="1"/>
    </row>
    <row r="309">
      <c r="A309" s="1"/>
      <c r="B309" s="1" t="s">
        <v>1066</v>
      </c>
      <c r="C309" s="49">
        <v>73.464</v>
      </c>
      <c r="D309" s="49">
        <v>149.276</v>
      </c>
      <c r="E309" s="49">
        <v>373.586</v>
      </c>
      <c r="F309" s="49">
        <v>57.029</v>
      </c>
      <c r="G309" s="49">
        <v>67.363</v>
      </c>
      <c r="H309" s="6"/>
      <c r="I309" s="1"/>
      <c r="J309" s="1"/>
    </row>
    <row r="310">
      <c r="A310" s="1"/>
      <c r="B310" s="1" t="s">
        <v>1067</v>
      </c>
      <c r="C310" s="49">
        <v>169.74</v>
      </c>
      <c r="D310" s="49">
        <v>742.847</v>
      </c>
      <c r="E310" s="49">
        <v>1432.217</v>
      </c>
      <c r="F310" s="49">
        <v>241.89</v>
      </c>
      <c r="G310" s="49">
        <v>331.191</v>
      </c>
      <c r="H310" s="6"/>
      <c r="I310" s="1"/>
      <c r="J310" s="1"/>
    </row>
    <row r="311">
      <c r="A311" s="1"/>
      <c r="B311" s="1" t="s">
        <v>1068</v>
      </c>
      <c r="C311" s="49">
        <v>465.099</v>
      </c>
      <c r="D311" s="49">
        <v>-607.658</v>
      </c>
      <c r="E311" s="49">
        <v>140.021</v>
      </c>
      <c r="F311" s="49">
        <v>103.559</v>
      </c>
      <c r="G311" s="49">
        <v>152.618</v>
      </c>
      <c r="H311" s="6"/>
      <c r="I311" s="1"/>
      <c r="J311" s="1"/>
    </row>
    <row r="312">
      <c r="A312" s="1"/>
      <c r="B312" s="1" t="s">
        <v>1069</v>
      </c>
      <c r="C312" s="49">
        <v>1440.344</v>
      </c>
      <c r="D312" s="49">
        <v>1039.203</v>
      </c>
      <c r="E312" s="49">
        <v>4994.053</v>
      </c>
      <c r="F312" s="49">
        <v>1431.84</v>
      </c>
      <c r="G312" s="49">
        <v>1421.53</v>
      </c>
      <c r="H312" s="6"/>
      <c r="I312" s="1"/>
      <c r="J312" s="1"/>
    </row>
    <row r="313">
      <c r="A313" s="1"/>
      <c r="B313" s="1" t="s">
        <v>1070</v>
      </c>
      <c r="C313" s="49">
        <v>340.945</v>
      </c>
      <c r="D313" s="49">
        <v>339.086</v>
      </c>
      <c r="E313" s="49">
        <v>1361.909</v>
      </c>
      <c r="F313" s="49">
        <v>332.373</v>
      </c>
      <c r="G313" s="49">
        <v>360.817</v>
      </c>
      <c r="H313" s="6"/>
      <c r="I313" s="1"/>
      <c r="J313" s="1"/>
    </row>
    <row r="314">
      <c r="A314" s="1"/>
      <c r="B314" s="1" t="s">
        <v>1071</v>
      </c>
      <c r="C314" s="49">
        <v>111.337</v>
      </c>
      <c r="D314" s="49">
        <v>115.532</v>
      </c>
      <c r="E314" s="49">
        <v>443.688</v>
      </c>
      <c r="F314" s="49">
        <v>118.115</v>
      </c>
      <c r="G314" s="49">
        <v>135.822</v>
      </c>
      <c r="H314" s="6"/>
      <c r="I314" s="1"/>
      <c r="J314" s="1"/>
    </row>
    <row r="315">
      <c r="A315" s="1"/>
      <c r="B315" s="1" t="s">
        <v>1072</v>
      </c>
      <c r="C315" s="49">
        <v>3.47</v>
      </c>
      <c r="D315" s="49">
        <v>6.296</v>
      </c>
      <c r="E315" s="49">
        <v>19.676</v>
      </c>
      <c r="F315" s="49">
        <v>12.104</v>
      </c>
      <c r="G315" s="49">
        <v>14.434</v>
      </c>
      <c r="H315" s="6"/>
      <c r="I315" s="1"/>
      <c r="J315" s="1"/>
    </row>
    <row r="316">
      <c r="A316" s="1"/>
      <c r="B316" s="1" t="s">
        <v>1073</v>
      </c>
      <c r="C316" s="49">
        <v>1896.096</v>
      </c>
      <c r="D316" s="49">
        <v>1500.117</v>
      </c>
      <c r="E316" s="49">
        <v>6819.326</v>
      </c>
      <c r="F316" s="49">
        <v>1894.432</v>
      </c>
      <c r="G316" s="49">
        <v>1932.603</v>
      </c>
      <c r="H316" s="6"/>
      <c r="I316" s="1"/>
      <c r="J316" s="1"/>
    </row>
    <row r="317">
      <c r="A317" s="1"/>
      <c r="B317" s="1" t="s">
        <v>1074</v>
      </c>
      <c r="C317" s="6"/>
      <c r="D317" s="6"/>
      <c r="E317" s="6"/>
      <c r="F317" s="49">
        <v>0</v>
      </c>
      <c r="G317" s="49">
        <v>0</v>
      </c>
      <c r="H317" s="6"/>
      <c r="I317" s="1"/>
      <c r="J317" s="1"/>
    </row>
    <row r="318">
      <c r="A318" s="1"/>
      <c r="B318" s="1" t="s">
        <v>1075</v>
      </c>
      <c r="C318" s="49">
        <v>42.842</v>
      </c>
      <c r="D318" s="49">
        <v>20.075</v>
      </c>
      <c r="E318" s="49">
        <v>90.084</v>
      </c>
      <c r="F318" s="49">
        <v>57.575</v>
      </c>
      <c r="G318" s="49">
        <v>136.33</v>
      </c>
      <c r="H318" s="6"/>
      <c r="I318" s="1"/>
      <c r="J318" s="1"/>
    </row>
    <row r="319">
      <c r="A319" s="1"/>
      <c r="B319" s="1" t="s">
        <v>1076</v>
      </c>
      <c r="C319" s="49">
        <v>1809.94</v>
      </c>
      <c r="D319" s="49">
        <v>1561.277</v>
      </c>
      <c r="E319" s="49">
        <v>6459.48</v>
      </c>
      <c r="F319" s="49">
        <v>1452.601</v>
      </c>
      <c r="G319" s="49">
        <v>1915.627</v>
      </c>
      <c r="H319" s="6"/>
      <c r="I319" s="1"/>
      <c r="J319" s="1"/>
    </row>
    <row r="320">
      <c r="A320" s="1"/>
      <c r="B320" s="1" t="s">
        <v>1077</v>
      </c>
      <c r="C320" s="49">
        <v>245.303</v>
      </c>
      <c r="D320" s="49">
        <v>232.451</v>
      </c>
      <c r="E320" s="49">
        <v>1021.671</v>
      </c>
      <c r="F320" s="49">
        <v>243.827</v>
      </c>
      <c r="G320" s="49">
        <v>289.494</v>
      </c>
      <c r="H320" s="6"/>
      <c r="I320" s="1"/>
      <c r="J320" s="1"/>
    </row>
    <row r="321">
      <c r="A321" s="1"/>
      <c r="B321" s="1" t="s">
        <v>1078</v>
      </c>
      <c r="C321" s="49">
        <v>1564.637</v>
      </c>
      <c r="D321" s="49">
        <v>1328.826</v>
      </c>
      <c r="E321" s="49">
        <v>5437.809</v>
      </c>
      <c r="F321" s="49">
        <v>1208.774</v>
      </c>
      <c r="G321" s="49">
        <v>1626.133</v>
      </c>
      <c r="H321" s="6"/>
      <c r="I321" s="1"/>
      <c r="J321" s="1"/>
    </row>
    <row r="322">
      <c r="A322" s="1"/>
      <c r="B322" s="1" t="s">
        <v>1079</v>
      </c>
      <c r="C322" s="49">
        <v>-22.184</v>
      </c>
      <c r="D322" s="49">
        <v>0.306</v>
      </c>
      <c r="E322" s="49">
        <v>-61.289</v>
      </c>
      <c r="F322" s="49">
        <v>7.9</v>
      </c>
      <c r="G322" s="49">
        <v>18.209</v>
      </c>
      <c r="H322" s="6"/>
      <c r="I322" s="1"/>
      <c r="J322" s="1"/>
    </row>
    <row r="323">
      <c r="A323" s="1"/>
      <c r="B323" s="1" t="s">
        <v>1080</v>
      </c>
      <c r="C323" s="49">
        <v>202.929</v>
      </c>
      <c r="D323" s="49">
        <v>67.487</v>
      </c>
      <c r="E323" s="49">
        <v>473.826</v>
      </c>
      <c r="F323" s="49">
        <v>100.547</v>
      </c>
      <c r="G323" s="49">
        <v>240.836</v>
      </c>
      <c r="H323" s="6"/>
      <c r="I323" s="1"/>
      <c r="J323" s="1"/>
    </row>
    <row r="324">
      <c r="A324" s="1"/>
      <c r="B324" s="1" t="s">
        <v>1081</v>
      </c>
      <c r="C324" s="49">
        <v>603.057</v>
      </c>
      <c r="D324" s="49">
        <v>557.16</v>
      </c>
      <c r="E324" s="49">
        <v>2248.764</v>
      </c>
      <c r="F324" s="49">
        <v>485.475</v>
      </c>
      <c r="G324" s="49">
        <v>602.844</v>
      </c>
      <c r="H324" s="6"/>
      <c r="I324" s="1"/>
      <c r="J324" s="1"/>
    </row>
    <row r="325">
      <c r="A325" s="1"/>
      <c r="B325" s="1" t="s">
        <v>1082</v>
      </c>
      <c r="C325" s="49">
        <v>780.835</v>
      </c>
      <c r="D325" s="49">
        <v>703.873</v>
      </c>
      <c r="E325" s="49">
        <v>2776.508</v>
      </c>
      <c r="F325" s="49">
        <v>614.852</v>
      </c>
      <c r="G325" s="49">
        <v>764.244</v>
      </c>
      <c r="H325" s="6"/>
      <c r="I325" s="1"/>
      <c r="J325" s="1"/>
    </row>
    <row r="326">
      <c r="A326" s="1"/>
      <c r="B326" s="1" t="s">
        <v>1083</v>
      </c>
      <c r="C326" s="6"/>
      <c r="D326" s="6"/>
      <c r="E326" s="6"/>
      <c r="F326" s="6"/>
      <c r="G326" s="49">
        <v>136.407</v>
      </c>
      <c r="H326" s="6"/>
      <c r="I326" s="1"/>
      <c r="J326" s="1"/>
    </row>
    <row r="327">
      <c r="A327" s="1"/>
      <c r="B327" s="1" t="s">
        <v>1084</v>
      </c>
      <c r="C327" s="49">
        <v>264.101</v>
      </c>
      <c r="D327" s="49">
        <v>1399.276</v>
      </c>
      <c r="E327" s="49">
        <v>2135.945</v>
      </c>
      <c r="F327" s="49">
        <v>293.915</v>
      </c>
      <c r="G327" s="49">
        <v>472.05</v>
      </c>
      <c r="H327" s="6"/>
      <c r="I327" s="1"/>
      <c r="J327" s="1"/>
    </row>
    <row r="328">
      <c r="A328" s="1"/>
      <c r="B328" s="1" t="s">
        <v>1085</v>
      </c>
      <c r="C328" s="49">
        <v>2050.835</v>
      </c>
      <c r="D328" s="49">
        <v>3258.567</v>
      </c>
      <c r="E328" s="49">
        <v>9269.479</v>
      </c>
      <c r="F328" s="49">
        <v>2185.913</v>
      </c>
      <c r="G328" s="49">
        <v>2492.062</v>
      </c>
      <c r="H328" s="6"/>
      <c r="I328" s="1"/>
      <c r="J328" s="1"/>
    </row>
    <row r="329">
      <c r="A329" s="1"/>
      <c r="B329" s="1" t="s">
        <v>1086</v>
      </c>
      <c r="C329" s="49">
        <v>1175.157</v>
      </c>
      <c r="D329" s="49">
        <v>1835.921</v>
      </c>
      <c r="E329" s="49">
        <v>5282.065</v>
      </c>
      <c r="F329" s="49">
        <v>1262.056</v>
      </c>
      <c r="G329" s="49">
        <v>1459.503</v>
      </c>
      <c r="H329" s="6"/>
      <c r="I329" s="1"/>
      <c r="J329" s="1"/>
    </row>
    <row r="330">
      <c r="A330" s="1"/>
      <c r="B330" s="1" t="s">
        <v>1087</v>
      </c>
      <c r="C330" s="49">
        <v>342.669</v>
      </c>
      <c r="D330" s="49">
        <v>865.08</v>
      </c>
      <c r="E330" s="49">
        <v>2287.031</v>
      </c>
      <c r="F330" s="49">
        <v>460.023</v>
      </c>
      <c r="G330" s="49">
        <v>553.121</v>
      </c>
      <c r="H330" s="6"/>
      <c r="I330" s="1"/>
      <c r="J330" s="1"/>
    </row>
    <row r="331">
      <c r="A331" s="1"/>
      <c r="B331" s="1" t="s">
        <v>1088</v>
      </c>
      <c r="C331" s="49">
        <v>40.403</v>
      </c>
      <c r="D331" s="49">
        <v>25.613</v>
      </c>
      <c r="E331" s="49">
        <v>92.526</v>
      </c>
      <c r="F331" s="49">
        <v>117.91</v>
      </c>
      <c r="G331" s="49">
        <v>29.421</v>
      </c>
      <c r="H331" s="6"/>
      <c r="I331" s="1"/>
      <c r="J331" s="1"/>
    </row>
    <row r="332">
      <c r="A332" s="1"/>
      <c r="B332" s="1" t="s">
        <v>1089</v>
      </c>
      <c r="C332" s="49">
        <v>225.502</v>
      </c>
      <c r="D332" s="49">
        <v>601.098</v>
      </c>
      <c r="E332" s="49">
        <v>1428.311</v>
      </c>
      <c r="F332" s="49">
        <v>357.009</v>
      </c>
      <c r="G332" s="49">
        <v>325.918</v>
      </c>
      <c r="H332" s="6"/>
      <c r="I332" s="1"/>
      <c r="J332" s="1"/>
    </row>
    <row r="333">
      <c r="A333" s="1"/>
      <c r="B333" s="1" t="s">
        <v>1090</v>
      </c>
      <c r="C333" s="49">
        <v>1400.659</v>
      </c>
      <c r="D333" s="49">
        <v>2437.019</v>
      </c>
      <c r="E333" s="49">
        <v>6710.376</v>
      </c>
      <c r="F333" s="49">
        <v>1619.065</v>
      </c>
      <c r="G333" s="49">
        <v>1785.421</v>
      </c>
      <c r="H333" s="6"/>
      <c r="I333" s="1"/>
      <c r="J333" s="1"/>
    </row>
    <row r="334">
      <c r="A334" s="1"/>
      <c r="B334" s="1" t="s">
        <v>1091</v>
      </c>
      <c r="C334" s="49">
        <v>-1.731</v>
      </c>
      <c r="D334" s="49">
        <v>-18.48</v>
      </c>
      <c r="E334" s="49">
        <v>-33.437</v>
      </c>
      <c r="F334" s="49">
        <v>-20.53</v>
      </c>
      <c r="G334" s="49">
        <v>-24.643</v>
      </c>
      <c r="H334" s="6"/>
      <c r="I334" s="1"/>
      <c r="J334" s="1"/>
    </row>
    <row r="335">
      <c r="A335" s="1"/>
      <c r="B335" s="1" t="s">
        <v>1092</v>
      </c>
      <c r="C335" s="49">
        <v>-120.278</v>
      </c>
      <c r="D335" s="49">
        <v>-249.046</v>
      </c>
      <c r="E335" s="49">
        <v>-710.197</v>
      </c>
      <c r="F335" s="49">
        <v>-187.73</v>
      </c>
      <c r="G335" s="49">
        <v>-195.015</v>
      </c>
      <c r="H335" s="6"/>
      <c r="I335" s="1"/>
      <c r="J335" s="1"/>
    </row>
    <row r="336">
      <c r="A336" s="1"/>
      <c r="B336" s="1" t="s">
        <v>1093</v>
      </c>
      <c r="C336" s="49">
        <v>1398.928</v>
      </c>
      <c r="D336" s="49">
        <v>2418.539</v>
      </c>
      <c r="E336" s="49">
        <v>6676.939</v>
      </c>
      <c r="F336" s="49">
        <v>1598.535</v>
      </c>
      <c r="G336" s="49">
        <v>1760.778</v>
      </c>
      <c r="H336" s="6"/>
      <c r="I336" s="1"/>
      <c r="J336" s="1"/>
    </row>
    <row r="337">
      <c r="A337" s="1"/>
      <c r="B337" s="1" t="s">
        <v>1094</v>
      </c>
      <c r="C337" s="49">
        <v>1278.65</v>
      </c>
      <c r="D337" s="49">
        <v>2169.493</v>
      </c>
      <c r="E337" s="49">
        <v>5966.742</v>
      </c>
      <c r="F337" s="49">
        <v>1410.805</v>
      </c>
      <c r="G337" s="49">
        <v>1565.763</v>
      </c>
      <c r="H337" s="6"/>
      <c r="I337" s="1"/>
      <c r="J337" s="1"/>
    </row>
    <row r="338">
      <c r="A338" s="1"/>
      <c r="B338" s="1" t="s">
        <v>1095</v>
      </c>
      <c r="C338" s="6"/>
      <c r="D338" s="6"/>
      <c r="E338" s="6"/>
      <c r="F338" s="49">
        <v>18.824</v>
      </c>
      <c r="G338" s="49">
        <v>10.381</v>
      </c>
      <c r="H338" s="6"/>
      <c r="I338" s="1"/>
      <c r="J338" s="1"/>
    </row>
    <row r="339">
      <c r="A339" s="1"/>
      <c r="B339" s="1" t="s">
        <v>1096</v>
      </c>
      <c r="C339" s="6"/>
      <c r="D339" s="6"/>
      <c r="E339" s="6"/>
      <c r="F339" s="49">
        <v>7.333</v>
      </c>
      <c r="G339" s="49">
        <v>7.333</v>
      </c>
      <c r="H339" s="6"/>
      <c r="I339" s="1"/>
      <c r="J339" s="1"/>
    </row>
    <row r="340">
      <c r="A340" s="1"/>
      <c r="B340" s="1" t="s">
        <v>1097</v>
      </c>
      <c r="C340" s="6"/>
      <c r="D340" s="6"/>
      <c r="E340" s="6"/>
      <c r="F340" s="49">
        <v>-108.447</v>
      </c>
      <c r="G340" s="49">
        <v>-259.045</v>
      </c>
      <c r="H340" s="6"/>
      <c r="I340" s="1"/>
      <c r="J340" s="1"/>
    </row>
    <row r="341">
      <c r="A341" s="1"/>
      <c r="B341" s="1" t="s">
        <v>1098</v>
      </c>
      <c r="C341" s="6"/>
      <c r="D341" s="6"/>
      <c r="E341" s="6"/>
      <c r="F341" s="49">
        <v>-263.201</v>
      </c>
      <c r="G341" s="49">
        <v>-313.256</v>
      </c>
      <c r="H341" s="6"/>
      <c r="I341" s="1"/>
      <c r="J341" s="1"/>
    </row>
    <row r="342">
      <c r="A342" s="1"/>
      <c r="B342" s="1" t="s">
        <v>1099</v>
      </c>
      <c r="C342" s="6"/>
      <c r="D342" s="6"/>
      <c r="E342" s="6"/>
      <c r="F342" s="49">
        <v>103.559</v>
      </c>
      <c r="G342" s="49">
        <v>152.618</v>
      </c>
      <c r="H342" s="6"/>
      <c r="I342" s="1"/>
      <c r="J342" s="1"/>
    </row>
    <row r="343">
      <c r="A343" s="1"/>
      <c r="B343" s="1" t="s">
        <v>1100</v>
      </c>
      <c r="C343" s="6"/>
      <c r="D343" s="6"/>
      <c r="E343" s="6"/>
      <c r="F343" s="49">
        <v>-161.257</v>
      </c>
      <c r="G343" s="49">
        <v>-294.093</v>
      </c>
      <c r="H343" s="6"/>
      <c r="I343" s="1"/>
      <c r="J343" s="1"/>
    </row>
    <row r="344">
      <c r="A344" s="1"/>
      <c r="B344" s="1" t="s">
        <v>1101</v>
      </c>
      <c r="C344" s="6"/>
      <c r="D344" s="6"/>
      <c r="E344" s="6"/>
      <c r="F344" s="49">
        <v>73.635</v>
      </c>
      <c r="G344" s="49">
        <v>225.083</v>
      </c>
      <c r="H344" s="6"/>
      <c r="I344" s="1"/>
      <c r="J344" s="1"/>
    </row>
    <row r="345">
      <c r="A345" s="1"/>
      <c r="B345" s="1" t="s">
        <v>1102</v>
      </c>
      <c r="C345" s="6"/>
      <c r="D345" s="6"/>
      <c r="E345" s="6"/>
      <c r="F345" s="49">
        <v>471.302</v>
      </c>
      <c r="G345" s="49">
        <v>312.018</v>
      </c>
      <c r="H345" s="6"/>
      <c r="I345" s="1"/>
      <c r="J345" s="1"/>
    </row>
    <row r="346">
      <c r="A346" s="1"/>
      <c r="B346" s="1" t="s">
        <v>1103</v>
      </c>
      <c r="C346" s="6"/>
      <c r="D346" s="6"/>
      <c r="E346" s="6"/>
      <c r="F346" s="49">
        <v>4.186</v>
      </c>
      <c r="G346" s="49">
        <v>4.112</v>
      </c>
      <c r="H346" s="6"/>
      <c r="I346" s="1"/>
      <c r="J346" s="1"/>
    </row>
    <row r="347">
      <c r="A347" s="1"/>
      <c r="B347" s="1" t="s">
        <v>1092</v>
      </c>
      <c r="C347" s="6"/>
      <c r="D347" s="6"/>
      <c r="E347" s="6"/>
      <c r="F347" s="49">
        <v>-187.73</v>
      </c>
      <c r="G347" s="49">
        <v>-195.015</v>
      </c>
      <c r="H347" s="6"/>
      <c r="I347" s="1"/>
      <c r="J347" s="1"/>
    </row>
    <row r="348">
      <c r="A348" s="1"/>
      <c r="B348" s="1" t="s">
        <v>1104</v>
      </c>
      <c r="C348" s="6"/>
      <c r="D348" s="6"/>
      <c r="E348" s="6"/>
      <c r="F348" s="49">
        <v>138.425</v>
      </c>
      <c r="G348" s="49">
        <v>142.664</v>
      </c>
      <c r="H348" s="6"/>
      <c r="I348" s="1"/>
      <c r="J348" s="1"/>
    </row>
    <row r="349">
      <c r="A349" s="1"/>
      <c r="B349" s="1" t="s">
        <v>1105</v>
      </c>
      <c r="C349" s="6"/>
      <c r="D349" s="6"/>
      <c r="E349" s="6"/>
      <c r="F349" s="49">
        <v>980.44</v>
      </c>
      <c r="G349" s="49">
        <v>1086.833</v>
      </c>
      <c r="H349" s="6"/>
      <c r="I349" s="1"/>
      <c r="J349" s="1"/>
    </row>
    <row r="350">
      <c r="A350" s="1"/>
      <c r="B350" s="1" t="s">
        <v>1106</v>
      </c>
      <c r="C350" s="6"/>
      <c r="D350" s="6"/>
      <c r="E350" s="6"/>
      <c r="F350" s="49">
        <v>842.015</v>
      </c>
      <c r="G350" s="49">
        <v>944.169</v>
      </c>
      <c r="H350" s="6"/>
      <c r="I350" s="1"/>
      <c r="J350" s="1"/>
    </row>
    <row r="351">
      <c r="A351" s="1"/>
      <c r="B351" s="1" t="s">
        <v>1107</v>
      </c>
      <c r="C351" s="88">
        <v>1.01</v>
      </c>
      <c r="D351" s="88">
        <v>1.69</v>
      </c>
      <c r="E351" s="88">
        <v>4.64</v>
      </c>
      <c r="F351" s="88">
        <v>1.09</v>
      </c>
      <c r="G351" s="88">
        <v>1.21</v>
      </c>
      <c r="H351" s="9"/>
      <c r="I351" s="1"/>
      <c r="J351" s="1"/>
    </row>
    <row r="352">
      <c r="A352" s="1"/>
      <c r="B352" s="1" t="s">
        <v>1108</v>
      </c>
      <c r="C352" s="88">
        <v>0.87</v>
      </c>
      <c r="D352" s="88">
        <v>1.44</v>
      </c>
      <c r="E352" s="88">
        <v>3.95</v>
      </c>
      <c r="F352" s="88">
        <v>0.93</v>
      </c>
      <c r="G352" s="88">
        <v>1.03</v>
      </c>
      <c r="H352" s="9"/>
      <c r="I352" s="1"/>
      <c r="J352" s="1"/>
    </row>
    <row r="353">
      <c r="A353" s="1"/>
      <c r="B353" s="1" t="s">
        <v>1109</v>
      </c>
      <c r="C353" s="49">
        <v>111.326</v>
      </c>
      <c r="D353" s="49">
        <v>117.027</v>
      </c>
      <c r="E353" s="6"/>
      <c r="F353" s="49">
        <v>117.95</v>
      </c>
      <c r="G353" s="49">
        <v>125.033</v>
      </c>
      <c r="H353" s="6"/>
      <c r="I353" s="1"/>
      <c r="J353" s="1"/>
    </row>
    <row r="354">
      <c r="A354" s="1"/>
      <c r="B354" s="1" t="s">
        <v>1110</v>
      </c>
      <c r="C354" s="49">
        <v>24.685</v>
      </c>
      <c r="D354" s="49">
        <v>22.682</v>
      </c>
      <c r="E354" s="6"/>
      <c r="F354" s="49">
        <v>22.226</v>
      </c>
      <c r="G354" s="49">
        <v>26.642</v>
      </c>
      <c r="H354" s="6"/>
      <c r="I354" s="1"/>
      <c r="J354" s="1"/>
    </row>
    <row r="355">
      <c r="A355" s="1"/>
      <c r="B355" s="1" t="s">
        <v>1111</v>
      </c>
      <c r="C355" s="6"/>
      <c r="D355" s="49">
        <v>768.689957</v>
      </c>
      <c r="E355" s="49">
        <v>766.48745</v>
      </c>
      <c r="F355" s="49">
        <v>771.796385</v>
      </c>
      <c r="G355" s="49">
        <v>782.386121</v>
      </c>
      <c r="H355" s="6"/>
      <c r="I355" s="1"/>
      <c r="J355" s="1"/>
    </row>
    <row r="356">
      <c r="A356" s="1"/>
      <c r="B356" s="1" t="s">
        <v>1112</v>
      </c>
      <c r="C356" s="6"/>
      <c r="D356" s="49">
        <v>0.080028</v>
      </c>
      <c r="E356" s="49">
        <v>0.159058</v>
      </c>
      <c r="F356" s="49">
        <v>0.638217</v>
      </c>
      <c r="G356" s="49">
        <v>0.015116</v>
      </c>
      <c r="H356" s="6"/>
      <c r="I356" s="1"/>
      <c r="J356" s="1"/>
    </row>
    <row r="357">
      <c r="A357" s="1"/>
      <c r="B357" s="1" t="s">
        <v>1113</v>
      </c>
      <c r="C357" s="6"/>
      <c r="D357" s="6">
        <f>D355+D356</f>
        <v>768.769985</v>
      </c>
      <c r="E357" s="6">
        <f>E355+E356</f>
        <v>766.6465079999999</v>
      </c>
      <c r="F357" s="6">
        <f>F355+F356</f>
        <v>772.434602</v>
      </c>
      <c r="G357" s="6">
        <f>G355+G356</f>
        <v>782.401237</v>
      </c>
      <c r="H357" s="6"/>
      <c r="I357" s="1"/>
      <c r="J357" s="1"/>
    </row>
    <row r="358">
      <c r="A358" s="1"/>
      <c r="B358" s="1" t="s">
        <v>1114</v>
      </c>
      <c r="C358" s="6"/>
      <c r="D358" s="49">
        <v>731.925965</v>
      </c>
      <c r="E358" s="6">
        <f>D358</f>
        <v>731.925965</v>
      </c>
      <c r="F358" s="49">
        <v>737.929437</v>
      </c>
      <c r="G358" s="49">
        <v>739.055944</v>
      </c>
      <c r="H358" s="6"/>
      <c r="I358" s="1"/>
      <c r="J358" s="1"/>
    </row>
    <row r="359">
      <c r="A359" s="1"/>
      <c r="B359" s="1" t="s">
        <v>1115</v>
      </c>
      <c r="C359" s="6"/>
      <c r="D359" s="49">
        <v>36.796276</v>
      </c>
      <c r="E359" s="6">
        <f>D359</f>
        <v>36.796276</v>
      </c>
      <c r="F359" s="49">
        <v>35.109497</v>
      </c>
      <c r="G359" s="49">
        <v>43.511446</v>
      </c>
      <c r="H359" s="6"/>
      <c r="I359" s="1"/>
      <c r="J359" s="1"/>
    </row>
    <row r="360">
      <c r="A360" s="1"/>
      <c r="B360" s="1" t="s">
        <v>1116</v>
      </c>
      <c r="C360" s="6"/>
      <c r="D360" s="6">
        <f>D358+D359</f>
        <v>768.722241</v>
      </c>
      <c r="E360" s="6">
        <f>E358+E359</f>
        <v>768.722241</v>
      </c>
      <c r="F360" s="6">
        <f>F358+F359</f>
        <v>773.038934</v>
      </c>
      <c r="G360" s="6">
        <f>G358+G359</f>
        <v>782.5673899999999</v>
      </c>
      <c r="H360" s="6"/>
      <c r="I360" s="1"/>
      <c r="J360" s="1"/>
    </row>
    <row r="361">
      <c r="A361" s="1"/>
      <c r="B361" s="1" t="s">
        <v>1117</v>
      </c>
      <c r="C361" s="6"/>
      <c r="D361" s="49">
        <v>452.448896</v>
      </c>
      <c r="E361" s="6">
        <f>D361</f>
        <v>452.448896</v>
      </c>
      <c r="F361" s="49">
        <v>448.468715</v>
      </c>
      <c r="G361" s="49">
        <v>447.574842</v>
      </c>
      <c r="H361" s="6"/>
      <c r="I361" s="1"/>
      <c r="J361" s="1"/>
    </row>
    <row r="362">
      <c r="A362" s="1"/>
      <c r="B362" s="1" t="s">
        <v>1118</v>
      </c>
      <c r="C362" s="6"/>
      <c r="D362" s="6">
        <f>D360+D361</f>
        <v>1221.171137</v>
      </c>
      <c r="E362" s="6">
        <f>E360+E361</f>
        <v>1221.171137</v>
      </c>
      <c r="F362" s="6">
        <f>F360+F361</f>
        <v>1221.5076490000001</v>
      </c>
      <c r="G362" s="6">
        <f>G360+G361</f>
        <v>1230.142232</v>
      </c>
      <c r="H362" s="6"/>
      <c r="I362" s="1"/>
      <c r="J362" s="1"/>
    </row>
    <row r="363">
      <c r="A363" s="1"/>
      <c r="B363" s="1" t="s">
        <v>1119</v>
      </c>
      <c r="C363" s="6"/>
      <c r="D363" s="6"/>
      <c r="E363" s="6"/>
      <c r="F363" s="49">
        <v>0.2</v>
      </c>
      <c r="G363" s="49">
        <v>0.2</v>
      </c>
      <c r="H363" s="6"/>
      <c r="I363" s="1"/>
      <c r="J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>
      <c r="A365" s="1"/>
      <c r="B365" s="2" t="s">
        <v>1120</v>
      </c>
      <c r="C365" s="6"/>
      <c r="D365" s="6"/>
      <c r="E365" s="6"/>
      <c r="F365" s="6"/>
      <c r="G365" s="6"/>
      <c r="H365" s="6"/>
      <c r="I365" s="1"/>
      <c r="J365" s="1"/>
    </row>
    <row r="366">
      <c r="A366" s="1"/>
      <c r="B366" s="28" t="s">
        <v>1121</v>
      </c>
      <c r="C366" s="21" t="s">
        <v>1122</v>
      </c>
      <c r="D366" s="21" t="s">
        <v>1123</v>
      </c>
      <c r="E366" s="21" t="s">
        <v>74</v>
      </c>
      <c r="F366" s="21" t="s">
        <v>1124</v>
      </c>
      <c r="G366" s="21" t="s">
        <v>1125</v>
      </c>
      <c r="H366" s="21"/>
      <c r="I366" s="45"/>
      <c r="J366" s="45"/>
    </row>
    <row r="367">
      <c r="A367" s="1"/>
      <c r="B367" s="1" t="s">
        <v>338</v>
      </c>
      <c r="C367" s="49">
        <v>2834.907</v>
      </c>
      <c r="D367" s="49">
        <v>4071.832</v>
      </c>
      <c r="E367" s="49">
        <v>6046.623</v>
      </c>
      <c r="F367" s="49">
        <v>1257.907</v>
      </c>
      <c r="G367" s="49">
        <v>3613.973</v>
      </c>
      <c r="H367" s="6"/>
      <c r="I367" s="1"/>
      <c r="J367" s="1"/>
    </row>
    <row r="368">
      <c r="A368" s="1"/>
      <c r="B368" s="1" t="s">
        <v>489</v>
      </c>
      <c r="C368" s="49">
        <v>-1905.804</v>
      </c>
      <c r="D368" s="49">
        <v>-3064.558</v>
      </c>
      <c r="E368" s="49">
        <v>-4820.209</v>
      </c>
      <c r="F368" s="49">
        <v>-1434.843</v>
      </c>
      <c r="G368" s="49">
        <v>-2937.722</v>
      </c>
      <c r="H368" s="6"/>
      <c r="I368" s="1"/>
      <c r="J368" s="1"/>
    </row>
    <row r="369">
      <c r="A369" s="1"/>
      <c r="B369" s="1" t="s">
        <v>491</v>
      </c>
      <c r="C369" s="49">
        <v>-632.886</v>
      </c>
      <c r="D369" s="49">
        <v>-462.922</v>
      </c>
      <c r="E369" s="49">
        <v>-488.09</v>
      </c>
      <c r="F369" s="49">
        <v>317.115</v>
      </c>
      <c r="G369" s="49">
        <v>-207.451</v>
      </c>
      <c r="H369" s="6"/>
      <c r="I369" s="1"/>
      <c r="J369" s="1"/>
    </row>
    <row r="370">
      <c r="A370" s="1"/>
      <c r="B370" s="1" t="s">
        <v>492</v>
      </c>
      <c r="C370" s="49">
        <v>-576.484</v>
      </c>
      <c r="D370" s="49">
        <v>-360.666</v>
      </c>
      <c r="E370" s="49">
        <v>-643.063</v>
      </c>
      <c r="F370" s="49">
        <v>-283.452</v>
      </c>
      <c r="G370" s="49">
        <v>-870.592</v>
      </c>
      <c r="H370" s="6"/>
      <c r="I370" s="1"/>
      <c r="J370" s="1"/>
    </row>
    <row r="371">
      <c r="A371" s="1"/>
      <c r="B371" s="1" t="s">
        <v>493</v>
      </c>
      <c r="C371" s="49">
        <v>953.235</v>
      </c>
      <c r="D371" s="49">
        <v>1338.096</v>
      </c>
      <c r="E371" s="49">
        <v>1948.679</v>
      </c>
      <c r="F371" s="49">
        <v>577.518</v>
      </c>
      <c r="G371" s="49">
        <v>1428.628</v>
      </c>
      <c r="H371" s="6"/>
      <c r="I371" s="1"/>
      <c r="J371" s="1"/>
    </row>
    <row r="372">
      <c r="A372" s="1"/>
      <c r="B372" s="1" t="s">
        <v>401</v>
      </c>
      <c r="C372" s="49">
        <v>783.445</v>
      </c>
      <c r="D372" s="49">
        <v>1086.762</v>
      </c>
      <c r="E372" s="49">
        <v>1445.352</v>
      </c>
      <c r="F372" s="49">
        <v>560.862</v>
      </c>
      <c r="G372" s="49">
        <v>915.468</v>
      </c>
      <c r="H372" s="6"/>
      <c r="I372" s="1"/>
      <c r="J372" s="1"/>
    </row>
    <row r="373">
      <c r="A373" s="1"/>
      <c r="B373" s="1" t="s">
        <v>394</v>
      </c>
      <c r="C373" s="49">
        <v>17.949</v>
      </c>
      <c r="D373" s="49">
        <v>26.924</v>
      </c>
      <c r="E373" s="49">
        <v>36.023</v>
      </c>
      <c r="F373" s="49">
        <v>9.035</v>
      </c>
      <c r="G373" s="49">
        <v>18.072</v>
      </c>
      <c r="H373" s="6"/>
      <c r="I373" s="1"/>
      <c r="J373" s="1"/>
    </row>
    <row r="374">
      <c r="A374" s="1"/>
      <c r="B374" s="1" t="s">
        <v>494</v>
      </c>
      <c r="C374" s="49">
        <v>136.035</v>
      </c>
      <c r="D374" s="49">
        <v>31.896</v>
      </c>
      <c r="E374" s="49">
        <v>3.79</v>
      </c>
      <c r="F374" s="49">
        <v>-201.23</v>
      </c>
      <c r="G374" s="49">
        <v>-263.024</v>
      </c>
      <c r="H374" s="6"/>
      <c r="I374" s="1"/>
      <c r="J374" s="1"/>
    </row>
    <row r="375">
      <c r="A375" s="1"/>
      <c r="B375" s="1" t="s">
        <v>495</v>
      </c>
      <c r="C375" s="49">
        <v>0</v>
      </c>
      <c r="D375" s="49">
        <v>0</v>
      </c>
      <c r="E375" s="49">
        <v>0</v>
      </c>
      <c r="F375" s="49">
        <v>0.83</v>
      </c>
      <c r="G375" s="49">
        <v>0.83</v>
      </c>
      <c r="H375" s="6"/>
      <c r="I375" s="1"/>
      <c r="J375" s="1"/>
    </row>
    <row r="376">
      <c r="A376" s="1"/>
      <c r="B376" s="1" t="s">
        <v>496</v>
      </c>
      <c r="C376" s="49">
        <v>-65.803</v>
      </c>
      <c r="D376" s="49">
        <v>-65.803</v>
      </c>
      <c r="E376" s="49">
        <v>-69.477</v>
      </c>
      <c r="F376" s="49">
        <v>-0.038</v>
      </c>
      <c r="G376" s="49">
        <v>-12.946</v>
      </c>
      <c r="H376" s="6"/>
      <c r="I376" s="1"/>
      <c r="J376" s="1"/>
    </row>
    <row r="377">
      <c r="A377" s="1"/>
      <c r="B377" s="1" t="s">
        <v>453</v>
      </c>
      <c r="C377" s="49">
        <v>-117.317</v>
      </c>
      <c r="D377" s="49">
        <v>-377.686</v>
      </c>
      <c r="E377" s="49">
        <v>-211.94</v>
      </c>
      <c r="F377" s="49">
        <v>-366.998</v>
      </c>
      <c r="G377" s="49">
        <v>-402.662</v>
      </c>
      <c r="H377" s="6"/>
      <c r="I377" s="1"/>
      <c r="J377" s="1"/>
    </row>
    <row r="378">
      <c r="A378" s="1"/>
      <c r="B378" s="1" t="s">
        <v>454</v>
      </c>
      <c r="C378" s="49">
        <v>241.64</v>
      </c>
      <c r="D378" s="49">
        <v>-11.514</v>
      </c>
      <c r="E378" s="49">
        <v>-186.473</v>
      </c>
      <c r="F378" s="49">
        <v>238.42</v>
      </c>
      <c r="G378" s="49">
        <v>476.083</v>
      </c>
      <c r="H378" s="6"/>
      <c r="I378" s="1"/>
      <c r="J378" s="1"/>
    </row>
    <row r="379">
      <c r="A379" s="1"/>
      <c r="B379" s="1" t="s">
        <v>457</v>
      </c>
      <c r="C379" s="49">
        <v>118.683</v>
      </c>
      <c r="D379" s="49">
        <v>81.113</v>
      </c>
      <c r="E379" s="49">
        <v>-166.395</v>
      </c>
      <c r="F379" s="49">
        <v>154.786</v>
      </c>
      <c r="G379" s="49">
        <v>194.767</v>
      </c>
      <c r="H379" s="6"/>
      <c r="I379" s="1"/>
      <c r="J379" s="1"/>
    </row>
    <row r="380">
      <c r="A380" s="1"/>
      <c r="B380" s="1" t="s">
        <v>465</v>
      </c>
      <c r="C380" s="49">
        <v>-705.817</v>
      </c>
      <c r="D380" s="49">
        <v>-814.597</v>
      </c>
      <c r="E380" s="49">
        <v>-1493.875</v>
      </c>
      <c r="F380" s="49">
        <v>-709.726</v>
      </c>
      <c r="G380" s="49">
        <v>-953.907</v>
      </c>
      <c r="H380" s="6"/>
      <c r="I380" s="1"/>
      <c r="J380" s="1"/>
    </row>
    <row r="381">
      <c r="A381" s="1"/>
      <c r="B381" s="1" t="s">
        <v>497</v>
      </c>
      <c r="C381" s="49">
        <v>-23.2</v>
      </c>
      <c r="D381" s="49">
        <v>459.408</v>
      </c>
      <c r="E381" s="49">
        <v>514.278</v>
      </c>
      <c r="F381" s="49">
        <v>176.546</v>
      </c>
      <c r="G381" s="49">
        <v>166.094</v>
      </c>
      <c r="H381" s="6"/>
      <c r="I381" s="1"/>
      <c r="J381" s="1"/>
    </row>
    <row r="382">
      <c r="A382" s="1"/>
      <c r="B382" s="1" t="s">
        <v>464</v>
      </c>
      <c r="C382" s="49">
        <v>-150.153</v>
      </c>
      <c r="D382" s="49">
        <v>-140.348</v>
      </c>
      <c r="E382" s="49">
        <v>-124.099</v>
      </c>
      <c r="F382" s="49">
        <v>-24.181</v>
      </c>
      <c r="G382" s="49">
        <v>10.999</v>
      </c>
      <c r="H382" s="6"/>
      <c r="I382" s="1"/>
      <c r="J382" s="1"/>
    </row>
    <row r="383">
      <c r="A383" s="1"/>
      <c r="B383" s="1" t="s">
        <v>498</v>
      </c>
      <c r="C383" s="49">
        <v>-2351.387</v>
      </c>
      <c r="D383" s="49">
        <v>-2999.047</v>
      </c>
      <c r="E383" s="49">
        <v>-3807.149</v>
      </c>
      <c r="F383" s="49">
        <v>-910.198</v>
      </c>
      <c r="G383" s="49">
        <v>-1417.701</v>
      </c>
      <c r="H383" s="6"/>
      <c r="I383" s="1"/>
      <c r="J383" s="1"/>
    </row>
    <row r="384">
      <c r="A384" s="1"/>
      <c r="B384" s="1" t="s">
        <v>499</v>
      </c>
      <c r="C384" s="49">
        <v>3440.678</v>
      </c>
      <c r="D384" s="49">
        <v>4796.476</v>
      </c>
      <c r="E384" s="49">
        <v>6679.186</v>
      </c>
      <c r="F384" s="49">
        <v>1628.693</v>
      </c>
      <c r="G384" s="49">
        <v>3173.541</v>
      </c>
      <c r="H384" s="6"/>
      <c r="I384" s="1"/>
      <c r="J384" s="1"/>
    </row>
    <row r="385">
      <c r="A385" s="1"/>
      <c r="B385" s="1" t="s">
        <v>504</v>
      </c>
      <c r="C385" s="49">
        <v>-69.424</v>
      </c>
      <c r="D385" s="49">
        <v>-93.353</v>
      </c>
      <c r="E385" s="49">
        <v>-115.703</v>
      </c>
      <c r="F385" s="49">
        <v>-33.409</v>
      </c>
      <c r="G385" s="49">
        <v>-65.372</v>
      </c>
      <c r="H385" s="6"/>
      <c r="I385" s="1"/>
      <c r="J385" s="1"/>
    </row>
    <row r="386">
      <c r="A386" s="1"/>
      <c r="B386" s="1" t="s">
        <v>507</v>
      </c>
      <c r="C386" s="49">
        <v>-481.852</v>
      </c>
      <c r="D386" s="49">
        <v>-800.029</v>
      </c>
      <c r="E386" s="49">
        <v>-1035.141</v>
      </c>
      <c r="F386" s="49">
        <v>-356.296</v>
      </c>
      <c r="G386" s="49">
        <v>-839.32</v>
      </c>
      <c r="H386" s="6"/>
      <c r="I386" s="1"/>
      <c r="J386" s="1"/>
    </row>
    <row r="387">
      <c r="A387" s="1"/>
      <c r="B387" s="1" t="s">
        <v>508</v>
      </c>
      <c r="C387" s="49">
        <v>1845.102</v>
      </c>
      <c r="D387" s="49">
        <v>2341.654</v>
      </c>
      <c r="E387" s="49">
        <v>2525.477</v>
      </c>
      <c r="F387" s="49">
        <v>458.136</v>
      </c>
      <c r="G387" s="49">
        <v>733.252</v>
      </c>
      <c r="H387" s="6"/>
      <c r="I387" s="1"/>
      <c r="J387" s="1"/>
    </row>
    <row r="388">
      <c r="A388" s="1"/>
      <c r="B388" s="1" t="s">
        <v>509</v>
      </c>
      <c r="C388" s="49">
        <v>-43.954</v>
      </c>
      <c r="D388" s="49">
        <v>-43.954</v>
      </c>
      <c r="E388" s="49">
        <v>-43.954</v>
      </c>
      <c r="F388" s="49">
        <v>-63.82</v>
      </c>
      <c r="G388" s="49">
        <v>-63.82</v>
      </c>
      <c r="H388" s="6"/>
      <c r="I388" s="1"/>
      <c r="J388" s="1"/>
    </row>
    <row r="389">
      <c r="A389" s="1"/>
      <c r="B389" s="1" t="s">
        <v>510</v>
      </c>
      <c r="C389" s="49">
        <v>-135.363</v>
      </c>
      <c r="D389" s="49">
        <v>-261.413</v>
      </c>
      <c r="E389" s="49">
        <v>-312.48</v>
      </c>
      <c r="F389" s="49">
        <v>-66.347</v>
      </c>
      <c r="G389" s="49">
        <v>-108.558</v>
      </c>
      <c r="H389" s="6"/>
      <c r="I389" s="1"/>
      <c r="J389" s="1"/>
    </row>
    <row r="390">
      <c r="A390" s="1"/>
      <c r="B390" s="1" t="s">
        <v>511</v>
      </c>
      <c r="C390" s="49">
        <v>1024.556</v>
      </c>
      <c r="D390" s="49">
        <v>1226.729</v>
      </c>
      <c r="E390" s="49">
        <v>2813.736</v>
      </c>
      <c r="F390" s="49">
        <v>900</v>
      </c>
      <c r="G390" s="49">
        <v>1637.859</v>
      </c>
      <c r="H390" s="6"/>
      <c r="I390" s="1"/>
      <c r="J390" s="1"/>
    </row>
    <row r="391">
      <c r="A391" s="1"/>
      <c r="B391" s="1" t="s">
        <v>512</v>
      </c>
      <c r="C391" s="49">
        <v>-706.362</v>
      </c>
      <c r="D391" s="49">
        <v>-906.362</v>
      </c>
      <c r="E391" s="49">
        <v>-1813.058</v>
      </c>
      <c r="F391" s="49">
        <v>-47.686</v>
      </c>
      <c r="G391" s="49">
        <v>-851.318</v>
      </c>
      <c r="H391" s="6"/>
      <c r="I391" s="1"/>
      <c r="J391" s="1"/>
    </row>
    <row r="392">
      <c r="A392" s="1"/>
      <c r="B392" s="1" t="s">
        <v>513</v>
      </c>
      <c r="C392" s="49">
        <v>-3074.008</v>
      </c>
      <c r="D392" s="49">
        <v>-4415.832</v>
      </c>
      <c r="E392" s="49">
        <v>-6013.385</v>
      </c>
      <c r="F392" s="49">
        <v>-1917.928</v>
      </c>
      <c r="G392" s="49">
        <v>-3446.832</v>
      </c>
      <c r="H392" s="6"/>
      <c r="I392" s="1"/>
      <c r="J392" s="1"/>
    </row>
    <row r="393">
      <c r="A393" s="1"/>
      <c r="B393" s="1" t="s">
        <v>519</v>
      </c>
      <c r="C393" s="49">
        <v>16.841</v>
      </c>
      <c r="D393" s="49">
        <v>13.25</v>
      </c>
      <c r="E393" s="49">
        <v>9.837</v>
      </c>
      <c r="F393" s="49">
        <v>-7.938</v>
      </c>
      <c r="G393" s="49">
        <v>-9.72</v>
      </c>
      <c r="H393" s="6"/>
      <c r="I393" s="1"/>
      <c r="J393" s="1"/>
    </row>
    <row r="394">
      <c r="A394" s="1"/>
      <c r="B394" s="1" t="s">
        <v>1126</v>
      </c>
      <c r="C394" s="49">
        <v>1997.721</v>
      </c>
      <c r="D394" s="49">
        <v>3595.366</v>
      </c>
      <c r="E394" s="49">
        <v>4663.161</v>
      </c>
      <c r="F394" s="49">
        <v>991.046</v>
      </c>
      <c r="G394" s="49">
        <v>2932.45</v>
      </c>
      <c r="H394" s="6"/>
      <c r="I394" s="1"/>
      <c r="J394" s="1"/>
    </row>
    <row r="395">
      <c r="A395" s="1"/>
      <c r="B395" s="1" t="s">
        <v>1127</v>
      </c>
      <c r="C395" s="49">
        <v>-69.424</v>
      </c>
      <c r="D395" s="49">
        <v>-93.353</v>
      </c>
      <c r="E395" s="49">
        <v>-115.703</v>
      </c>
      <c r="F395" s="49">
        <v>-33.409</v>
      </c>
      <c r="G395" s="49">
        <v>-65.372</v>
      </c>
      <c r="H395" s="6"/>
      <c r="I395" s="1"/>
      <c r="J395" s="1"/>
    </row>
    <row r="396">
      <c r="A396" s="1"/>
      <c r="B396" s="1" t="s">
        <v>1128</v>
      </c>
      <c r="C396" s="49">
        <v>-1571.881</v>
      </c>
      <c r="D396" s="49">
        <v>-2859.207</v>
      </c>
      <c r="E396" s="49">
        <v>-3878.805</v>
      </c>
      <c r="F396" s="49">
        <v>-1093.941</v>
      </c>
      <c r="G396" s="49">
        <v>-2938.737</v>
      </c>
      <c r="H396" s="6"/>
      <c r="I396" s="1"/>
      <c r="J396" s="1"/>
    </row>
    <row r="397">
      <c r="A397" s="1"/>
      <c r="B397" s="1" t="s">
        <v>1129</v>
      </c>
      <c r="C397" s="6"/>
      <c r="D397" s="6"/>
      <c r="E397" s="49">
        <v>2176.192</v>
      </c>
      <c r="F397" s="6"/>
      <c r="G397" s="6"/>
      <c r="H397" s="6"/>
      <c r="I397" s="1"/>
      <c r="J397" s="1"/>
    </row>
    <row r="398">
      <c r="A398" s="1"/>
      <c r="B398" s="1" t="s">
        <v>1130</v>
      </c>
      <c r="C398" s="49">
        <v>2549.449</v>
      </c>
      <c r="D398" s="49">
        <v>2832.248</v>
      </c>
      <c r="E398" s="49">
        <v>2854.682</v>
      </c>
      <c r="F398" s="49">
        <v>2710.44</v>
      </c>
      <c r="G398" s="49">
        <v>2773.303</v>
      </c>
      <c r="H398" s="6"/>
      <c r="I398" s="1"/>
      <c r="J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>
      <c r="A400" s="1"/>
      <c r="B400" s="2" t="s">
        <v>1131</v>
      </c>
      <c r="C400" s="6"/>
      <c r="D400" s="6"/>
      <c r="E400" s="6"/>
      <c r="F400" s="6"/>
      <c r="G400" s="6"/>
      <c r="H400" s="6"/>
      <c r="I400" s="1"/>
      <c r="J400" s="1"/>
    </row>
    <row r="401">
      <c r="A401" s="1"/>
      <c r="B401" s="1" t="s">
        <v>1132</v>
      </c>
      <c r="C401" s="9">
        <f>C95</f>
        <v>106.61</v>
      </c>
      <c r="D401" s="9"/>
      <c r="E401" s="9"/>
      <c r="F401" s="9"/>
      <c r="G401" s="9"/>
      <c r="H401" s="9"/>
      <c r="I401" s="1"/>
      <c r="J401" s="8" t="s">
        <v>1133</v>
      </c>
    </row>
    <row r="402">
      <c r="A402" s="1"/>
      <c r="B402" s="1" t="s">
        <v>1134</v>
      </c>
      <c r="C402" s="16">
        <f>'Share Count'!G21</f>
        <v>752.601287</v>
      </c>
      <c r="D402" s="6"/>
      <c r="E402" s="6"/>
      <c r="F402" s="6"/>
      <c r="G402" s="6"/>
      <c r="H402" s="6"/>
      <c r="I402" s="1"/>
      <c r="J402" s="1"/>
    </row>
    <row r="403">
      <c r="A403" s="1"/>
      <c r="B403" s="1" t="s">
        <v>1135</v>
      </c>
      <c r="C403" s="6">
        <f>C401*C402/1000</f>
        <v>80.23482320707</v>
      </c>
      <c r="D403" s="6"/>
      <c r="E403" s="6"/>
      <c r="F403" s="6"/>
      <c r="G403" s="6"/>
      <c r="H403" s="6"/>
      <c r="I403" s="1"/>
      <c r="J403" s="1"/>
    </row>
    <row r="404">
      <c r="A404" s="1"/>
      <c r="B404" s="1" t="s">
        <v>1136</v>
      </c>
      <c r="C404" s="16">
        <f>C401*'Share Count'!G33/1000</f>
        <v>132.60290723491</v>
      </c>
      <c r="D404" s="6"/>
      <c r="E404" s="6"/>
      <c r="F404" s="6"/>
      <c r="G404" s="6"/>
      <c r="H404" s="6"/>
      <c r="I404" s="1"/>
      <c r="J404" s="1"/>
    </row>
    <row r="405">
      <c r="A405" s="1"/>
      <c r="B405" s="1" t="s">
        <v>1137</v>
      </c>
      <c r="C405" s="13" t="s">
        <v>1138</v>
      </c>
      <c r="D405" s="1"/>
      <c r="E405" s="1"/>
      <c r="F405" s="1"/>
      <c r="G405" s="1"/>
      <c r="H405" s="1"/>
      <c r="I405" s="1"/>
      <c r="J405" s="8" t="s">
        <v>1139</v>
      </c>
    </row>
    <row r="406">
      <c r="A406" s="1"/>
      <c r="B406" s="1" t="s">
        <v>1140</v>
      </c>
      <c r="C406" s="53">
        <v>0.78</v>
      </c>
      <c r="D406" s="50"/>
      <c r="E406" s="50"/>
      <c r="F406" s="50"/>
      <c r="G406" s="50"/>
      <c r="H406" s="50"/>
      <c r="I406" s="1"/>
      <c r="J406" s="102" t="s">
        <v>1141</v>
      </c>
    </row>
    <row r="407">
      <c r="A407" s="1"/>
      <c r="B407" s="1" t="s">
        <v>1142</v>
      </c>
      <c r="C407" s="90">
        <f>E108</f>
        <v>6</v>
      </c>
      <c r="D407" s="90"/>
      <c r="E407" s="90"/>
      <c r="F407" s="90"/>
      <c r="G407" s="90"/>
      <c r="H407" s="90"/>
      <c r="I407" s="1"/>
      <c r="J407" s="1"/>
    </row>
    <row r="408">
      <c r="A408" s="1"/>
      <c r="B408" s="1" t="s">
        <v>1143</v>
      </c>
      <c r="C408" s="90">
        <f>E109</f>
        <v>6</v>
      </c>
      <c r="D408" s="90"/>
      <c r="E408" s="90"/>
      <c r="F408" s="90"/>
      <c r="G408" s="90"/>
      <c r="H408" s="90"/>
      <c r="I408" s="1"/>
      <c r="J408" s="1"/>
    </row>
    <row r="409">
      <c r="A409" s="1"/>
      <c r="B409" s="1" t="s">
        <v>1144</v>
      </c>
      <c r="C409" s="91">
        <v>8</v>
      </c>
      <c r="D409" s="90"/>
      <c r="E409" s="90"/>
      <c r="F409" s="90"/>
      <c r="G409" s="90"/>
      <c r="H409" s="90"/>
      <c r="I409" s="1"/>
      <c r="J409" s="1"/>
    </row>
    <row r="410">
      <c r="A410" s="1"/>
      <c r="B410" s="1" t="s">
        <v>1145</v>
      </c>
      <c r="C410" s="50">
        <f>(C409*C406+C407)/(C409+C408)</f>
        <v>0.8742857142857143</v>
      </c>
      <c r="D410" s="50"/>
      <c r="E410" s="50"/>
      <c r="F410" s="50"/>
      <c r="G410" s="50"/>
      <c r="H410" s="50"/>
      <c r="I410" s="1"/>
      <c r="J410" s="1"/>
    </row>
    <row r="411">
      <c r="A411" s="1"/>
      <c r="B411" s="1" t="s">
        <v>1146</v>
      </c>
      <c r="C411" s="52">
        <f>1-_xlfn.NORM.DIST(C18+0.005,'Income Statement'!H276,C412,TRUE)</f>
        <v>0.5209348345935898</v>
      </c>
      <c r="D411" s="50"/>
      <c r="E411" s="50"/>
      <c r="F411" s="50"/>
      <c r="G411" s="50"/>
      <c r="H411" s="50"/>
      <c r="I411" s="1"/>
      <c r="J411" s="8" t="s">
        <v>1147</v>
      </c>
    </row>
    <row r="412">
      <c r="A412" s="1"/>
      <c r="B412" s="1" t="s">
        <v>1148</v>
      </c>
      <c r="C412" s="88">
        <v>0.08</v>
      </c>
      <c r="D412" s="9"/>
      <c r="E412" s="9"/>
      <c r="F412" s="9"/>
      <c r="G412" s="9"/>
      <c r="H412" s="9"/>
      <c r="I412" s="1"/>
      <c r="J412" s="8" t="s">
        <v>1149</v>
      </c>
    </row>
    <row r="413">
      <c r="A413" s="1"/>
      <c r="B413" s="1" t="s">
        <v>1150</v>
      </c>
      <c r="C413" s="53">
        <v>0.6</v>
      </c>
      <c r="D413" s="50"/>
      <c r="E413" s="50"/>
      <c r="F413" s="50"/>
      <c r="G413" s="50"/>
      <c r="H413" s="50"/>
      <c r="I413" s="1"/>
      <c r="J413" s="1"/>
    </row>
    <row r="414">
      <c r="A414" s="1"/>
      <c r="B414" s="1" t="s">
        <v>1151</v>
      </c>
      <c r="C414" s="53">
        <v>0.65</v>
      </c>
      <c r="D414" s="50"/>
      <c r="E414" s="50"/>
      <c r="F414" s="50"/>
      <c r="G414" s="50"/>
      <c r="H414" s="50"/>
      <c r="I414" s="1"/>
      <c r="J414" s="8" t="s">
        <v>1152</v>
      </c>
    </row>
    <row r="415">
      <c r="A415" s="1"/>
      <c r="B415" s="1" t="s">
        <v>1153</v>
      </c>
      <c r="C415" s="50">
        <f>C413*C411+(1-C413)*C410</f>
        <v>0.6622751864704397</v>
      </c>
      <c r="D415" s="50"/>
      <c r="E415" s="50"/>
      <c r="F415" s="50"/>
      <c r="G415" s="50"/>
      <c r="H415" s="50"/>
      <c r="I415" s="1"/>
      <c r="J415" s="1"/>
    </row>
    <row r="416">
      <c r="A416" s="1"/>
      <c r="B416" s="1" t="s">
        <v>55</v>
      </c>
      <c r="C416" s="13" t="s">
        <v>1154</v>
      </c>
      <c r="D416" s="1"/>
      <c r="E416" s="1"/>
      <c r="F416" s="1"/>
      <c r="G416" s="1"/>
      <c r="H416" s="1"/>
      <c r="I416" s="1"/>
      <c r="J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>
      <c r="A419" s="1"/>
      <c r="B419" s="2" t="s">
        <v>1155</v>
      </c>
      <c r="C419" s="6"/>
      <c r="D419" s="6"/>
      <c r="E419" s="6"/>
      <c r="F419" s="6"/>
      <c r="G419" s="6"/>
      <c r="H419" s="6"/>
      <c r="I419" s="1"/>
      <c r="J419" s="1"/>
    </row>
    <row r="420">
      <c r="A420" s="1"/>
      <c r="B420" s="1" t="s">
        <v>1156</v>
      </c>
      <c r="C420" s="13" t="s">
        <v>1157</v>
      </c>
      <c r="D420" s="1"/>
      <c r="E420" s="1"/>
      <c r="F420" s="1"/>
      <c r="G420" s="1"/>
      <c r="H420" s="1"/>
      <c r="I420" s="1"/>
      <c r="J420" s="1"/>
    </row>
    <row r="421">
      <c r="A421" s="1"/>
      <c r="B421" s="1" t="s">
        <v>1158</v>
      </c>
      <c r="C421" s="13" t="s">
        <v>1159</v>
      </c>
      <c r="D421" s="1"/>
      <c r="E421" s="1"/>
      <c r="F421" s="1"/>
      <c r="G421" s="1"/>
      <c r="H421" s="1"/>
      <c r="I421" s="1"/>
      <c r="J421" s="1"/>
    </row>
    <row r="422">
      <c r="A422" s="1"/>
      <c r="B422" s="1" t="s">
        <v>1160</v>
      </c>
      <c r="C422" s="13" t="s">
        <v>1161</v>
      </c>
      <c r="D422" s="1"/>
      <c r="E422" s="1"/>
      <c r="F422" s="1"/>
      <c r="G422" s="1"/>
      <c r="H422" s="1"/>
      <c r="I422" s="1"/>
      <c r="J422" s="1"/>
    </row>
    <row r="423">
      <c r="A423" s="1"/>
      <c r="B423" s="1" t="s">
        <v>1162</v>
      </c>
      <c r="C423" s="13" t="s">
        <v>1163</v>
      </c>
      <c r="D423" s="1"/>
      <c r="E423" s="1"/>
      <c r="F423" s="1"/>
      <c r="G423" s="1"/>
      <c r="H423" s="1"/>
      <c r="I423" s="1"/>
      <c r="J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</row>
  </sheetData>
</worksheet>
</file>