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Geo" sheetId="6" r:id="rId7"/>
    <sheet name="Share Count" sheetId="7" r:id="rId8"/>
    <sheet name="Guidance" sheetId="8" r:id="rId9"/>
    <sheet name="Inputs" sheetId="9" r:id="rId10"/>
    <sheet name="Sources" sheetId="10" r:id="rId11"/>
  </sheets>
  <calcPr calcId="0"/>
</workbook>
</file>

<file path=xl/sharedStrings.xml><?xml version="1.0" encoding="utf-8"?>
<sst xmlns="http://schemas.openxmlformats.org/spreadsheetml/2006/main" count="1329" uniqueCount="781">
  <si>
    <t>Bloom Energy Corporation (NYSE: BE)</t>
  </si>
  <si>
    <t>Company Model — built by Shortcut</t>
  </si>
  <si>
    <t>$ millions, except per share</t>
  </si>
  <si>
    <t>Forecast period</t>
  </si>
  <si>
    <t>3Q26E</t>
  </si>
  <si>
    <t>Period end</t>
  </si>
  <si>
    <t>Days in period</t>
  </si>
  <si>
    <t>Company profile</t>
  </si>
  <si>
    <t>Company</t>
  </si>
  <si>
    <t>Bloom Energy Corporation</t>
  </si>
  <si>
    <t>Ticker / exchange</t>
  </si>
  <si>
    <t>BE / NYSE (CapIQ NYSE:BE, company ID 28543927)</t>
  </si>
  <si>
    <t>Fiscal year end</t>
  </si>
  <si>
    <t>December 31 — FQ3 2026 is the quarter ended Sep 30, 2026 (supplied period-end label 2026-09-30 matches)</t>
  </si>
  <si>
    <t>Reporting currency</t>
  </si>
  <si>
    <t>USD; amounts in USD millions; EPS in USD per diluted common share</t>
  </si>
  <si>
    <t>EPS basis</t>
  </si>
  <si>
    <t>Normalized = issuer non-GAAP diluted EPS (issuer release prints match CapIQ normalized actuals in all six history quarters: IS row 147 vs row 142, S3/S5/S6/S8/S10/S11; model reconstruction residuals disclosed on IS row 143)</t>
  </si>
  <si>
    <t>Information cutoff</t>
  </si>
  <si>
    <t>2026-10-18 21:34 UTC (CapIQ snapshot captured 2026-10-18, date precision)</t>
  </si>
  <si>
    <t>Expected report date</t>
  </si>
  <si>
    <t>2026-10-22 after market close (issuer-confirmed, S13); CapIQ snapshot shows 2026-10-29 (unconfirmed)</t>
  </si>
  <si>
    <t>Author</t>
  </si>
  <si>
    <t>Shortcut — Company Model built by Shortcut</t>
  </si>
  <si>
    <t>Market cap / index</t>
  </si>
  <si>
    <t>Headline: 3Q26E estimate vs consensus at cutoff vs guidance</t>
  </si>
  <si>
    <t>Metric</t>
  </si>
  <si>
    <t>Shortcut 3Q26E</t>
  </si>
  <si>
    <t>Consensus at cutoff (CapIQ)</t>
  </si>
  <si>
    <t>Variance vs consensus</t>
  </si>
  <si>
    <t>Variance %</t>
  </si>
  <si>
    <t>Guidance-implied midpoint</t>
  </si>
  <si>
    <t>Estimate vs guidance</t>
  </si>
  <si>
    <t># estimates</t>
  </si>
  <si>
    <t>Revenue ($m)</t>
  </si>
  <si>
    <t>Non-GAAP operating income ($m)</t>
  </si>
  <si>
    <t>n/a</t>
  </si>
  <si>
    <t>CapIQ EBIT (181.26) basis unclear (appears GAAP-like); not compared</t>
  </si>
  <si>
    <t>Adjusted EBITDA ($m)</t>
  </si>
  <si>
    <t>CapIQ EBITDA definition may differ from issuer adjusted EBITDA</t>
  </si>
  <si>
    <t>Adjusted net profit — non-GAAP ($m)</t>
  </si>
  <si>
    <t>G25 is derived from the approximate per-share Guidance G36 x 3Q26E diluted shares less add-back (secondary cross-check only)</t>
  </si>
  <si>
    <t>Net income to common — GAAP ($m)</t>
  </si>
  <si>
    <t>Normalized (non-GAAP) diluted EPS — scored basis</t>
  </si>
  <si>
    <t>Frozen CapIQ consensus $0.67 (17 est.) is the scoring baseline. G27/H27: approximate per-share phasing cross-check (Guidance row 36), not an exact share-weighted derivation</t>
  </si>
  <si>
    <t>GAAP diluted EPS</t>
  </si>
  <si>
    <t>Overall model check (arithmetic check rows + Cover ties + 3Q26E consideration-ladder tie; excludes reported-EPS residuals, IS row 143)</t>
  </si>
  <si>
    <t>3Q26E balance-sheet tie (BS J58) is structural: BS J18 is the Cash Flow residual, so it is not an independent test (assumption, not a PASS check)</t>
  </si>
  <si>
    <t>P(beat consensus EPS)</t>
  </si>
  <si>
    <t>Confidence</t>
  </si>
  <si>
    <t>medium</t>
  </si>
  <si>
    <t>Beat-probability calibration (linked to Inputs)</t>
  </si>
  <si>
    <t>Cohort prior (large cap / S&amp;P 500)</t>
  </si>
  <si>
    <t>Strict historical beats (b)</t>
  </si>
  <si>
    <t>Valid history pairs (n)</t>
  </si>
  <si>
    <t>Starting probability (8 x prior + b)/(8 + n)</t>
  </si>
  <si>
    <t>Evidence adjustment (3Q26-specific)</t>
  </si>
  <si>
    <t>Forecast rationale</t>
  </si>
  <si>
    <t>See estimate.json rationale; drivers sourced on Revenue summary / Income Statement notes</t>
  </si>
  <si>
    <t>1. Revenue $1.11bn (+3% vs consensus): 2Q26 product run-rate, capacity ramp to 2 GW by YE26, guide-implied 2H26 avg $1.12bn/qtr</t>
  </si>
  <si>
    <t>2. Non-GAAP GM 33.6% (2Q26 34.3%): larger Oracle-warrant revenue reduction and expediting costs; FY guide ~34%</t>
  </si>
  <si>
    <t>3. Non-GAAP opex $128m (+2% Q/Q): operating leverage per CFO; non-GAAP OI ~$244m vs guide-implied ~$240m/qtr</t>
  </si>
  <si>
    <t>4. EPS = (adjusted net profit + $4.3m convertible interest) / 331.7m diluted shares; no beat-rate uplift applied</t>
  </si>
  <si>
    <t>Revenue summary — revenue build and drivers (single reportable segment)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</si>
  <si>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</si>
  <si>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</si>
  <si>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</si>
  <si>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</si>
  <si>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</si>
  <si>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</si>
  <si>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</si>
  <si>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</si>
  <si>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Revenue by type (as reported; one reportable segment)</t>
  </si>
  <si>
    <t>Gross product revenue before customer consideration</t>
  </si>
  <si>
    <t>3Q26E input: Q2 product run-rate + capacity ramp (S3,S4,S12); history = reported product + consideration reduction</t>
  </si>
  <si>
    <t>Less: customer consideration (Oracle warrant) revenue reduction</t>
  </si>
  <si>
    <t>History = CF line "share-based consideration payable to customer's customer" (S3,S5,S6); 3Q26E assumes faster Oracle deliveries vs $5.0m in 2Q26</t>
  </si>
  <si>
    <t>Product revenue</t>
  </si>
  <si>
    <t>Recognised at customer acceptance (S4)</t>
  </si>
  <si>
    <t>% Y/Y</t>
  </si>
  <si>
    <t>Y/Y change ($)</t>
  </si>
  <si>
    <t>Q/Q change ($)</t>
  </si>
  <si>
    <t>% Q/Q</t>
  </si>
  <si>
    <t>% of total revenue</t>
  </si>
  <si>
    <t>M&amp;A / scope impact</t>
  </si>
  <si>
    <t>n/d</t>
  </si>
  <si>
    <t>No acquisition/scope effect disclosed by issuer; not assumed zero</t>
  </si>
  <si>
    <t>FX impact</t>
  </si>
  <si>
    <t>Issuer does not disclose FX impact on revenue (USD reporter, ~90% U.S.)</t>
  </si>
  <si>
    <t>Organic growth = (1+Y/Y)/((1+M&amp;A)*(1+FX))-1</t>
  </si>
  <si>
    <t>Total reported Y/Y growth</t>
  </si>
  <si>
    <t>Service revenue</t>
  </si>
  <si>
    <t>3Q26E: fleet growth vs 2Q26 $69.0m (S3)</t>
  </si>
  <si>
    <t>Product and service revenue (issuer subtotal)</t>
  </si>
  <si>
    <t>Installation revenue</t>
  </si>
  <si>
    <t>3Q26E: shift to consult-only installs on large sites (S4)</t>
  </si>
  <si>
    <t>Electricity revenue</t>
  </si>
  <si>
    <t>Legacy PPA fleet; ~$10m/qtr run-rate (S3,S5)</t>
  </si>
  <si>
    <t>Installation and electricity revenue</t>
  </si>
  <si>
    <t>Total revenue</t>
  </si>
  <si>
    <t>Year-ago total revenue (memo)</t>
  </si>
  <si>
    <t>Reported total revenue — CapIQ history (check source)</t>
  </si>
  <si>
    <t>Linked to Inputs (BE_history.csv revenue_m_actual)</t>
  </si>
  <si>
    <t>Check: revenue build less reported (should be 0)</t>
  </si>
  <si>
    <t>CapIQ revenue_m_actual is rounded to 2 dp; check rounded to 0.1</t>
  </si>
  <si>
    <t>Check: lines sum to total (should be 0)</t>
  </si>
  <si>
    <t>Year-ago comparatives (memo, as reported)</t>
  </si>
  <si>
    <t>Product revenue — year-ago period</t>
  </si>
  <si>
    <t>2024 periods from Q1-25, Q2-25, Q3-25, Q4-25 releases (S11,S10,S8,S6)</t>
  </si>
  <si>
    <t>Service revenue — year-ago period</t>
  </si>
  <si>
    <t>Installation revenue — year-ago period</t>
  </si>
  <si>
    <t>Electricity revenue — year-ago period</t>
  </si>
  <si>
    <t>Product revenue as reported (history input)</t>
  </si>
  <si>
    <t>Reported product revenue (S3,S5,S6,S8,S10,S11)</t>
  </si>
  <si>
    <t>Product revenue drivers</t>
  </si>
  <si>
    <t>Megawatts accepted in quarter</t>
  </si>
  <si>
    <t>Not disclosed quarterly by issuer (S4)</t>
  </si>
  <si>
    <t>Average selling price ($/kW)</t>
  </si>
  <si>
    <t>Not disclosed; mgmt says ASP proxy less relevant</t>
  </si>
  <si>
    <t>Customer consideration reduction as % of gross product revenue</t>
  </si>
  <si>
    <t>Δ Q/Q (bps)</t>
  </si>
  <si>
    <t>Customer consideration asset ladder (Oracle warrant)</t>
  </si>
  <si>
    <t>Opening balance</t>
  </si>
  <si>
    <t>Additions (derived: closing - opening + amortisation)</t>
  </si>
  <si>
    <t>2Q26 derived 311.512 = S4 statement of stockholders' equity, 3M share-based consideration payable to customer's customer $311,512k (6M $308,422k); S4 Note 3 narrative states $311.0m (0.5m below the equity statement and 324.4 - 12.9 = 311.5; not explained by issuer). 3Q26E no new grants assumed</t>
  </si>
  <si>
    <t>Amortisation (revenue reduction)</t>
  </si>
  <si>
    <t>Closing balance (current + long-term)</t>
  </si>
  <si>
    <t>3Q26E closing computed on this ladder; tie to BS J16+J26 included in Cover C29 check</t>
  </si>
  <si>
    <t>Average balance</t>
  </si>
  <si>
    <t>FY25 = day-weighted average of quarterly averages (days row 7), not an opening/closing average</t>
  </si>
  <si>
    <t>Channel and customer concentration</t>
  </si>
  <si>
    <t>Related-party revenue (Brookfield JVs etc.)</t>
  </si>
  <si>
    <t>n/f</t>
  </si>
  <si>
    <t>Statement footnotes (S3,S5,S6,S8); FY25 reported $892.0m; 3Q26E not forecast (no evidence on channel mix). 2Q26 $2.8m re-verified: S3 fn 1 and S4 Note 11 ($2,818k 3M; 6M $376,081k = 1Q26 373.3 + 2Q26 2.8)</t>
  </si>
  <si>
    <t>Related-party % of revenue</t>
  </si>
  <si>
    <t>Third-party revenue</t>
  </si>
  <si>
    <t>Largest customer % of revenue (disclosed)</t>
  </si>
  <si>
    <t>10-Q/10-K concentration notes (S4,S7 via S17); other periods n/d</t>
  </si>
  <si>
    <t>Order book and contract balances</t>
  </si>
  <si>
    <t>Deferred revenue &amp; customer deposits — opening</t>
  </si>
  <si>
    <t>12/31/24 opening $286.4m (S11)</t>
  </si>
  <si>
    <t>Net change per cash flow statement</t>
  </si>
  <si>
    <t>Other / non-cash movements (derived)</t>
  </si>
  <si>
    <t>Deferred revenue &amp; customer deposits — closing</t>
  </si>
  <si>
    <t>3Q26E not forecast (subtotal method): held flat; CF J36 working-capital build is carried in BS J18, so J104:J106 do not imply a forecast change</t>
  </si>
  <si>
    <t>Closing balance as % of quarterly revenue</t>
  </si>
  <si>
    <t>Accounts receivable + contract assets (closing)</t>
  </si>
  <si>
    <t>3Q26E not forecast (subtotal method): held flat; J108 = 0 and J109:J110 do not imply a forecast of no AR/contract-asset change (CF J36 -100 build sits in BS J18)</t>
  </si>
  <si>
    <t>AR + contract assets as % of quarterly revenue</t>
  </si>
  <si>
    <t>Unsatisfied performance obligations — product &amp; installation</t>
  </si>
  <si>
    <t>10-Q Note 3 (S4): $442.4m at 6/30/26 vs $394.4m at 12/31/25; other quarter-ends not collected</t>
  </si>
  <si>
    <t>Unsatisfied performance obligations — deferred service</t>
  </si>
  <si>
    <t>S4</t>
  </si>
  <si>
    <t>Product backlog (issuer, approx.)</t>
  </si>
  <si>
    <t>~$6bn at 12/31/25, ~2.5x Y/Y (S6); not updated quarterly</t>
  </si>
  <si>
    <t>Total backlog incl. service (issuer, approx.)</t>
  </si>
  <si>
    <t>~$20bn at 12/31/25 (S6)</t>
  </si>
  <si>
    <t>Notes: Bloom reports a single operating segment (ASC 280, CODM reviews consolidated results) — drivers are built on this tab. Geography: see Geo tab (U.S. 90% of 1H26 revenue).</t>
  </si>
  <si>
    <t>Income Statement — GAAP to non-GAAP</t>
  </si>
  <si>
    <t>Revenue</t>
  </si>
  <si>
    <t>Product</t>
  </si>
  <si>
    <t>Installation</t>
  </si>
  <si>
    <t>Service</t>
  </si>
  <si>
    <t>Electricity</t>
  </si>
  <si>
    <t>Cost of revenue</t>
  </si>
  <si>
    <t>Total cost of revenue</t>
  </si>
  <si>
    <t>Gross profit</t>
  </si>
  <si>
    <t>GAAP gross margin by line (3Q26E = input assumptions)</t>
  </si>
  <si>
    <t>Product gross margin</t>
  </si>
  <si>
    <t>3Q26E 35.8%: below 2Q26 36.5% for larger Oracle consideration &amp; expediting (S4,S12,S17)</t>
  </si>
  <si>
    <t>Δ Y/Y (bps)</t>
  </si>
  <si>
    <t>Installation gross margin</t>
  </si>
  <si>
    <t>3Q26E -8%: volatile; 4-qtr avg ~-10% (S3,S6)</t>
  </si>
  <si>
    <t>Service gross margin</t>
  </si>
  <si>
    <t>3Q26E 17%: 2Q26 18.7%, 1Q26 13.3% (S3)</t>
  </si>
  <si>
    <t>Electricity gross margin</t>
  </si>
  <si>
    <t>3Q26E 28%: 1Q26-2Q26 range 24-31% (S3)</t>
  </si>
  <si>
    <t>Total gross margin</t>
  </si>
  <si>
    <t>Operating expenses</t>
  </si>
  <si>
    <t>Research and development</t>
  </si>
  <si>
    <t>3Q26E: 2Q26 $58.9m + capacity/tech hiring</t>
  </si>
  <si>
    <t>% of revenue</t>
  </si>
  <si>
    <t>Sales and marketing</t>
  </si>
  <si>
    <t>3Q26E: 2Q26 $43.0m + growth</t>
  </si>
  <si>
    <t>General and administrative</t>
  </si>
  <si>
    <t>3Q26E: 2Q26 $71.4m incl. $3.1m credit allowance (S3)</t>
  </si>
  <si>
    <t>Total operating expenses</t>
  </si>
  <si>
    <t>Operating income (loss) — GAAP</t>
  </si>
  <si>
    <t>GAAP operating margin</t>
  </si>
  <si>
    <t>Non-operating items</t>
  </si>
  <si>
    <t>Interest income</t>
  </si>
  <si>
    <t>Cash ~$2.7bn; 2Q26 $20.9m (S3)</t>
  </si>
  <si>
    <t>Interest expense</t>
  </si>
  <si>
    <t>2Q26 $(8.9)m incl. debt-cost amortisation</t>
  </si>
  <si>
    <t>Equity in earnings (loss) of unconsolidated affiliates</t>
  </si>
  <si>
    <t>Brookfield JV intra-entity profit deferral; 4-qtr avg $(13.3)m; excluded from non-GAAP</t>
  </si>
  <si>
    <t>Other income (expense), net</t>
  </si>
  <si>
    <t>Ex-SLB gains ~$(2)m underlying</t>
  </si>
  <si>
    <t>Loss on extinguishment of debt</t>
  </si>
  <si>
    <t>Debt conversion inducement expense</t>
  </si>
  <si>
    <t>Gain (loss) on revaluation of embedded derivatives</t>
  </si>
  <si>
    <t>Total non-operating income (expense)</t>
  </si>
  <si>
    <t>Profit (loss) before income taxes</t>
  </si>
  <si>
    <t>Income tax provision</t>
  </si>
  <si>
    <t>NOL shelter; ~$0.4-1.5m/qtr (S3)</t>
  </si>
  <si>
    <t>Effective tax rate</t>
  </si>
  <si>
    <t>Net income (loss)</t>
  </si>
  <si>
    <t>Less: net income attributable to noncontrolling interest</t>
  </si>
  <si>
    <t>Net income (loss) attributable to common stockholders</t>
  </si>
  <si>
    <t>Net margin</t>
  </si>
  <si>
    <t>GAAP earnings per share</t>
  </si>
  <si>
    <t>Weighted average shares — basic (m)</t>
  </si>
  <si>
    <t>Weighted average shares — GAAP diluted (m)</t>
  </si>
  <si>
    <t>Add: convertible-note interest, net of tax (if-converted)</t>
  </si>
  <si>
    <t>10-Q EPS note: $4.280m 2Q26, $4.355m 1Q26 (S4); 2025 GAAP diluted = basic per issuer (S6,S8): 1Q-3Q25 losses; 4Q25 issuer-reported diluted 263.616m = basic, no add-back. 2025 zeros are GAAP-basis only; the 3Q25/4Q25/FY25 non-GAAP add-back is n/d (row 137)</t>
  </si>
  <si>
    <t>Diluted EPS numerator</t>
  </si>
  <si>
    <t>GAAP EPS — basic</t>
  </si>
  <si>
    <t>GAAP EPS — diluted</t>
  </si>
  <si>
    <t>GAAP diluted EPS — reported (CapIQ history / FY25 release)</t>
  </si>
  <si>
    <t>CapIQ eps_gaap_actual (S2); FY25 $(0.37) per S6</t>
  </si>
  <si>
    <t>Check: calculated less reported (rounded, should be 0)</t>
  </si>
  <si>
    <t>GAAP to non-GAAP bridge (issuer definitions)</t>
  </si>
  <si>
    <t>GAAP gross profit</t>
  </si>
  <si>
    <t>+ Stock-based compensation (cost of revenue)</t>
  </si>
  <si>
    <t>+ Restructuring (cost of revenue)</t>
  </si>
  <si>
    <t>+ Other (cost of revenue)</t>
  </si>
  <si>
    <t>Non-GAAP gross profit</t>
  </si>
  <si>
    <t>Non-GAAP gross margin</t>
  </si>
  <si>
    <t>FY26 guide ~34% (S3)</t>
  </si>
  <si>
    <t>GAAP operating expenses</t>
  </si>
  <si>
    <t>- Stock-based compensation (opex)</t>
  </si>
  <si>
    <t>- Restructuring (opex)</t>
  </si>
  <si>
    <t>3Q25 +0.031: issuer tables show COGS restructuring $31k (row 97) but total restructuring nil (row 112) in both S8 and S6; reproduced as published, not adjusted</t>
  </si>
  <si>
    <t>- Other (opex)</t>
  </si>
  <si>
    <t>Non-GAAP operating expenses</t>
  </si>
  <si>
    <t>GAAP operating income (loss)</t>
  </si>
  <si>
    <t>+ Stock-based compensation (total)</t>
  </si>
  <si>
    <t>3Q26E $57m vs $56.4-57.0m in 1H26 (S3)</t>
  </si>
  <si>
    <t>+ Restructuring (total)</t>
  </si>
  <si>
    <t>+ Other (total)</t>
  </si>
  <si>
    <t>Non-GAAP operating income</t>
  </si>
  <si>
    <t>FY26 guide $800-900m (S3)</t>
  </si>
  <si>
    <t>Check: non-GAAP GP less non-GAAP opex (should be 0)</t>
  </si>
  <si>
    <t>Non-GAAP operating margin</t>
  </si>
  <si>
    <t>+ Depreciation and amortisation</t>
  </si>
  <si>
    <t>Adjusted EBITDA (issuer: non-GAAP OI + D&amp;A)</t>
  </si>
  <si>
    <t>Adjusted EBITDA margin</t>
  </si>
  <si>
    <t>Net income (loss) to common stockholders — GAAP</t>
  </si>
  <si>
    <t>+ Net income attributable to noncontrolling interest</t>
  </si>
  <si>
    <t>+ Stock-based compensation</t>
  </si>
  <si>
    <t>+ Debt conversion inducement expense</t>
  </si>
  <si>
    <t>+ Equity in (earnings) loss of unconsolidated affiliates</t>
  </si>
  <si>
    <t>+ Loss on extinguishment of debt</t>
  </si>
  <si>
    <t>+ Restructuring</t>
  </si>
  <si>
    <t>+ Loss (gain) on derivative liabilities</t>
  </si>
  <si>
    <t>+ Effect of assets buyout and repowering</t>
  </si>
  <si>
    <t>Net gain on failed sale-leaseback terminations; none assumed 3Q26E</t>
  </si>
  <si>
    <t>+ Other</t>
  </si>
  <si>
    <t>3Q25 $0.462m = S6 (FY25 release) restated 3Q25 column, adj. NP $35.665m; original S8 release showed $0.250m / $35.453m. OI bridge row 113 uses $0.250m (S8 and S6 agree). S6 FY Other $0.832m implies the $0.250m vintage, hence G134 vs G135 gap of $0.213m (row 135); not plugged</t>
  </si>
  <si>
    <t>Adjusted net profit (non-GAAP)</t>
  </si>
  <si>
    <t>Issuer definition adds back NCI; CapIQ net_income_excl_excep is the comparable consensus line</t>
  </si>
  <si>
    <t>Adjusted net profit — as reported (memo)</t>
  </si>
  <si>
    <t>FY25 reported $198.0m vs quarterly sum (issuer "Other" classified differently in FY total)</t>
  </si>
  <si>
    <t>+ Convertible-note interest add-back (if-converted)</t>
  </si>
  <si>
    <t>3Q25/4Q25/FY25: n/d — issuer non-GAAP diluted EPS uses if-converted shares (row 139) but the interest add-back is not disclosed in S6/S8 (GAAP losses/anti-dilution; S9 lists convertibles as excluded). Not a zero</t>
  </si>
  <si>
    <t>Non-GAAP diluted EPS numerator</t>
  </si>
  <si>
    <t>Weighted average shares — non-GAAP diluted (m)</t>
  </si>
  <si>
    <t>Non-GAAP EPS — basic</t>
  </si>
  <si>
    <t>Non-GAAP (normalized) diluted EPS — consensus basis</t>
  </si>
  <si>
    <t>Basis: issuer non-GAAP diluted EPS = CapIQ normalized actual in all six history quarters (issuer prints row 147, check row 148). Reconstruction ties for 1Q25, 2Q25, 2Q26; 3Q25/4Q25/FY25 n/d (add-back undisclosed); 1Q26 see row 143</t>
  </si>
  <si>
    <t>Normalized diluted EPS — reported (CapIQ eps_normalized_actual)</t>
  </si>
  <si>
    <t>S2; FY25 $0.76 per S6</t>
  </si>
  <si>
    <t>Calculated less reported — disclosed residual, not a check (2025 convertible add-back n/d; 1Q26 unresolved)</t>
  </si>
  <si>
    <t>Residuals are assumptions, not PASS checks. 3Q25/4Q25/FY25 n/d: numerator add-back undisclosed (row 137), so no calculated EPS is shown. 1Q26: inputs tie to S4/S5 (add-back $4.355m = $8.635m 6M less $4.280m 2Q; 319.708m shares) but recompute to $0.445 vs reported $0.44; unresolved. Rounding bands rows 150-155: no undocumented normalization rule inferred</t>
  </si>
  <si>
    <t>Historical Y/Y on issuer-reported basis (row 142); 3Q26E Y/Y = model J141 vs reported 3Q25 $0.15</t>
  </si>
  <si>
    <t>Historical Q/Q on issuer-reported basis (row 142); 3Q26E Q/Q = model J141 vs reported 2Q26 $0.78</t>
  </si>
  <si>
    <t>Check: EPS arithmetic identity (display only; does not test vs reported — see row 143)</t>
  </si>
  <si>
    <t>3Q25/4Q25/FY25 test the GAAP identity only (non-GAAP diluted EPS n/d, row 141)</t>
  </si>
  <si>
    <t>Memo: issuer-printed non-GAAP diluted EPS (release reconciliation table)</t>
  </si>
  <si>
    <t>Diluted line of each quarter's own release (S11,S10,S8,S6,S5,S3); FY25 print is G142 (S6)</t>
  </si>
  <si>
    <t>Check: issuer print less CapIQ reported (row 142), should be 0</t>
  </si>
  <si>
    <t>Independent cross-source test (issuer vs CapIQ), not an arithmetic identity</t>
  </si>
  <si>
    <t>Reconciliation to reported normalized EPS at full share precision (display only; not a check; no normalization rule inferred)</t>
  </si>
  <si>
    <t>Reported-EPS band low: (row 142 - $0.005) x row 139 ($m)</t>
  </si>
  <si>
    <t>Row 139 = issuer weighted non-GAAP diluted shares at thousands precision (S11,S10,S8,S6,S5,S3); half-up rounding to $0.01 assumed</t>
  </si>
  <si>
    <t>Reported-EPS band high: (row 142 + $0.005) x row 139 ($m)</t>
  </si>
  <si>
    <t>Model numerator (row 138) inside band?</t>
  </si>
  <si>
    <t>1Q25, 2Q25, 2Q26 inside band; 1Q26 outside (142.41 vs band high 142.27), unresolved; 3Q25/4Q25/FY25 n/d (add-back undisclosed)</t>
  </si>
  <si>
    <t>Implied add-back band low: row 151 - row 135 ($m)</t>
  </si>
  <si>
    <t>Arithmetic band only, not a disclosed add-back. 1Q26 band 1.02 to 4.22 excludes the S4-derived 4.355. Not used in the forecast (J137 = 4.3 is a 2Q26 run-rate judgment)</t>
  </si>
  <si>
    <t>Implied add-back band high: row 152 - row 135 ($m)</t>
  </si>
  <si>
    <t>FY25 band exceeds the sum of quarterly bands; issuer FY non-GAAP diluted EPS convention undisclosed</t>
  </si>
  <si>
    <t>Balance Sheet</t>
  </si>
  <si>
    <t>Assets</t>
  </si>
  <si>
    <t>Cash and cash equivalents</t>
  </si>
  <si>
    <t>Restricted cash — current</t>
  </si>
  <si>
    <t>Accounts receivable, net</t>
  </si>
  <si>
    <t>Contract assets — current</t>
  </si>
  <si>
    <t>Inventories</t>
  </si>
  <si>
    <t>Deferred cost of revenue — current</t>
  </si>
  <si>
    <t>Customer consideration asset — current</t>
  </si>
  <si>
    <t>Prepaid expenses and other current assets</t>
  </si>
  <si>
    <t>Net operating working capital &amp; lease change (3Q26E, from Cash Flow)</t>
  </si>
  <si>
    <t>Forecast only: working-capital movements are forecast at subtotal level on Cash Flow; history shows lines as reported</t>
  </si>
  <si>
    <t>Total current assets</t>
  </si>
  <si>
    <t>Property, plant and equipment, net</t>
  </si>
  <si>
    <t>Investments in unconsolidated affiliates</t>
  </si>
  <si>
    <t>Operating lease right-of-use assets</t>
  </si>
  <si>
    <t>Restricted cash — non-current</t>
  </si>
  <si>
    <t>Contract assets — non-current</t>
  </si>
  <si>
    <t>Deferred cost of revenue — non-current</t>
  </si>
  <si>
    <t>Customer consideration asset — non-current</t>
  </si>
  <si>
    <t>Other long-term assets</t>
  </si>
  <si>
    <t>Total assets</t>
  </si>
  <si>
    <t>Total assets — as reported (memo)</t>
  </si>
  <si>
    <t>Check: total assets less reported (should be 0)</t>
  </si>
  <si>
    <t>Liabilities</t>
  </si>
  <si>
    <t>Accounts payable</t>
  </si>
  <si>
    <t>Accrued warranty</t>
  </si>
  <si>
    <t>Accrued expenses and other current liabilities</t>
  </si>
  <si>
    <t>Deferred revenue and customer deposits — current</t>
  </si>
  <si>
    <t>Operating lease liabilities — current</t>
  </si>
  <si>
    <t>Financing obligations — current</t>
  </si>
  <si>
    <t>Recourse debt — current</t>
  </si>
  <si>
    <t>Non-recourse debt — current</t>
  </si>
  <si>
    <t>Total current liabilities</t>
  </si>
  <si>
    <t>Deferred revenue and customer deposits — non-current</t>
  </si>
  <si>
    <t>Operating lease liabilities — non-current</t>
  </si>
  <si>
    <t>Financing obligations — non-current</t>
  </si>
  <si>
    <t>Recourse debt — non-current</t>
  </si>
  <si>
    <t>Non-recourse debt — non-current</t>
  </si>
  <si>
    <t>Deferred profit in transactions with unconsolidated affiliates</t>
  </si>
  <si>
    <t>Other long-term liabilities</t>
  </si>
  <si>
    <t>Total liabilities</t>
  </si>
  <si>
    <t>Stockholders' equity</t>
  </si>
  <si>
    <t>Common stock</t>
  </si>
  <si>
    <t>Additional paid-in capital</t>
  </si>
  <si>
    <t>Accumulated other comprehensive income (loss)</t>
  </si>
  <si>
    <t>Accumulated deficit</t>
  </si>
  <si>
    <t>Total equity attributable to common stockholders</t>
  </si>
  <si>
    <t>Noncontrolling interest</t>
  </si>
  <si>
    <t>Total stockholders' equity</t>
  </si>
  <si>
    <t>Total liabilities and stockholders' equity</t>
  </si>
  <si>
    <t>Check: assets - liabilities - equity (should be 0)</t>
  </si>
  <si>
    <t>3Q26E tie is structural: J18 is the residual of Cash Flow J36 + J12 + J16:J18 + J20:J21, so J58 = 0 by construction for 3Q26E (not an independent test). Historical columns are independent</t>
  </si>
  <si>
    <t>Memo</t>
  </si>
  <si>
    <t>Cash, cash equivalents and restricted cash</t>
  </si>
  <si>
    <t>Total recourse + non-recourse debt</t>
  </si>
  <si>
    <t>Net cash (cash &amp; equivalents less debt)</t>
  </si>
  <si>
    <t>Cash Flow Statement</t>
  </si>
  <si>
    <t>Operating activities</t>
  </si>
  <si>
    <t>Net income (loss) incl. noncontrolling interest</t>
  </si>
  <si>
    <t>Depreciation and amortisation</t>
  </si>
  <si>
    <t>3Q26E: rising capex base (2Q26 $13.7m)</t>
  </si>
  <si>
    <t>Non-cash lease expense</t>
  </si>
  <si>
    <t>Stock-based compensation expense</t>
  </si>
  <si>
    <t>Cash-flow SBC runs below non-GAAP SBC adjustment (2Q26 $52.2m vs $56.4m)</t>
  </si>
  <si>
    <t>Equity in (earnings) loss of unconsolidated affiliates, net</t>
  </si>
  <si>
    <t>Amortisation of debt issuance costs</t>
  </si>
  <si>
    <t>3Q26E ~2Q26 $3.4m</t>
  </si>
  <si>
    <t>Net gain on failed sale-and-leaseback transactions</t>
  </si>
  <si>
    <t>Share-based consideration payable to customer's customer</t>
  </si>
  <si>
    <t>Impairment, inventory reserve and other asset impairment</t>
  </si>
  <si>
    <t>3Q26E none assumed</t>
  </si>
  <si>
    <t>Other non-cash items, net (disposals, derivative revaluation, credit allowance, unrealised FX, distributions, other)</t>
  </si>
  <si>
    <t>Sum of small reported non-cash lines (S3,S5,S6); 3Q26E not forecast separately</t>
  </si>
  <si>
    <t>Changes in operating assets and liabilities</t>
  </si>
  <si>
    <t>Accounts receivable</t>
  </si>
  <si>
    <t>3Q26E forecast at subtotal level</t>
  </si>
  <si>
    <t>Contract assets</t>
  </si>
  <si>
    <t>Deferred cost of revenue</t>
  </si>
  <si>
    <t>Operating lease ROU assets and liabilities</t>
  </si>
  <si>
    <t>Financing lease liabilities</t>
  </si>
  <si>
    <t>Deferred revenue and customer deposits</t>
  </si>
  <si>
    <t>Deferred profit with equity investees and other LT liabilities</t>
  </si>
  <si>
    <t>Total change in operating assets and liabilities</t>
  </si>
  <si>
    <t>3Q26E input: receivable/contract-asset build on acceptances, partly offset by deposits (S4,S17)</t>
  </si>
  <si>
    <t>Net cash provided by (used in) operating activities</t>
  </si>
  <si>
    <t>Operating cash flow — as reported (memo)</t>
  </si>
  <si>
    <t>Check: calculated less reported (should be 0)</t>
  </si>
  <si>
    <t>Investing activities</t>
  </si>
  <si>
    <t>Purchase of property, plant and equipment</t>
  </si>
  <si>
    <t>3Q26E judgmental (amount not guided): 2-GW capacity build + Fremont facility acquisition (158k sq ft; ~$100-150m per added GW, S27 published 9/29/26); not S16</t>
  </si>
  <si>
    <t>Proceeds from sale of property, plant and equipment</t>
  </si>
  <si>
    <t>Brookfield JV equity contributions</t>
  </si>
  <si>
    <t>Net cash used in investing activities</t>
  </si>
  <si>
    <t>Financing activities</t>
  </si>
  <si>
    <t>Proceeds from issuance of debt</t>
  </si>
  <si>
    <t>Payment of debt issuance costs</t>
  </si>
  <si>
    <t>Repayment of debt</t>
  </si>
  <si>
    <t>Proceeds from financing obligations</t>
  </si>
  <si>
    <t>Repayment of financing obligations</t>
  </si>
  <si>
    <t>Proceeds from issuance of common stock</t>
  </si>
  <si>
    <t>Dividend paid to noncontrolling interest</t>
  </si>
  <si>
    <t>Other financing</t>
  </si>
  <si>
    <t>Net cash provided by (used in) financing activities</t>
  </si>
  <si>
    <t>Effect of exchange rate changes on cash</t>
  </si>
  <si>
    <t>Net change in cash, cash equivalents and restricted cash</t>
  </si>
  <si>
    <t>Cash, cash equivalents and restricted cash — beginning</t>
  </si>
  <si>
    <t>Cash, cash equivalents and restricted cash — ending</t>
  </si>
  <si>
    <t>Cash, equivalents and restricted cash per Balance Sheet</t>
  </si>
  <si>
    <t>Check: change in cash ties to Balance Sheet (should be 0)</t>
  </si>
  <si>
    <t>Free cash flow (issuer definition: operating cash flow less purchases of PP&amp;E)</t>
  </si>
  <si>
    <t>Free cash flow</t>
  </si>
  <si>
    <t>2Q26 $175m per CFO (S12)</t>
  </si>
  <si>
    <t>FCF margin</t>
  </si>
  <si>
    <t>Capex as % of revenue</t>
  </si>
  <si>
    <t>Revenue by geography</t>
  </si>
  <si>
    <t>Issuer disclosures (U.S. share of revenue, %)</t>
  </si>
  <si>
    <t>U.S. share — year-to-date (disclosed)</t>
  </si>
  <si>
    <t>6M25 58% (Q2-25 10-Q), 9M25 72% (S9), FY25 81% (FY25 10-K, cited S17), 6M26 90% (S4)</t>
  </si>
  <si>
    <t>U.S. share — quarter (disclosed)</t>
  </si>
  <si>
    <t>2Q25 59% (S4 comparative), 3Q25 92% (S9), 2Q26 90% (S4); 3Q26E input 88%</t>
  </si>
  <si>
    <t>United States</t>
  </si>
  <si>
    <t>1Q25, 4Q25, 1Q26 derived from rounded YTD percentages (approximate); mixed YTD/quarter derivation means 1Q-3Q25 sum 899.3 vs 9M 72% x 1,246.3 = 897.3 and FY 81.1% vs disclosed 81% (~2.0m rounding gap)</t>
  </si>
  <si>
    <t>International (Republic of Korea, Japan, India, Taiwan, Europe)</t>
  </si>
  <si>
    <t>Issuer discloses only U.S. share in 10-Qs; country split not disclosed quarterly</t>
  </si>
  <si>
    <t>Total revenue by geography</t>
  </si>
  <si>
    <t>U.S. % of total</t>
  </si>
  <si>
    <t>International % of total</t>
  </si>
  <si>
    <t>Check: geography sums to total revenue (should be 0)</t>
  </si>
  <si>
    <t>Share Count</t>
  </si>
  <si>
    <t>Shares outstanding roll-forward (m)</t>
  </si>
  <si>
    <t>Opening shares outstanding</t>
  </si>
  <si>
    <t>12/31/24: 229,142,474 (S11)</t>
  </si>
  <si>
    <t>Shares issued, net (options/RSUs/ESPP, conversions, warrant)</t>
  </si>
  <si>
    <t>3Q26E: 294.527m at 7/22/26 (S4) plus ~1.4m further vesting/ESPP</t>
  </si>
  <si>
    <t>Shares repurchased</t>
  </si>
  <si>
    <t>none</t>
  </si>
  <si>
    <t>No repurchase programme disclosed (S4,S7)</t>
  </si>
  <si>
    <t>Closing shares outstanding</t>
  </si>
  <si>
    <t>Balance sheet face (S3,S5,S6,S8,S10,S11)</t>
  </si>
  <si>
    <t>Q/Q change (m)</t>
  </si>
  <si>
    <t>Y/Y change (m)</t>
  </si>
  <si>
    <t>Proceeds from issuance of common stock ($m)</t>
  </si>
  <si>
    <t>Weighted average shares (m)</t>
  </si>
  <si>
    <t>Weighted average shares — basic</t>
  </si>
  <si>
    <t>Reported (S3,S5,S6,S8); FY25 240.402m reported; 3Q26E average of opening/closing</t>
  </si>
  <si>
    <t>Dilutive: convertible notes (if-converted)</t>
  </si>
  <si>
    <t>10-Q EPS note 2Q26 (S4): convertibles on if-converted method (numerator adds interest net of tax); max conversion shares at 6/30/26: 0% Notes 19.554m, 2029 Green 1.715m, 2028 Green 0.059m (redeemed 7/10/26). 3Q26E held flat at 2Q26 weighted 19.6m (judgment)</t>
  </si>
  <si>
    <t>Dilutive: Oracle warrant</t>
  </si>
  <si>
    <t>Exercised 5/1/26 (S4) — nil after exercise</t>
  </si>
  <si>
    <t>Dilutive: stock options and awards (treasury method)</t>
  </si>
  <si>
    <t>2Q26 16.0m (S4); 3Q26E +1.4m for higher average share price in 3Q26</t>
  </si>
  <si>
    <t>Total dilutive securities — GAAP</t>
  </si>
  <si>
    <t>Weighted average shares — GAAP diluted</t>
  </si>
  <si>
    <t>GAAP diluted = basic in 2025 periods as issuer-reported (1Q-3Q25 losses; 4Q25 diluted 263.616m = basic per S6)</t>
  </si>
  <si>
    <t>Weighted average shares — non-GAAP diluted (EPS forecast share count)</t>
  </si>
  <si>
    <t>Issuer non-GAAP reconciliation (S3,S5,S6); 3Q26E = GAAP diluted (profitable)</t>
  </si>
  <si>
    <t>Dilution: non-GAAP diluted / basic</t>
  </si>
  <si>
    <t>3Q26E normalized EPS sensitivity to the if-converted share judgment (J22) — display only; forecast EPS unchanged</t>
  </si>
  <si>
    <t>Base normalized diluted EPS, if-converted shares per J22 ($)</t>
  </si>
  <si>
    <t>EPS change per +1.0m diluted shares, same numerator ($)</t>
  </si>
  <si>
    <t>Alt. if-converted shares: 0% + 2029 Green max at 6/30/26 (m)</t>
  </si>
  <si>
    <t>19.554m + 1.715m maximum conversion shares (S4 Note 8, per L22); 2028 Green redeemed 7/10/26. Illustrative only, not a forecast input</t>
  </si>
  <si>
    <t>EPS at alternative shares, same $4.3m add-back ($)</t>
  </si>
  <si>
    <t>EPS excl. convertibles (no shares, no add-back) ($)</t>
  </si>
  <si>
    <t>Bounds the judgment; 19.6m held at 2Q26 weighted 19.598m (S4) remains the forecast basis</t>
  </si>
  <si>
    <t>Guidance — issuer full-year guidance history and implied 3Q26</t>
  </si>
  <si>
    <t>Guidance item</t>
  </si>
  <si>
    <t>Date given</t>
  </si>
  <si>
    <t>Low</t>
  </si>
  <si>
    <t>High</t>
  </si>
  <si>
    <t>Midpoint</t>
  </si>
  <si>
    <t>Actual</t>
  </si>
  <si>
    <t>Actual vs mid</t>
  </si>
  <si>
    <t>Beat / miss</t>
  </si>
  <si>
    <t>FY2025 revenue ($m)</t>
  </si>
  <si>
    <t>FY25</t>
  </si>
  <si>
    <t>S23 (Q4-24 call, 2/27/25)</t>
  </si>
  <si>
    <t>FY2025 non-GAAP gross margin</t>
  </si>
  <si>
    <t>S23 (~29%). I11 is a percentage-point difference (H11 - G11 = +1.3 pp), not a ratio like I10/I12/I13</t>
  </si>
  <si>
    <t>FY2025 non-GAAP operating income ($m)</t>
  </si>
  <si>
    <t>S23 (~$150m)</t>
  </si>
  <si>
    <t>FY2025 revenue ($m) — reaffirmed</t>
  </si>
  <si>
    <t>S11</t>
  </si>
  <si>
    <t>FY2026 revenue ($m)</t>
  </si>
  <si>
    <t>FY26</t>
  </si>
  <si>
    <t>pending</t>
  </si>
  <si>
    <t>Pending</t>
  </si>
  <si>
    <t>S6</t>
  </si>
  <si>
    <t>FY2026 non-GAAP gross margin</t>
  </si>
  <si>
    <t>S6 (~32%)</t>
  </si>
  <si>
    <t>FY2026 non-GAAP operating income ($m)</t>
  </si>
  <si>
    <t>FY2026 non-GAAP EPS</t>
  </si>
  <si>
    <t>FY2026 revenue ($m) — raised</t>
  </si>
  <si>
    <t>S5</t>
  </si>
  <si>
    <t>FY2026 non-GAAP gross margin — raised</t>
  </si>
  <si>
    <t>S5 (~34%)</t>
  </si>
  <si>
    <t>FY2026 non-GAAP operating income ($m) — raised</t>
  </si>
  <si>
    <t>FY2026 non-GAAP EPS — raised</t>
  </si>
  <si>
    <t>FY2026 revenue ($m) — raised (latest)</t>
  </si>
  <si>
    <t>S3</t>
  </si>
  <si>
    <t>FY2026 non-GAAP gross margin — held (latest)</t>
  </si>
  <si>
    <t>S3 (~34%)</t>
  </si>
  <si>
    <t>FY2026 non-GAAP operating income ($m) — raised (latest)</t>
  </si>
  <si>
    <t>FY2026 non-GAAP EPS — raised (latest)</t>
  </si>
  <si>
    <t>Guidance-implied 3Q26 (derived — issuer guides full year only; even 2H split)</t>
  </si>
  <si>
    <t>1H26 actual revenue ($m)</t>
  </si>
  <si>
    <t>Implied 2H26 revenue ($m) (latest guide less 1H26)</t>
  </si>
  <si>
    <t>Implied 3Q26 revenue ($m) (2H26 / 2)</t>
  </si>
  <si>
    <t>1H26 actual non-GAAP operating income ($m)</t>
  </si>
  <si>
    <t>Implied 2H26 non-GAAP operating income ($m) (latest guide less 1H26)</t>
  </si>
  <si>
    <t>Implied 3Q26 non-GAAP operating income ($m) (2H26 / 2)</t>
  </si>
  <si>
    <t>1H26 reported non-GAAP EPS, 1Q26 + 2Q26 (per-share sum; approximate)</t>
  </si>
  <si>
    <t>Issuer-reported 1Q26 $0.44 + 2Q26 $0.78 (IS row 142), same basis as FY26 guidance</t>
  </si>
  <si>
    <t>Implied 2H26 non-GAAP EPS (FY guide less 1H26 per-share sum; approximate)</t>
  </si>
  <si>
    <t>Implied 3Q26 non-GAAP EPS (2H26 / 2) — approximate cross-check only</t>
  </si>
  <si>
    <t>Approximate: FY EPS is not the sum of quarterly EPS when diluted shares change (319.7m 1Q26, 323.3m 2Q26, 331.7m 3Q26E). An exact split needs a day-weighted FY26 diluted share denominator, which is not disclosed. Cross-check only; does not drive IS J141</t>
  </si>
  <si>
    <t>Implied 3Q26 adjusted net profit ($m) = approx. implied EPS (row 36) x diluted shares - add-back</t>
  </si>
  <si>
    <t>Implied 2H26 non-GAAP gross margin needed for ~34% FY (at revenue midpoint)</t>
  </si>
  <si>
    <t>I38 is a percentage-point difference (H38 - G38), not a ratio</t>
  </si>
  <si>
    <t>Guidance record: FY25 revenue beat initial midpoint; FY26 revenue midpoint raised twice ($3.2bn -&gt; $3.6bn -&gt; $4.05bn) — conservative guider</t>
  </si>
  <si>
    <t>FY26 latest revenue midpoint vs initial (Feb-26) midpoint</t>
  </si>
  <si>
    <t>Inputs — supplied CapIQ files (raw) and calibration</t>
  </si>
  <si>
    <t>1. BE_consensus.json — top-level fields (S1, file SHA256 in input-usage.json)</t>
  </si>
  <si>
    <t>source</t>
  </si>
  <si>
    <t>S&amp;P Capital IQ</t>
  </si>
  <si>
    <t>ticker</t>
  </si>
  <si>
    <t>BE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</si>
  <si>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</si>
  <si>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</si>
  <si>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</si>
  <si>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</si>
  <si>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</si>
  <si>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</si>
  <si>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</si>
  <si>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</si>
  <si>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</si>
  <si>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</si>
  <si>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</si>
  <si>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</si>
  <si>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</si>
  <si>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</si>
  <si>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</si>
  <si>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</si>
  <si>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</si>
  <si>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</si>
  <si>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</si>
  <si>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</si>
  <si>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</si>
  <si>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</si>
  <si>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</si>
  <si>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</si>
  <si>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</si>
  <si>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</si>
  <si>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</si>
  <si>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2. summary_row — complete raw CapIQ row (S1); blank source values preserved as blank</t>
  </si>
  <si>
    <t>Field</t>
  </si>
  <si>
    <t>Value</t>
  </si>
  <si>
    <t>Source status</t>
  </si>
  <si>
    <t>as captured</t>
  </si>
  <si>
    <t>company_name</t>
  </si>
  <si>
    <t>exchange_ticker</t>
  </si>
  <si>
    <t>NYSE:BE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</si>
  <si>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</si>
  <si>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</si>
  <si>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</si>
  <si>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</si>
  <si>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</si>
  <si>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</si>
  <si>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</si>
  <si>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</si>
  <si>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</si>
  <si>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</si>
  <si>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</si>
  <si>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blank in source (unavailable)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</si>
  <si>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</si>
  <si>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</si>
  <si>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</si>
  <si>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</si>
  <si>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</si>
  <si>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</si>
  <si>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</si>
  <si>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</si>
  <si>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</si>
  <si>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</si>
  <si>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</si>
  <si>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</si>
  <si>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</si>
  <si>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</si>
  <si>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</si>
  <si>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</si>
  <si>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</si>
  <si>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</si>
  <si>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</si>
  <si>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</si>
  <si>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</si>
  <si>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</si>
  <si>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</si>
  <si>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</si>
  <si>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</si>
  <si>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</si>
  <si>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</si>
  <si>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</si>
  <si>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</si>
  <si>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</si>
  <si>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</si>
  <si>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</si>
  <si>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</si>
  <si>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</si>
  <si>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</si>
  <si>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</si>
  <si>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</si>
  <si>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</si>
  <si>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</si>
  <si>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</si>
  <si>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</si>
  <si>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</si>
  <si>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</si>
  <si>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</si>
  <si>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</si>
  <si>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</si>
  <si>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</si>
  <si>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</si>
  <si>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</si>
  <si>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</si>
  <si>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</si>
  <si>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</si>
  <si>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</si>
  <si>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</si>
  <si>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351.28/75.70</t>
  </si>
  <si>
    <t>estimates_captured_at</t>
  </si>
  <si>
    <t>notes</t>
  </si>
  <si>
    <t>CapIQ expects the release Oct-29-2026, outside the Oct 19-23 window. Consensus has understated both EPS and revenue in all six prior quarters, revenue by 8 to 39 percent, so this name has a strong one-directional surprise history and a very wide target-price range.</t>
  </si>
  <si>
    <t>Adjacent note: S2 rows (Inputs H104:I109) give six-quarter revenue surprises of 5.9% to 39.1% (2Q25 5.9%); raw text in C100 kept as captured</t>
  </si>
  <si>
    <t>3. BE_history.csv — all six rows as captured (S2)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</si>
  <si>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</si>
  <si>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</si>
  <si>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</si>
  <si>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</si>
  <si>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</si>
  <si>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</si>
  <si>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</si>
  <si>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normalized_beat_strict</t>
  </si>
  <si>
    <t>normalized_surprise_usd</t>
  </si>
  <si>
    <t>Average normalized surprise ($/share), six quarters</t>
  </si>
  <si>
    <t>Average normalized surprise ($/share), last two quarters (seasonal comparability limited)</t>
  </si>
  <si>
    <t>4. Beat-probability calibration (forecasting playbook §7)</t>
  </si>
  <si>
    <t>Last close before cutoff (USD/share, 10/16/26)</t>
  </si>
  <si>
    <t>Linked to CapIQ last_close_price (C97); equals 10/16/26 close per S15</t>
  </si>
  <si>
    <t>Common shares outstanding (m, 7/22/26)</t>
  </si>
  <si>
    <t>S4 10-Q cover</t>
  </si>
  <si>
    <t>Market capitalisation ($bn)</t>
  </si>
  <si>
    <t>Derived; ~$87bn on 10/7/26 per S16</t>
  </si>
  <si>
    <t>Size bucket (small $0.3-2bn / mid $2-10bn / large &gt;$10bn)</t>
  </si>
  <si>
    <t>S&amp;P 500 member at cutoff</t>
  </si>
  <si>
    <t>Added effective 9/21/26 (S14)</t>
  </si>
  <si>
    <t>Cohort prior (0.60 small / 0.70 mid / 0.78 large or S&amp;P 500)</t>
  </si>
  <si>
    <t>Applied once</t>
  </si>
  <si>
    <t>Strict normalized beats in history (b)</t>
  </si>
  <si>
    <t>All six pairs on same basis (issuer non-GAAP)</t>
  </si>
  <si>
    <t>No exclusions</t>
  </si>
  <si>
    <t>Pseudo-count (fixed)</t>
  </si>
  <si>
    <t>Playbook regularisation weight</t>
  </si>
  <si>
    <t>Starting probability = (8 x prior + b) / (8 + n)</t>
  </si>
  <si>
    <t>Final P(beat consensus EPS) after 3Q26-specific evidence</t>
  </si>
  <si>
    <t>Model EPS ~$0.77 vs $0.67 consensus; offsets: lumpy campus acceptances, AI-power selloff/customer credit (S19,S24)</t>
  </si>
  <si>
    <t>Implied evidence adjustment vs starting probability</t>
  </si>
  <si>
    <t>5. Other consensus observations (recorded separately; frozen CapIQ snapshot remains the scoring baseline)</t>
  </si>
  <si>
    <t>Source</t>
  </si>
  <si>
    <t>Date</t>
  </si>
  <si>
    <t>EPS</t>
  </si>
  <si>
    <t>MarketBeat preview (S18)</t>
  </si>
  <si>
    <t>drillr preview, 10 analysts (S17)</t>
  </si>
  <si>
    <t>range $999m-$1,108m</t>
  </si>
  <si>
    <t>Tickeron preview (S25)</t>
  </si>
  <si>
    <t>Sources</t>
  </si>
  <si>
    <t>Title / description</t>
  </si>
  <si>
    <t>ID</t>
  </si>
  <si>
    <t>Published</t>
  </si>
  <si>
    <t>Publisher</t>
  </si>
  <si>
    <t>Retrieved (UTC)</t>
  </si>
  <si>
    <t>Feeds</t>
  </si>
  <si>
    <t>URL or file</t>
  </si>
  <si>
    <t>Frozen consensus (EPS, revenue, NI, EBITDA), summary row</t>
  </si>
  <si>
    <t>S1</t>
  </si>
  <si>
    <t>S&amp;P Capital IQ (supplied file)</t>
  </si>
  <si>
    <t>supplied</t>
  </si>
  <si>
    <t>Frozen consensus (EPS, revenue, NI, EBITDA), summary row -&gt; Inputs, Cover</t>
  </si>
  <si>
    <t>workspace/BE_consensus.json</t>
  </si>
  <si>
    <t>Six-quarter actual vs consensus history</t>
  </si>
  <si>
    <t>S2</t>
  </si>
  <si>
    <t>Six-quarter actual vs consensus history -&gt; Inputs, IS EPS checks, revenue checks, calibration</t>
  </si>
  <si>
    <t>workspace/BE_history.csv</t>
  </si>
  <si>
    <t>Q2-26 and Q1-26 IS/BS/CF, non-GAAP bridges, FY26 guidance (Jul-26)</t>
  </si>
  <si>
    <t>Bloom Energy / SEC 8-K Ex.99.1</t>
  </si>
  <si>
    <t>https://www.sec.gov/Archives/edgar/data/1664703/000162828026050150/ex991_q226financialresults.htm</t>
  </si>
  <si>
    <t>EPS dilution note, Oracle warrant/customer consideration, RPO, U.S. revenue share, customer concentration, share count 7/22/26</t>
  </si>
  <si>
    <t>Bloom Energy 10-Q (SEC)</t>
  </si>
  <si>
    <t>https://www.sec.gov/Archives/edgar/data/1664703/000162828026050247/be-20260630.htm</t>
  </si>
  <si>
    <t>Q1-26, Q1-25 statements; FY26 guidance (Apr-26); 3/31/26 BS</t>
  </si>
  <si>
    <t>https://www.sec.gov/Archives/edgar/data/1664703/000162828026027913/ex991_q126financialresults.htm</t>
  </si>
  <si>
    <t>Q4-25, Q3-25, FY25 statements and bridges; FY26 guidance (Feb-26); backlog</t>
  </si>
  <si>
    <t>https://www.sec.gov/Archives/edgar/data/1664703/000162828026005798/ex991_q42025financialresul.htm</t>
  </si>
  <si>
    <t>FY25 annual detail, backlog definitions, single segment; Segment tabs omitted (one reportable segment)</t>
  </si>
  <si>
    <t>S7</t>
  </si>
  <si>
    <t>Bloom Energy 10-K (SEC)</t>
  </si>
  <si>
    <t>https://www.sec.gov/Archives/edgar/data/1664703/000162828026006516/be-20251231.htm</t>
  </si>
  <si>
    <t>9/30/25 BS, Q3-24 comparatives</t>
  </si>
  <si>
    <t>S8</t>
  </si>
  <si>
    <t>https://www.sec.gov/Archives/edgar/data/1664703/000162828025046745/ex991_q32025financialresul.htm</t>
  </si>
  <si>
    <t>U.S. revenue share 3Q25 / 9M25</t>
  </si>
  <si>
    <t>S9</t>
  </si>
  <si>
    <t>https://www.sec.gov/Archives/edgar/data/1664703/000162828025046844/be-20250930.htm</t>
  </si>
  <si>
    <t>6/30/25 BS, Q2-24 comparatives</t>
  </si>
  <si>
    <t>S10</t>
  </si>
  <si>
    <t>https://www.sec.gov/Archives/edgar/data/1664703/000162828025036998/ex991_q22025financialresul.htm</t>
  </si>
  <si>
    <t>3/31/25 BS, Q1-24/Q4-24 comparatives, FY25 guidance reaffirmed</t>
  </si>
  <si>
    <t>https://www.sec.gov/Archives/edgar/data/1664703/000162828025021092/ex991_q12025financialresul.htm</t>
  </si>
  <si>
    <t>Q2-26 call: guidance construction, FCF $175m, OCF baseline $375m+, margin commentary</t>
  </si>
  <si>
    <t>S12</t>
  </si>
  <si>
    <t>StockAnalysis (call transcript)</t>
  </si>
  <si>
    <t>https://stockanalysis.com/stocks/be/transcripts/656441-q2-2026/</t>
  </si>
  <si>
    <t>Issuer-confirmed report date 10/22/26 AMC</t>
  </si>
  <si>
    <t>S13</t>
  </si>
  <si>
    <t>Bloom Energy press release</t>
  </si>
  <si>
    <t>https://investor.bloomenergy.com/press-releases/press-release-details/2026/Bloom-Energy-to-Announce-Third-Quarter-2026-Financial-Results-on-October-22-2026/default.aspx</t>
  </si>
  <si>
    <t>S&amp;P 500 membership (effective 9/21/26)</t>
  </si>
  <si>
    <t>S14</t>
  </si>
  <si>
    <t>S&amp;P Dow Jones Indices</t>
  </si>
  <si>
    <t>S&amp;P 500 membership (effective 9/21/26) -&gt; calibration</t>
  </si>
  <si>
    <t>https://press.spglobal.com/2026-09-04-Bloom-Energy,-Illumina,-and-Everpure-Set-to-Join-S-P-500-Others-to-Join-S-P-100,-S-P-MidCap-400,-and-S-P-SmallCap-600</t>
  </si>
  <si>
    <t>Close $221.31 on 10/16/26</t>
  </si>
  <si>
    <t>S15</t>
  </si>
  <si>
    <t>TIKR</t>
  </si>
  <si>
    <t>Close $221.31 on 10/16/26 -&gt; market cap</t>
  </si>
  <si>
    <t>https://www.tikr.com/blog/bloom-energy-stock-fell-21-in-a-week-heres-what-its-october-22-report-needs-to-show</t>
  </si>
  <si>
    <t>Market cap ~$87bn cross-check</t>
  </si>
  <si>
    <t>S16</t>
  </si>
  <si>
    <t>Energy Stock Channel</t>
  </si>
  <si>
    <t>https://www.energystockchannel.com/article/202610/williams-surpasses-bloom-energy-in-s-p-500-market-cap-ranking-wmb-be-WMB10072026mbumped.htm/</t>
  </si>
  <si>
    <t>Q3 preview: consensus $0.68/$1,058m, concentration, Oracle consideration, FY25 U.S. share 81%</t>
  </si>
  <si>
    <t>S17</t>
  </si>
  <si>
    <t>drillr research</t>
  </si>
  <si>
    <t>https://drillr.ai/article/be-bloom-energy-q3-2026-earnings-preview-ai-data-center-deliveries</t>
  </si>
  <si>
    <t>Newer consensus observation $0.687 / $1.06bn</t>
  </si>
  <si>
    <t>S18</t>
  </si>
  <si>
    <t>MarketBeat</t>
  </si>
  <si>
    <t>https://www.marketbeat.com/instant-alerts/upcoming-bloom-energy-be-expected-to-release-quarterly-earnings-on-thursday-2026-10-15/</t>
  </si>
  <si>
    <t>Downside evidence: Oracle trucked gas / pipeline delay</t>
  </si>
  <si>
    <t>S19</t>
  </si>
  <si>
    <t>Investing.com</t>
  </si>
  <si>
    <t>https://www.investing.com/news/stock-market-news/bloom-energy-shares-fall-on-report-of-oracle-using-natural-gas-for-data-centers-4939543</t>
  </si>
  <si>
    <t>Oracle force-majeure notice on 2028 Project Jupiter; contract reaffirmed</t>
  </si>
  <si>
    <t>S20</t>
  </si>
  <si>
    <t>24/7 Wall St.</t>
  </si>
  <si>
    <t>https://247wallst.com/investing/2026/09/25/bloom-energy-jumps-8-as-oracle-reaffirms-2-4-gw-fuel-cell-contract-after-force-majeure-notice/</t>
  </si>
  <si>
    <t>Nebius 300 MW Vineland selection (demand evidence)</t>
  </si>
  <si>
    <t>S21</t>
  </si>
  <si>
    <t>Yahoo Finance</t>
  </si>
  <si>
    <t>https://finance.yahoo.com/technology/ai/articles/bloom-energy-shares-rise-nebius-105408754.html</t>
  </si>
  <si>
    <t>Sell-side revisions (Baird PT $351; Truist PT raise on higher ASPs)</t>
  </si>
  <si>
    <t>S22</t>
  </si>
  <si>
    <t>https://www.investing.com/news/analyst-ratings/baird-raises-bloom-energy-stock-price-target-on-production-expansion-outlook-93CH-4951554</t>
  </si>
  <si>
    <t>FY25 initial guidance</t>
  </si>
  <si>
    <t>S23</t>
  </si>
  <si>
    <t>MarketBeat (Q4-24 call)</t>
  </si>
  <si>
    <t>FY25 initial guidance -&gt; Guidance tab</t>
  </si>
  <si>
    <t>https://www.marketbeat.com/earnings/reports/2025-2-27-bloom-energy-co-stock/</t>
  </si>
  <si>
    <t>Downside evidence: AI-power selloff, CoreWeave credit concerns</t>
  </si>
  <si>
    <t>S24</t>
  </si>
  <si>
    <t>BestStocks</t>
  </si>
  <si>
    <t>https://beststocks.com/stocks/be/what-changed/2026-10-16</t>
  </si>
  <si>
    <t>Newer consensus observation $0.67 / ~$1.06bn</t>
  </si>
  <si>
    <t>S25</t>
  </si>
  <si>
    <t>Tickeron</t>
  </si>
  <si>
    <t>https://tickeron.com/blogs/bloom-energy-be-q3-2026-earnings-preview-tracking-ai-data-center-momentum-17985/</t>
  </si>
  <si>
    <t>Context for cohort prior only</t>
  </si>
  <si>
    <t>S26</t>
  </si>
  <si>
    <t>FactSet / LSEG (playbook references)</t>
  </si>
  <si>
    <t>https://insight.factset.com/sp-500-earnings-season-update-july-31-2026</t>
  </si>
  <si>
    <t>Fremont facility acquisition (158k sq ft); ~$100-150m investment per added GW of capacity</t>
  </si>
  <si>
    <t>S27</t>
  </si>
  <si>
    <t>Ava Advisor (news)</t>
  </si>
  <si>
    <t>cached search result; retrieval time not recorded</t>
  </si>
  <si>
    <t>Fremont facility / capex-per-GW context -&gt; CF J43 (judgmental capex)</t>
  </si>
  <si>
    <t>https://ava.fund/news/bloom-energy-shares-jump-on-fremont-factory-expansion-and-ameren-fuel-cell-plan-29092026</t>
  </si>
  <si>
    <t>Omitted tabs: Segment - &lt;name&gt; tabs omitted — Bloom reports one operating segment (checked FY2025 10-K S7 and Q2-26 10-Q S4 segment notes, ASC 280).</t>
  </si>
  <si>
    <t>Information cutoff 2026-10-18 21:34 UTC; all sources above published before cutoff; no 3Q26 actual results were seen (saw_actual_results = false). Retrieved (UTC) dates of 2026-10-20 are post-cutoff retrievals of pre-cutoff publications; no archived snapshots are attached.</t>
  </si>
  <si>
    <t>Not used: OpenStocks model estimates; pages dated after the cutoff (e.g. 10/19/26 previews) were excluded from evidence.</t>
  </si>
</sst>
</file>

<file path=xl/styles.xml><?xml version="1.0" encoding="utf-8"?>
<styleSheet xmlns="http://schemas.openxmlformats.org/spreadsheetml/2006/main">
  <numFmts count="16">
    <numFmt numFmtId="164" formatCode="0.0x"/>
    <numFmt numFmtId="165" formatCode="General"/>
    <numFmt numFmtId="166" formatCode="#,##0.0_);(#,##0.0);–_)"/>
    <numFmt numFmtId="167" formatCode="0"/>
    <numFmt numFmtId="168" formatCode="mm/dd/yy"/>
    <numFmt numFmtId="169" formatCode="yyyy-mm-dd"/>
    <numFmt numFmtId="170" formatCode="0.0%_);(0.0%);–_)"/>
    <numFmt numFmtId="171" formatCode="$0.00_);($0.00);$0.00_)"/>
    <numFmt numFmtId="172" formatCode="#,##0_);(#,##0);–_)"/>
    <numFmt numFmtId="173" formatCode="0.0%"/>
    <numFmt numFmtId="174" formatCode="#,##0.00"/>
    <numFmt numFmtId="175" formatCode="$0.00"/>
    <numFmt numFmtId="176" formatCode="#,##0.0"/>
    <numFmt numFmtId="177" formatCode="#,##0.000_);(#,##0.000);–_)"/>
    <numFmt numFmtId="178" formatCode="$0.0000_);($0.0000);$0.0000_)"/>
    <numFmt numFmtId="179" formatCode="#,##0.00_);(#,##0.00);–_)"/>
  </numFmts>
  <fonts count="35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595959"/>
      <name val="Arial"/>
    </font>
    <font>
      <b/>
      <i val="0"/>
      <strike val="0"/>
      <sz val="11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1"/>
      <color rgb="FF000000"/>
      <name val="Calibri"/>
    </font>
    <font>
      <b/>
      <i val="0"/>
      <strike val="0"/>
      <sz val="14"/>
      <color rgb="FF000000"/>
      <name val="Arial"/>
    </font>
    <font>
      <b/>
      <i val="0"/>
      <strike val="0"/>
      <sz val="11"/>
      <color rgb="FF000000"/>
      <name val="Calibri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1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F4FB"/>
      </patternFill>
    </fill>
    <fill>
      <patternFill patternType="solid">
        <fgColor rgb="FFF2F2F2"/>
      </patternFill>
    </fill>
    <fill>
      <patternFill patternType="solid">
        <fgColor rgb="FFDCE6F1"/>
      </patternFill>
    </fill>
  </fills>
  <borders count="5">
    <border>
      <left/>
      <right/>
      <top/>
      <bottom/>
      <diagonal/>
    </border>
    <border>
      <bottom style="thin">
        <color rgb="FFBFBFBF"/>
      </bottom>
    </border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83">
    <xf numFmtId="0" fontId="0" fillId="0" borderId="0" xfId="0"/>
    <xf numFmtId="164" fontId="1" fillId="0" borderId="0" xfId="0" applyNumberFormat="1" applyFont="1" applyFill="1" applyAlignment="1" applyProtection="1">
      <alignment horizontal="right" vertical="center"/>
      <protection locked="1" hidden="0"/>
    </xf>
    <xf numFmtId="0" fontId="2" fillId="0" borderId="0" xfId="0" applyFont="1" applyFill="1" applyAlignment="1" applyProtection="1">
      <alignment horizontal="general" vertical="center"/>
      <protection locked="1" hidden="0"/>
    </xf>
    <xf numFmtId="165" fontId="2" fillId="0" borderId="0" xfId="0" applyNumberFormat="1" applyFont="1" applyFill="1" applyAlignment="1" applyProtection="1">
      <alignment horizontal="right" vertical="center"/>
      <protection locked="1" hidden="0"/>
    </xf>
    <xf numFmtId="0" fontId="3" fillId="2" borderId="1" xfId="0" applyFont="1" applyFill="1" applyBorder="1" applyAlignment="1" applyProtection="1">
      <alignment horizontal="right" vertical="center"/>
      <protection locked="1" hidden="0"/>
    </xf>
    <xf numFmtId="166" fontId="4" fillId="0" borderId="2" xfId="0" applyNumberFormat="1" applyFont="1" applyFill="1" applyBorder="1" applyAlignment="1" applyProtection="1">
      <alignment horizontal="right" vertical="center"/>
      <protection locked="1" hidden="0"/>
    </xf>
    <xf numFmtId="166" fontId="2" fillId="0" borderId="0" xfId="0" applyNumberFormat="1" applyFont="1" applyFill="1" applyAlignment="1" applyProtection="1">
      <alignment horizontal="right" vertical="center"/>
      <protection locked="1" hidden="0"/>
    </xf>
    <xf numFmtId="166" fontId="2" fillId="2" borderId="0" xfId="0" applyNumberFormat="1" applyFont="1" applyFill="1" applyAlignment="1" applyProtection="1">
      <alignment horizontal="right" vertical="center"/>
      <protection locked="1" hidden="0"/>
    </xf>
    <xf numFmtId="0" fontId="5" fillId="0" borderId="0" xfId="0" applyFont="1" applyFill="1" applyAlignment="1" applyProtection="1">
      <alignment horizontal="left" vertical="center"/>
      <protection locked="1" hidden="0"/>
    </xf>
    <xf numFmtId="0" fontId="2" fillId="0" borderId="0" xfId="0" applyFont="1" applyFill="1" applyAlignment="1" applyProtection="1">
      <alignment horizontal="general" vertical="center" indent="2"/>
      <protection locked="1" hidden="0"/>
    </xf>
    <xf numFmtId="0" fontId="6" fillId="0" borderId="0" xfId="0" applyFont="1" applyFill="1" applyAlignment="1" applyProtection="1">
      <alignment horizontal="general" vertical="center"/>
      <protection locked="1" hidden="0"/>
    </xf>
    <xf numFmtId="166" fontId="7" fillId="0" borderId="0" xfId="0" applyNumberFormat="1" applyFont="1" applyFill="1" applyAlignment="1" applyProtection="1">
      <alignment horizontal="right" vertical="center"/>
      <protection locked="1" hidden="0"/>
    </xf>
    <xf numFmtId="166" fontId="4" fillId="0" borderId="0" xfId="0" applyNumberFormat="1" applyFont="1" applyFill="1" applyAlignment="1" applyProtection="1">
      <alignment horizontal="right" vertical="center"/>
      <protection locked="1" hidden="0"/>
    </xf>
    <xf numFmtId="167" fontId="2" fillId="3" borderId="3" xfId="0" applyNumberFormat="1" applyFont="1" applyFill="1" applyBorder="1" applyAlignment="1" applyProtection="1">
      <alignment horizontal="right" vertical="center"/>
      <protection locked="1" hidden="0"/>
    </xf>
    <xf numFmtId="166" fontId="3" fillId="0" borderId="2" xfId="0" applyNumberFormat="1" applyFont="1" applyFill="1" applyBorder="1" applyAlignment="1" applyProtection="1">
      <alignment horizontal="right" vertical="center"/>
      <protection locked="1" hidden="0"/>
    </xf>
    <xf numFmtId="0" fontId="3" fillId="4" borderId="2" xfId="0" applyFont="1" applyFill="1" applyBorder="1" applyAlignment="1" applyProtection="1">
      <alignment horizontal="right" vertical="center"/>
      <protection locked="1" hidden="0"/>
    </xf>
    <xf numFmtId="0" fontId="3" fillId="0" borderId="1" xfId="0" applyFont="1" applyFill="1" applyBorder="1" applyAlignment="1" applyProtection="1">
      <alignment horizontal="right" vertical="center"/>
      <protection locked="1" hidden="0"/>
    </xf>
    <xf numFmtId="0" fontId="3" fillId="0" borderId="0" xfId="0" applyFont="1" applyFill="1" applyAlignment="1" applyProtection="1">
      <alignment horizontal="general" vertical="center"/>
      <protection locked="1" hidden="0"/>
    </xf>
    <xf numFmtId="0" fontId="2" fillId="0" borderId="0" xfId="0" applyFont="1" applyFill="1" applyAlignment="1" applyProtection="1">
      <alignment horizontal="general" vertical="center" wrapText="1" indent="1"/>
      <protection locked="1" hidden="0"/>
    </xf>
    <xf numFmtId="0" fontId="3" fillId="3" borderId="2" xfId="0" applyFont="1" applyFill="1" applyBorder="1" applyAlignment="1" applyProtection="1">
      <alignment horizontal="right" vertical="center"/>
      <protection locked="1" hidden="0"/>
    </xf>
    <xf numFmtId="168" fontId="2" fillId="3" borderId="0" xfId="0" applyNumberFormat="1" applyFont="1" applyFill="1" applyAlignment="1" applyProtection="1">
      <alignment horizontal="right" vertical="center"/>
      <protection locked="1" hidden="0"/>
    </xf>
    <xf numFmtId="0" fontId="2" fillId="0" borderId="0" xfId="0" applyFont="1" applyFill="1" applyAlignment="1" applyProtection="1">
      <alignment horizontal="general" vertical="center" indent="1"/>
      <protection locked="1" hidden="0"/>
    </xf>
    <xf numFmtId="166" fontId="8" fillId="2" borderId="0" xfId="0" applyNumberFormat="1" applyFont="1" applyFill="1" applyAlignment="1" applyProtection="1">
      <alignment horizontal="right" vertical="center"/>
      <protection locked="1" hidden="0"/>
    </xf>
    <xf numFmtId="0" fontId="2" fillId="0" borderId="0" xfId="0" applyFont="1" applyFill="1" applyAlignment="1" applyProtection="1">
      <alignment horizontal="right" vertical="center"/>
      <protection locked="1" hidden="0"/>
    </xf>
    <xf numFmtId="166" fontId="7" fillId="2" borderId="0" xfId="0" applyNumberFormat="1" applyFont="1" applyFill="1" applyAlignment="1" applyProtection="1">
      <alignment horizontal="right" vertical="center"/>
      <protection locked="1" hidden="0"/>
    </xf>
    <xf numFmtId="166" fontId="8" fillId="0" borderId="0" xfId="0" applyNumberFormat="1" applyFont="1" applyFill="1" applyAlignment="1" applyProtection="1">
      <alignment horizontal="right" vertical="center"/>
      <protection locked="1" hidden="0"/>
    </xf>
    <xf numFmtId="166" fontId="3" fillId="2" borderId="0" xfId="0" applyNumberFormat="1" applyFont="1" applyFill="1" applyAlignment="1" applyProtection="1">
      <alignment horizontal="right" vertical="center"/>
      <protection locked="1" hidden="0"/>
    </xf>
    <xf numFmtId="165" fontId="2" fillId="2" borderId="0" xfId="0" applyNumberFormat="1" applyFont="1" applyFill="1" applyAlignment="1" applyProtection="1">
      <alignment horizontal="right" vertical="center"/>
      <protection locked="1" hidden="0"/>
    </xf>
    <xf numFmtId="166" fontId="3" fillId="2" borderId="2" xfId="0" applyNumberFormat="1" applyFont="1" applyFill="1" applyBorder="1" applyAlignment="1" applyProtection="1">
      <alignment horizontal="right" vertical="center"/>
      <protection locked="1" hidden="0"/>
    </xf>
    <xf numFmtId="0" fontId="2" fillId="3" borderId="0" xfId="0" applyFont="1" applyFill="1" applyAlignment="1" applyProtection="1">
      <alignment horizontal="general" vertical="center"/>
      <protection locked="1" hidden="0"/>
    </xf>
    <xf numFmtId="0" fontId="3" fillId="0" borderId="1" xfId="0" applyFont="1" applyFill="1" applyBorder="1" applyAlignment="1" applyProtection="1">
      <alignment horizontal="general" vertical="center"/>
      <protection locked="1" hidden="0"/>
    </xf>
    <xf numFmtId="164" fontId="1" fillId="2" borderId="0" xfId="0" applyNumberFormat="1" applyFont="1" applyFill="1" applyAlignment="1" applyProtection="1">
      <alignment horizontal="right" vertical="center"/>
      <protection locked="1" hidden="0"/>
    </xf>
    <xf numFmtId="0" fontId="1" fillId="0" borderId="0" xfId="0" applyFont="1" applyFill="1" applyAlignment="1" applyProtection="1">
      <alignment horizontal="general" vertical="center"/>
      <protection locked="1" hidden="0"/>
    </xf>
    <xf numFmtId="168" fontId="2" fillId="4" borderId="0" xfId="0" applyNumberFormat="1" applyFont="1" applyFill="1" applyAlignment="1" applyProtection="1">
      <alignment horizontal="right" vertical="center"/>
      <protection locked="1" hidden="0"/>
    </xf>
    <xf numFmtId="0" fontId="9" fillId="0" borderId="0" xfId="0" applyFont="1" applyFill="1" applyAlignment="1" applyProtection="1">
      <alignment horizontal="general" vertical="center"/>
      <protection locked="1" hidden="0"/>
    </xf>
    <xf numFmtId="0" fontId="3" fillId="3" borderId="4" xfId="0" applyFont="1" applyFill="1" applyBorder="1" applyAlignment="1" applyProtection="1">
      <alignment horizontal="right" vertical="center"/>
      <protection locked="1" hidden="0"/>
    </xf>
    <xf numFmtId="169" fontId="2" fillId="0" borderId="0" xfId="0" applyNumberFormat="1" applyFont="1" applyFill="1" applyAlignment="1" applyProtection="1">
      <alignment horizontal="right" vertical="center"/>
      <protection locked="1" hidden="0"/>
    </xf>
    <xf numFmtId="170" fontId="2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2" xfId="0" applyFont="1" applyFill="1" applyBorder="1" applyAlignment="1" applyProtection="1">
      <alignment horizontal="right" vertical="center"/>
      <protection locked="1" hidden="0"/>
    </xf>
    <xf numFmtId="171" fontId="10" fillId="0" borderId="2" xfId="0" applyNumberFormat="1" applyFont="1" applyFill="1" applyBorder="1" applyAlignment="1" applyProtection="1">
      <alignment horizontal="right" vertical="center"/>
      <protection locked="1" hidden="0"/>
    </xf>
    <xf numFmtId="170" fontId="7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0" xfId="0" applyFont="1" applyFill="1" applyAlignment="1" applyProtection="1">
      <alignment horizontal="right" vertical="center"/>
      <protection locked="1" hidden="0"/>
    </xf>
    <xf numFmtId="0" fontId="2" fillId="2" borderId="0" xfId="0" applyFont="1" applyFill="1" applyAlignment="1" applyProtection="1">
      <alignment horizontal="right" vertical="center"/>
      <protection locked="1" hidden="0"/>
    </xf>
    <xf numFmtId="171" fontId="2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0" xfId="0" applyFont="1" applyFill="1" applyAlignment="1" applyProtection="1">
      <alignment horizontal="general" vertical="center" indent="1"/>
      <protection locked="1" hidden="0"/>
    </xf>
    <xf numFmtId="171" fontId="3" fillId="0" borderId="2" xfId="0" applyNumberFormat="1" applyFont="1" applyFill="1" applyBorder="1" applyAlignment="1" applyProtection="1">
      <alignment horizontal="right" vertical="center"/>
      <protection locked="1" hidden="0"/>
    </xf>
    <xf numFmtId="171" fontId="7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0" xfId="0" applyFont="1" applyFill="1" applyAlignment="1" applyProtection="1">
      <alignment horizontal="general" vertical="center" wrapText="1"/>
      <protection locked="1" hidden="0"/>
    </xf>
    <xf numFmtId="0" fontId="1" fillId="0" borderId="0" xfId="0" applyFont="1" applyFill="1" applyAlignment="1" applyProtection="1">
      <alignment horizontal="general" vertical="center" indent="1"/>
      <protection locked="1" hidden="0"/>
    </xf>
    <xf numFmtId="0" fontId="2" fillId="0" borderId="0" xfId="0" applyFont="1" applyFill="1" applyAlignment="1" applyProtection="1">
      <alignment horizontal="general" vertical="center" wrapText="1"/>
      <protection locked="1" hidden="0"/>
    </xf>
    <xf numFmtId="171" fontId="8" fillId="0" borderId="0" xfId="0" applyNumberFormat="1" applyFont="1" applyFill="1" applyAlignment="1" applyProtection="1">
      <alignment horizontal="right" vertical="center"/>
      <protection locked="1" hidden="0"/>
    </xf>
    <xf numFmtId="0" fontId="3" fillId="3" borderId="4" xfId="0" applyFont="1" applyFill="1" applyBorder="1" applyAlignment="1" applyProtection="1">
      <alignment horizontal="general" vertical="center"/>
      <protection locked="1" hidden="0"/>
    </xf>
    <xf numFmtId="0" fontId="2" fillId="0" borderId="3" xfId="0" applyFont="1" applyFill="1" applyBorder="1" applyAlignment="1" applyProtection="1">
      <alignment horizontal="right" vertical="center"/>
      <protection locked="1" hidden="0"/>
    </xf>
    <xf numFmtId="0" fontId="2" fillId="3" borderId="3" xfId="0" applyFont="1" applyFill="1" applyBorder="1" applyAlignment="1" applyProtection="1">
      <alignment horizontal="general" vertical="center"/>
      <protection locked="1" hidden="0"/>
    </xf>
    <xf numFmtId="170" fontId="8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3" xfId="0" applyFont="1" applyFill="1" applyBorder="1" applyAlignment="1" applyProtection="1">
      <alignment horizontal="right" vertical="center"/>
      <protection locked="1" hidden="0"/>
    </xf>
    <xf numFmtId="0" fontId="3" fillId="3" borderId="4" xfId="0" applyFont="1" applyFill="1" applyBorder="1" applyAlignment="1" applyProtection="1">
      <alignment horizontal="right" vertical="center" wrapText="1"/>
      <protection locked="1" hidden="0"/>
    </xf>
    <xf numFmtId="0" fontId="3" fillId="3" borderId="2" xfId="0" applyFont="1" applyFill="1" applyBorder="1" applyAlignment="1" applyProtection="1">
      <alignment horizontal="general" vertical="center"/>
      <protection locked="1" hidden="0"/>
    </xf>
    <xf numFmtId="171" fontId="8" fillId="2" borderId="0" xfId="0" applyNumberFormat="1" applyFont="1" applyFill="1" applyAlignment="1" applyProtection="1">
      <alignment horizontal="right" vertical="center"/>
      <protection locked="1" hidden="0"/>
    </xf>
    <xf numFmtId="167" fontId="2" fillId="4" borderId="3" xfId="0" applyNumberFormat="1" applyFont="1" applyFill="1" applyBorder="1" applyAlignment="1" applyProtection="1">
      <alignment horizontal="right" vertical="center"/>
      <protection locked="1" hidden="0"/>
    </xf>
    <xf numFmtId="170" fontId="3" fillId="0" borderId="2" xfId="0" applyNumberFormat="1" applyFont="1" applyFill="1" applyBorder="1" applyAlignment="1" applyProtection="1">
      <alignment horizontal="right" vertical="center"/>
      <protection locked="1" hidden="0"/>
    </xf>
    <xf numFmtId="166" fontId="2" fillId="0" borderId="2" xfId="0" applyNumberFormat="1" applyFont="1" applyFill="1" applyBorder="1" applyAlignment="1" applyProtection="1">
      <alignment horizontal="right" vertical="center"/>
      <protection locked="1" hidden="0"/>
    </xf>
    <xf numFmtId="0" fontId="10" fillId="0" borderId="2" xfId="0" applyFont="1" applyFill="1" applyBorder="1" applyAlignment="1" applyProtection="1">
      <alignment horizontal="right" vertical="center"/>
      <protection locked="1" hidden="0"/>
    </xf>
    <xf numFmtId="170" fontId="3" fillId="0" borderId="0" xfId="0" applyNumberFormat="1" applyFont="1" applyFill="1" applyAlignment="1" applyProtection="1">
      <alignment horizontal="right" vertical="center"/>
      <protection locked="1" hidden="0"/>
    </xf>
    <xf numFmtId="167" fontId="8" fillId="0" borderId="0" xfId="0" applyNumberFormat="1" applyFont="1" applyFill="1" applyAlignment="1" applyProtection="1">
      <alignment horizontal="right" vertical="center"/>
      <protection locked="1" hidden="0"/>
    </xf>
    <xf numFmtId="0" fontId="2" fillId="0" borderId="2" xfId="0" applyFont="1" applyFill="1" applyBorder="1" applyAlignment="1" applyProtection="1">
      <alignment horizontal="general" vertical="center"/>
      <protection locked="1" hidden="0"/>
    </xf>
    <xf numFmtId="0" fontId="2" fillId="0" borderId="2" xfId="0" applyFont="1" applyFill="1" applyBorder="1" applyAlignment="1" applyProtection="1">
      <alignment horizontal="right" vertical="center"/>
      <protection locked="1" hidden="0"/>
    </xf>
    <xf numFmtId="172" fontId="1" fillId="0" borderId="0" xfId="0" applyNumberFormat="1" applyFont="1" applyFill="1" applyAlignment="1" applyProtection="1">
      <alignment horizontal="right" vertical="center"/>
      <protection locked="1" hidden="0"/>
    </xf>
    <xf numFmtId="165" fontId="1" fillId="0" borderId="0" xfId="0" applyNumberFormat="1" applyFont="1" applyFill="1" applyAlignment="1" applyProtection="1">
      <alignment horizontal="right" vertical="center"/>
      <protection locked="1" hidden="0"/>
    </xf>
    <xf numFmtId="170" fontId="1" fillId="2" borderId="0" xfId="0" applyNumberFormat="1" applyFont="1" applyFill="1" applyAlignment="1" applyProtection="1">
      <alignment horizontal="right" vertical="center"/>
      <protection locked="1" hidden="0"/>
    </xf>
    <xf numFmtId="170" fontId="1" fillId="0" borderId="0" xfId="0" applyNumberFormat="1" applyFont="1" applyFill="1" applyAlignment="1" applyProtection="1">
      <alignment horizontal="right" vertical="center"/>
      <protection locked="1" hidden="0"/>
    </xf>
    <xf numFmtId="171" fontId="10" fillId="2" borderId="0" xfId="0" applyNumberFormat="1" applyFont="1" applyFill="1" applyAlignment="1" applyProtection="1">
      <alignment horizontal="right" vertical="center"/>
      <protection locked="1" hidden="0"/>
    </xf>
    <xf numFmtId="166" fontId="11" fillId="0" borderId="0" xfId="0" applyNumberFormat="1" applyFont="1" applyFill="1" applyAlignment="1" applyProtection="1">
      <alignment horizontal="right" vertical="center"/>
      <protection locked="1" hidden="0"/>
    </xf>
    <xf numFmtId="0" fontId="1" fillId="0" borderId="0" xfId="0" applyFont="1" applyFill="1" applyAlignment="1" applyProtection="1">
      <alignment horizontal="general" vertical="center" wrapText="1" indent="1"/>
      <protection locked="1" hidden="0"/>
    </xf>
    <xf numFmtId="167" fontId="8" fillId="0" borderId="2" xfId="0" applyNumberFormat="1" applyFont="1" applyFill="1" applyBorder="1" applyAlignment="1" applyProtection="1">
      <alignment horizontal="right" vertical="center"/>
      <protection locked="1" hidden="0"/>
    </xf>
    <xf numFmtId="167" fontId="2" fillId="0" borderId="0" xfId="0" applyNumberFormat="1" applyFont="1" applyFill="1" applyAlignment="1" applyProtection="1">
      <alignment horizontal="right" vertical="center"/>
      <protection locked="1" hidden="0"/>
    </xf>
    <xf numFmtId="0" fontId="3" fillId="0" borderId="3" xfId="0" applyFont="1" applyFill="1" applyBorder="1" applyAlignment="1" applyProtection="1">
      <alignment horizontal="general" vertical="center"/>
      <protection locked="1" hidden="0"/>
    </xf>
    <xf numFmtId="166" fontId="10" fillId="0" borderId="2" xfId="0" applyNumberFormat="1" applyFont="1" applyFill="1" applyBorder="1" applyAlignment="1" applyProtection="1">
      <alignment horizontal="right" vertical="center"/>
      <protection locked="1" hidden="0"/>
    </xf>
    <xf numFmtId="0" fontId="3" fillId="3" borderId="4" xfId="0" applyFont="1" applyFill="1" applyBorder="1" applyAlignment="1" applyProtection="1">
      <alignment horizontal="left" vertical="center" wrapText="1"/>
      <protection locked="1" hidden="0"/>
    </xf>
    <xf numFmtId="166" fontId="8" fillId="0" borderId="2" xfId="0" applyNumberFormat="1" applyFont="1" applyFill="1" applyBorder="1" applyAlignment="1" applyProtection="1">
      <alignment horizontal="right" vertical="center"/>
      <protection locked="1" hidden="0"/>
    </xf>
    <xf numFmtId="0" fontId="1" fillId="0" borderId="0" xfId="0" applyFont="1" applyFill="1" applyAlignment="1" applyProtection="1">
      <alignment horizontal="general" vertical="center" indent="2"/>
      <protection locked="1" hidden="0"/>
    </xf>
    <xf numFmtId="165" fontId="1" fillId="2" borderId="0" xfId="0" applyNumberFormat="1" applyFont="1" applyFill="1" applyAlignment="1" applyProtection="1">
      <alignment horizontal="right" vertical="center"/>
      <protection locked="1" hidden="0"/>
    </xf>
    <xf numFmtId="0" fontId="3" fillId="0" borderId="2" xfId="0" applyFont="1" applyFill="1" applyBorder="1" applyAlignment="1" applyProtection="1">
      <alignment horizontal="general" vertical="center" wrapText="1"/>
      <protection locked="1" hidden="0"/>
    </xf>
    <xf numFmtId="170" fontId="12" fillId="0" borderId="0" xfId="0" applyNumberFormat="1" applyFont="1" applyFill="1" applyAlignment="1" applyProtection="1">
      <alignment horizontal="right" vertical="center"/>
      <protection locked="1" hidden="0"/>
    </xf>
    <xf numFmtId="171" fontId="3" fillId="0" borderId="0" xfId="0" applyNumberFormat="1" applyFont="1" applyFill="1" applyAlignment="1" applyProtection="1">
      <alignment horizontal="right" vertical="center"/>
      <protection locked="1" hidden="0"/>
    </xf>
    <xf numFmtId="170" fontId="2" fillId="0" borderId="2" xfId="0" applyNumberFormat="1" applyFont="1" applyFill="1" applyBorder="1" applyAlignment="1" applyProtection="1">
      <alignment horizontal="right" vertical="center"/>
      <protection locked="1" hidden="0"/>
    </xf>
    <xf numFmtId="173" fontId="10" fillId="0" borderId="0" xfId="0" applyNumberFormat="1" applyFont="1" applyFill="1" applyAlignment="1" applyProtection="1">
      <alignment horizontal="right" vertical="center"/>
      <protection locked="1" hidden="0"/>
    </xf>
    <xf numFmtId="169" fontId="2" fillId="0" borderId="0" xfId="0" applyNumberFormat="1" applyFont="1" applyFill="1" applyAlignment="1" applyProtection="1">
      <alignment horizontal="left" vertical="center"/>
      <protection locked="1" hidden="0"/>
    </xf>
    <xf numFmtId="167" fontId="10" fillId="0" borderId="0" xfId="0" applyNumberFormat="1" applyFont="1" applyFill="1" applyAlignment="1" applyProtection="1">
      <alignment horizontal="right" vertical="center"/>
      <protection locked="1" hidden="0"/>
    </xf>
    <xf numFmtId="172" fontId="1" fillId="2" borderId="0" xfId="0" applyNumberFormat="1" applyFont="1" applyFill="1" applyAlignment="1" applyProtection="1">
      <alignment horizontal="right" vertical="center"/>
      <protection locked="1" hidden="0"/>
    </xf>
    <xf numFmtId="171" fontId="10" fillId="0" borderId="0" xfId="0" applyNumberFormat="1" applyFont="1" applyFill="1" applyAlignment="1" applyProtection="1">
      <alignment horizontal="right" vertical="center"/>
      <protection locked="1" hidden="0"/>
    </xf>
    <xf numFmtId="166" fontId="10" fillId="0" borderId="0" xfId="0" applyNumberFormat="1" applyFont="1" applyFill="1" applyAlignment="1" applyProtection="1">
      <alignment horizontal="right" vertical="center"/>
      <protection locked="1" hidden="0"/>
    </xf>
    <xf numFmtId="167" fontId="13" fillId="3" borderId="3" xfId="0" applyNumberFormat="1" applyFont="1" applyFill="1" applyBorder="1" applyAlignment="1" applyProtection="1">
      <alignment horizontal="right" vertical="bottom"/>
      <protection locked="1" hidden="0"/>
    </xf>
    <xf numFmtId="168" fontId="13" fillId="3" borderId="0" xfId="0" applyNumberFormat="1" applyFont="1" applyFill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general" vertical="center"/>
      <protection locked="1" hidden="0"/>
    </xf>
    <xf numFmtId="0" fontId="8" fillId="0" borderId="0" xfId="0" applyFont="1" applyFill="1" applyAlignment="1" applyProtection="1">
      <alignment horizontal="general" vertical="center"/>
      <protection locked="1" hidden="0"/>
    </xf>
    <xf numFmtId="166" fontId="8" fillId="2" borderId="2" xfId="0" applyNumberFormat="1" applyFont="1" applyFill="1" applyBorder="1" applyAlignment="1" applyProtection="1">
      <alignment horizontal="right" vertical="center"/>
      <protection locked="1" hidden="0"/>
    </xf>
    <xf numFmtId="0" fontId="15" fillId="3" borderId="2" xfId="0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center" wrapText="1" indent="2"/>
      <protection locked="1" hidden="0"/>
    </xf>
    <xf numFmtId="170" fontId="16" fillId="0" borderId="0" xfId="0" applyNumberFormat="1" applyFont="1" applyFill="1" applyAlignment="1" applyProtection="1">
      <alignment horizontal="right" vertical="center"/>
      <protection locked="1" hidden="0"/>
    </xf>
    <xf numFmtId="0" fontId="2" fillId="0" borderId="0" xfId="0" applyFont="1" applyFill="1" applyAlignment="1" applyProtection="1">
      <alignment horizontal="general" vertical="center" wrapText="1" indent="2"/>
      <protection locked="1" hidden="0"/>
    </xf>
    <xf numFmtId="170" fontId="12" fillId="2" borderId="0" xfId="0" applyNumberFormat="1" applyFont="1" applyFill="1" applyAlignment="1" applyProtection="1">
      <alignment horizontal="right" vertical="center"/>
      <protection locked="1" hidden="0"/>
    </xf>
    <xf numFmtId="0" fontId="11" fillId="0" borderId="0" xfId="0" applyFont="1" applyFill="1" applyAlignment="1" applyProtection="1">
      <alignment horizontal="general" vertical="center" wrapText="1"/>
      <protection locked="1" hidden="0"/>
    </xf>
    <xf numFmtId="166" fontId="1" fillId="0" borderId="0" xfId="0" applyNumberFormat="1" applyFont="1" applyFill="1" applyAlignment="1" applyProtection="1">
      <alignment horizontal="right" vertical="center"/>
      <protection locked="1" hidden="0"/>
    </xf>
    <xf numFmtId="166" fontId="10" fillId="2" borderId="0" xfId="0" applyNumberFormat="1" applyFont="1" applyFill="1" applyAlignment="1" applyProtection="1">
      <alignment horizontal="right" vertical="center"/>
      <protection locked="1" hidden="0"/>
    </xf>
    <xf numFmtId="166" fontId="3" fillId="0" borderId="0" xfId="0" applyNumberFormat="1" applyFont="1" applyFill="1" applyAlignment="1" applyProtection="1">
      <alignment horizontal="right" vertical="center"/>
      <protection locked="1" hidden="0"/>
    </xf>
    <xf numFmtId="166" fontId="11" fillId="2" borderId="0" xfId="0" applyNumberFormat="1" applyFont="1" applyFill="1" applyAlignment="1" applyProtection="1">
      <alignment horizontal="right" vertical="center"/>
      <protection locked="1" hidden="0"/>
    </xf>
    <xf numFmtId="166" fontId="1" fillId="2" borderId="0" xfId="0" applyNumberFormat="1" applyFont="1" applyFill="1" applyAlignment="1" applyProtection="1">
      <alignment horizontal="right" vertical="center"/>
      <protection locked="1" hidden="0"/>
    </xf>
    <xf numFmtId="170" fontId="16" fillId="2" borderId="0" xfId="0" applyNumberFormat="1" applyFont="1" applyFill="1" applyAlignment="1" applyProtection="1">
      <alignment horizontal="right" vertical="center"/>
      <protection locked="1" hidden="0"/>
    </xf>
    <xf numFmtId="166" fontId="4" fillId="2" borderId="2" xfId="0" applyNumberFormat="1" applyFont="1" applyFill="1" applyBorder="1" applyAlignment="1" applyProtection="1">
      <alignment horizontal="right" vertical="center"/>
      <protection locked="1" hidden="0"/>
    </xf>
    <xf numFmtId="0" fontId="3" fillId="0" borderId="0" xfId="0" applyFont="1" applyFill="1" applyAlignment="1" applyProtection="1">
      <alignment horizontal="general" vertical="center" wrapText="1" indent="1"/>
      <protection locked="1" hidden="0"/>
    </xf>
    <xf numFmtId="0" fontId="3" fillId="0" borderId="0" xfId="0" applyFont="1" applyFill="1" applyAlignment="1" applyProtection="1">
      <alignment horizontal="general" vertical="center" wrapText="1" indent="2"/>
      <protection locked="1" hidden="0"/>
    </xf>
    <xf numFmtId="0" fontId="13" fillId="0" borderId="0" xfId="0" applyFont="1" applyFill="1" applyAlignment="1" applyProtection="1">
      <alignment horizontal="left" vertical="bottom"/>
      <protection locked="1" hidden="0"/>
    </xf>
    <xf numFmtId="166" fontId="7" fillId="0" borderId="0" xfId="0" applyNumberFormat="1" applyFont="1" applyFill="1" applyAlignment="1" applyProtection="1">
      <alignment horizontal="left" vertical="center"/>
      <protection locked="1" hidden="0"/>
    </xf>
    <xf numFmtId="169" fontId="2" fillId="0" borderId="0" xfId="0" applyNumberFormat="1" applyFont="1" applyFill="1" applyAlignment="1" applyProtection="1">
      <alignment horizontal="general" vertical="center"/>
      <protection locked="1" hidden="0"/>
    </xf>
    <xf numFmtId="174" fontId="7" fillId="0" borderId="0" xfId="0" applyNumberFormat="1" applyFont="1" applyFill="1" applyAlignment="1" applyProtection="1">
      <alignment horizontal="general" vertical="center"/>
      <protection locked="1" hidden="0"/>
    </xf>
    <xf numFmtId="166" fontId="7" fillId="0" borderId="0" xfId="0" applyNumberFormat="1" applyFont="1" applyFill="1" applyAlignment="1" applyProtection="1">
      <alignment horizontal="general" vertical="center"/>
      <protection locked="1" hidden="0"/>
    </xf>
    <xf numFmtId="171" fontId="7" fillId="0" borderId="0" xfId="0" applyNumberFormat="1" applyFont="1" applyFill="1" applyAlignment="1" applyProtection="1">
      <alignment horizontal="general" vertical="center"/>
      <protection locked="1" hidden="0"/>
    </xf>
    <xf numFmtId="171" fontId="2" fillId="0" borderId="0" xfId="0" applyNumberFormat="1" applyFont="1" applyFill="1" applyAlignment="1" applyProtection="1">
      <alignment horizontal="general" vertical="center"/>
      <protection locked="1" hidden="0"/>
    </xf>
    <xf numFmtId="165" fontId="7" fillId="0" borderId="0" xfId="0" applyNumberFormat="1" applyFont="1" applyFill="1" applyAlignment="1" applyProtection="1">
      <alignment horizontal="left" vertical="center"/>
      <protection locked="1" hidden="0"/>
    </xf>
    <xf numFmtId="170" fontId="7" fillId="0" borderId="0" xfId="0" applyNumberFormat="1" applyFont="1" applyFill="1" applyAlignment="1" applyProtection="1">
      <alignment horizontal="left" vertical="center"/>
      <protection locked="1" hidden="0"/>
    </xf>
    <xf numFmtId="0" fontId="2" fillId="0" borderId="0" xfId="0" applyFont="1" applyFill="1" applyAlignment="1" applyProtection="1">
      <alignment horizontal="left" vertical="center"/>
      <protection locked="1" hidden="0"/>
    </xf>
    <xf numFmtId="165" fontId="2" fillId="0" borderId="0" xfId="0" applyNumberFormat="1" applyFont="1" applyFill="1" applyAlignment="1" applyProtection="1">
      <alignment horizontal="left" vertical="center"/>
      <protection locked="1" hidden="0"/>
    </xf>
    <xf numFmtId="166" fontId="4" fillId="2" borderId="0" xfId="0" applyNumberFormat="1" applyFont="1" applyFill="1" applyAlignment="1" applyProtection="1">
      <alignment horizontal="right" vertical="center"/>
      <protection locked="1" hidden="0"/>
    </xf>
    <xf numFmtId="175" fontId="2" fillId="0" borderId="0" xfId="0" applyNumberFormat="1" applyFont="1" applyFill="1" applyAlignment="1" applyProtection="1">
      <alignment horizontal="left" vertical="center"/>
      <protection locked="1" hidden="0"/>
    </xf>
    <xf numFmtId="170" fontId="2" fillId="0" borderId="0" xfId="0" applyNumberFormat="1" applyFont="1" applyFill="1" applyAlignment="1" applyProtection="1">
      <alignment horizontal="left" vertical="center"/>
      <protection locked="1" hidden="0"/>
    </xf>
    <xf numFmtId="167" fontId="7" fillId="0" borderId="0" xfId="0" applyNumberFormat="1" applyFont="1" applyFill="1" applyAlignment="1" applyProtection="1">
      <alignment horizontal="general" vertical="center"/>
      <protection locked="1" hidden="0"/>
    </xf>
    <xf numFmtId="166" fontId="10" fillId="2" borderId="2" xfId="0" applyNumberFormat="1" applyFont="1" applyFill="1" applyBorder="1" applyAlignment="1" applyProtection="1">
      <alignment horizontal="right" vertical="center"/>
      <protection locked="1" hidden="0"/>
    </xf>
    <xf numFmtId="176" fontId="2" fillId="0" borderId="0" xfId="0" applyNumberFormat="1" applyFont="1" applyFill="1" applyAlignment="1" applyProtection="1">
      <alignment horizontal="left" vertical="center"/>
      <protection locked="1" hidden="0"/>
    </xf>
    <xf numFmtId="167" fontId="2" fillId="0" borderId="0" xfId="0" applyNumberFormat="1" applyFont="1" applyFill="1" applyAlignment="1" applyProtection="1">
      <alignment horizontal="left" vertical="center"/>
      <protection locked="1" hidden="0"/>
    </xf>
    <xf numFmtId="169" fontId="3" fillId="0" borderId="0" xfId="0" applyNumberFormat="1" applyFont="1" applyFill="1" applyAlignment="1" applyProtection="1">
      <alignment horizontal="left" vertical="center"/>
      <protection locked="1" hidden="0"/>
    </xf>
    <xf numFmtId="167" fontId="7" fillId="0" borderId="0" xfId="0" applyNumberFormat="1" applyFont="1" applyFill="1" applyAlignment="1" applyProtection="1">
      <alignment horizontal="left" vertical="center"/>
      <protection locked="1" hidden="0"/>
    </xf>
    <xf numFmtId="170" fontId="11" fillId="0" borderId="0" xfId="0" applyNumberFormat="1" applyFont="1" applyFill="1" applyAlignment="1" applyProtection="1">
      <alignment horizontal="right" vertical="center"/>
      <protection locked="1" hidden="0"/>
    </xf>
    <xf numFmtId="171" fontId="1" fillId="0" borderId="0" xfId="0" applyNumberFormat="1" applyFont="1" applyFill="1" applyAlignment="1" applyProtection="1">
      <alignment horizontal="right" vertical="center"/>
      <protection locked="1" hidden="0"/>
    </xf>
    <xf numFmtId="171" fontId="2" fillId="2" borderId="0" xfId="0" applyNumberFormat="1" applyFont="1" applyFill="1" applyAlignment="1" applyProtection="1">
      <alignment horizontal="right" vertical="center"/>
      <protection locked="1" hidden="0"/>
    </xf>
    <xf numFmtId="169" fontId="3" fillId="0" borderId="1" xfId="0" applyNumberFormat="1" applyFont="1" applyFill="1" applyBorder="1" applyAlignment="1" applyProtection="1">
      <alignment horizontal="left" vertical="center"/>
      <protection locked="1" hidden="0"/>
    </xf>
    <xf numFmtId="0" fontId="3" fillId="0" borderId="1" xfId="0" applyFont="1" applyFill="1" applyBorder="1" applyAlignment="1" applyProtection="1">
      <alignment horizontal="left" vertical="center"/>
      <protection locked="1" hidden="0"/>
    </xf>
    <xf numFmtId="171" fontId="1" fillId="2" borderId="0" xfId="0" applyNumberFormat="1" applyFont="1" applyFill="1" applyAlignment="1" applyProtection="1">
      <alignment horizontal="right" vertical="center"/>
      <protection locked="1" hidden="0"/>
    </xf>
    <xf numFmtId="0" fontId="1" fillId="0" borderId="0" xfId="0" applyFont="1" applyFill="1" applyAlignment="1" applyProtection="1">
      <alignment horizontal="general" vertical="center" indent="3"/>
      <protection locked="1" hidden="0"/>
    </xf>
    <xf numFmtId="171" fontId="3" fillId="2" borderId="2" xfId="0" applyNumberFormat="1" applyFont="1" applyFill="1" applyBorder="1" applyAlignment="1" applyProtection="1">
      <alignment horizontal="right" vertical="center"/>
      <protection locked="1" hidden="0"/>
    </xf>
    <xf numFmtId="170" fontId="11" fillId="2" borderId="0" xfId="0" applyNumberFormat="1" applyFont="1" applyFill="1" applyAlignment="1" applyProtection="1">
      <alignment horizontal="right" vertical="center"/>
      <protection locked="1" hidden="0"/>
    </xf>
    <xf numFmtId="0" fontId="11" fillId="0" borderId="0" xfId="0" applyFont="1" applyFill="1" applyAlignment="1" applyProtection="1">
      <alignment horizontal="general" vertical="center"/>
      <protection locked="1" hidden="0"/>
    </xf>
    <xf numFmtId="166" fontId="1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0" fontId="1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19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7" fontId="1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6" fontId="1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5" fontId="1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1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5" fontId="20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74" fontId="21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9" fontId="20" fillId="0" borderId="0" xfId="0" applyNumberFormat="1" applyFont="1" applyFill="1" applyAlignment="1" applyProtection="1">
      <alignment horizontal="left" vertical="center" textRotation="0" indent="0" readingOrder="0"/>
      <protection locked="1" hidden="0"/>
    </xf>
    <xf numFmtId="169" fontId="20" fillId="0" borderId="0" xfId="0" applyNumberFormat="1" applyFont="1" applyFill="1" applyAlignment="1" applyProtection="1">
      <alignment horizontal="left" vertical="center" textRotation="0" wrapText="1" indent="0" readingOrder="0"/>
      <protection locked="1" hidden="0"/>
    </xf>
    <xf numFmtId="165" fontId="22" fillId="0" borderId="0" xfId="0" applyNumberFormat="1" applyFont="1" applyFill="1" applyAlignment="1" applyProtection="1">
      <alignment horizontal="right" vertical="center" textRotation="0" wrapText="1" indent="0" readingOrder="0"/>
      <protection locked="1" hidden="0"/>
    </xf>
    <xf numFmtId="171" fontId="22" fillId="0" borderId="2" xfId="0" applyNumberFormat="1" applyFont="1" applyFill="1" applyBorder="1" applyAlignment="1" applyProtection="1">
      <alignment horizontal="right" vertical="center" textRotation="0" indent="0" readingOrder="0"/>
      <protection locked="1" hidden="0"/>
    </xf>
    <xf numFmtId="165" fontId="23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5" fontId="24" fillId="0" borderId="0" xfId="0" applyNumberFormat="1" applyFont="1" applyFill="1" applyAlignment="1" applyProtection="1">
      <alignment horizontal="left" vertical="center" textRotation="0" indent="0" readingOrder="0"/>
      <protection locked="1" hidden="0"/>
    </xf>
    <xf numFmtId="171" fontId="23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1" fontId="21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20" fillId="0" borderId="0" xfId="0" applyNumberFormat="1" applyFont="1" applyFill="1" applyAlignment="1" applyProtection="1">
      <alignment horizontal="general" vertical="center" textRotation="0" indent="0" readingOrder="0"/>
      <protection locked="1" hidden="0"/>
    </xf>
    <xf numFmtId="170" fontId="25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26" fillId="0" borderId="0" xfId="0" applyNumberFormat="1" applyFont="1" applyFill="1" applyAlignment="1" applyProtection="1">
      <alignment horizontal="general" vertical="center" textRotation="0" indent="0" readingOrder="0"/>
      <protection locked="1" hidden="0"/>
    </xf>
    <xf numFmtId="165" fontId="27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5" fontId="28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0" fontId="29" fillId="0" borderId="0" xfId="0" applyFont="1" applyFill="1" applyAlignment="1" applyProtection="1">
      <alignment horizontal="general" vertical="center"/>
      <protection locked="1" hidden="0"/>
    </xf>
    <xf numFmtId="0" fontId="30" fillId="0" borderId="0" xfId="0" applyFont="1" applyFill="1" applyAlignment="1" applyProtection="1">
      <alignment horizontal="left" vertical="center"/>
      <protection locked="1" hidden="0"/>
    </xf>
    <xf numFmtId="0" fontId="31" fillId="0" borderId="0" xfId="0" applyFont="1" applyFill="1" applyAlignment="1" applyProtection="1">
      <alignment horizontal="general" vertical="center" wrapText="1"/>
      <protection locked="1" hidden="0"/>
    </xf>
    <xf numFmtId="165" fontId="27" fillId="0" borderId="0" xfId="0" applyNumberFormat="1" applyFont="1" applyFill="1" applyAlignment="1" applyProtection="1">
      <alignment horizontal="general" vertical="center" textRotation="0" indent="0" readingOrder="0"/>
      <protection locked="1" hidden="0"/>
    </xf>
    <xf numFmtId="177" fontId="32" fillId="2" borderId="0" xfId="0" applyNumberFormat="1" applyFont="1" applyFill="1" applyAlignment="1" applyProtection="1">
      <alignment horizontal="right" vertical="center"/>
      <protection locked="1" hidden="0"/>
    </xf>
    <xf numFmtId="178" fontId="33" fillId="2" borderId="0" xfId="0" applyNumberFormat="1" applyFont="1" applyFill="1" applyAlignment="1" applyProtection="1">
      <alignment horizontal="right" vertical="center"/>
      <protection locked="1" hidden="0"/>
    </xf>
    <xf numFmtId="165" fontId="28" fillId="0" borderId="0" xfId="0" applyNumberFormat="1" applyFont="1" applyFill="1" applyAlignment="1" applyProtection="1">
      <alignment horizontal="general" vertical="center" textRotation="0" indent="0" readingOrder="0"/>
      <protection locked="1" hidden="0"/>
    </xf>
    <xf numFmtId="165" fontId="30" fillId="0" borderId="0" xfId="0" applyNumberFormat="1" applyFont="1" applyFill="1" applyAlignment="1" applyProtection="1">
      <alignment horizontal="left" vertical="center" textRotation="0" indent="0" readingOrder="0"/>
      <protection locked="1" hidden="0"/>
    </xf>
    <xf numFmtId="169" fontId="2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5" fontId="27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67" fontId="34" fillId="0" borderId="0" xfId="0" applyNumberFormat="1" applyFont="1" applyFill="1" applyAlignment="1" applyProtection="1">
      <alignment horizontal="general" vertical="center" textRotation="0" wrapText="1" indent="0" readingOrder="0"/>
      <protection locked="1" hidden="0"/>
    </xf>
    <xf numFmtId="169" fontId="28" fillId="0" borderId="0" xfId="0" applyNumberFormat="1" applyFont="1" applyFill="1" applyAlignment="1" applyProtection="1">
      <alignment horizontal="right" vertical="center" textRotation="0" indent="0" readingOrder="0"/>
      <protection locked="1" hidden="0"/>
    </xf>
    <xf numFmtId="179" fontId="31" fillId="0" borderId="0" xfId="0" applyNumberFormat="1" applyFont="1" applyFill="1" applyAlignment="1" applyProtection="1">
      <alignment horizontal="right" vertical="center"/>
      <protection locked="1" hidden="0"/>
    </xf>
    <xf numFmtId="0" fontId="28" fillId="0" borderId="0" xfId="0" applyFont="1" applyFill="1" applyAlignment="1" applyProtection="1">
      <alignment horizontal="general" vertical="center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showGridLines="0" tabSelected="1" workbookViewId="0"/>
  </sheetViews>
  <sheetFormatPr defaultRowHeight="15"/>
  <cols>
    <col min="1" max="1" width="10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9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3</v>
      </c>
      <c r="C5" s="19" t="s">
        <v>4</v>
      </c>
      <c r="D5" s="19"/>
      <c r="E5" s="19"/>
      <c r="F5" s="19"/>
      <c r="G5" s="19"/>
      <c r="H5" s="19"/>
      <c r="I5" s="19"/>
      <c r="J5" s="19"/>
      <c r="K5" s="2"/>
      <c r="L5" s="2"/>
    </row>
    <row r="6">
      <c r="A6" s="2"/>
      <c r="B6" s="29" t="s">
        <v>5</v>
      </c>
      <c r="C6" s="20">
        <f>DATE(2026,9,30)</f>
        <v>46295</v>
      </c>
      <c r="D6" s="20"/>
      <c r="E6" s="20"/>
      <c r="F6" s="20"/>
      <c r="G6" s="20"/>
      <c r="H6" s="20"/>
      <c r="I6" s="20"/>
      <c r="J6" s="20"/>
      <c r="K6" s="2"/>
      <c r="L6" s="2"/>
    </row>
    <row r="7">
      <c r="A7" s="2"/>
      <c r="B7" s="53" t="s">
        <v>6</v>
      </c>
      <c r="C7" s="13">
        <f>C6-DATE(2026,6,30)</f>
        <v>92</v>
      </c>
      <c r="D7" s="13"/>
      <c r="E7" s="13"/>
      <c r="F7" s="13"/>
      <c r="G7" s="13"/>
      <c r="H7" s="13"/>
      <c r="I7" s="13"/>
      <c r="J7" s="13"/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7</v>
      </c>
      <c r="C9" s="30"/>
      <c r="D9" s="30"/>
      <c r="E9" s="30"/>
      <c r="F9" s="30"/>
      <c r="G9" s="30"/>
      <c r="H9" s="30"/>
      <c r="I9" s="30"/>
      <c r="J9" s="30"/>
      <c r="K9" s="2"/>
      <c r="L9" s="8"/>
    </row>
    <row r="10">
      <c r="A10" s="2"/>
      <c r="B10" s="2" t="s">
        <v>8</v>
      </c>
      <c r="C10" s="2" t="s">
        <v>9</v>
      </c>
      <c r="D10" s="2"/>
      <c r="E10" s="2"/>
      <c r="F10" s="2"/>
      <c r="G10" s="2"/>
      <c r="H10" s="2"/>
      <c r="I10" s="2"/>
      <c r="J10" s="2"/>
      <c r="K10" s="2"/>
      <c r="L10" s="8"/>
    </row>
    <row r="11">
      <c r="A11" s="2"/>
      <c r="B11" s="2" t="s">
        <v>10</v>
      </c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8"/>
    </row>
    <row r="12">
      <c r="A12" s="2"/>
      <c r="B12" s="2" t="s">
        <v>12</v>
      </c>
      <c r="C12" s="2" t="s">
        <v>13</v>
      </c>
      <c r="D12" s="2"/>
      <c r="E12" s="2"/>
      <c r="F12" s="2"/>
      <c r="G12" s="2"/>
      <c r="H12" s="2"/>
      <c r="I12" s="2"/>
      <c r="J12" s="2"/>
      <c r="K12" s="2"/>
      <c r="L12" s="8"/>
    </row>
    <row r="13">
      <c r="A13" s="2"/>
      <c r="B13" s="2" t="s">
        <v>14</v>
      </c>
      <c r="C13" s="2" t="s">
        <v>15</v>
      </c>
      <c r="D13" s="2"/>
      <c r="E13" s="2"/>
      <c r="F13" s="2"/>
      <c r="G13" s="2"/>
      <c r="H13" s="2"/>
      <c r="I13" s="2"/>
      <c r="J13" s="2"/>
      <c r="K13" s="2"/>
      <c r="L13" s="8"/>
    </row>
    <row r="14">
      <c r="A14" s="2"/>
      <c r="B14" s="2" t="s">
        <v>16</v>
      </c>
      <c r="C14" s="2" t="s">
        <v>17</v>
      </c>
      <c r="D14" s="2"/>
      <c r="E14" s="2"/>
      <c r="F14" s="2"/>
      <c r="G14" s="2"/>
      <c r="H14" s="2"/>
      <c r="I14" s="2"/>
      <c r="J14" s="2"/>
      <c r="K14" s="2"/>
      <c r="L14" s="8"/>
    </row>
    <row r="15">
      <c r="A15" s="2"/>
      <c r="B15" s="2" t="s">
        <v>18</v>
      </c>
      <c r="C15" s="2" t="s">
        <v>19</v>
      </c>
      <c r="D15" s="2"/>
      <c r="E15" s="2"/>
      <c r="F15" s="2"/>
      <c r="G15" s="2"/>
      <c r="H15" s="2"/>
      <c r="I15" s="2"/>
      <c r="J15" s="2"/>
      <c r="K15" s="2"/>
      <c r="L15" s="8"/>
    </row>
    <row r="16">
      <c r="A16" s="2"/>
      <c r="B16" s="2" t="s">
        <v>20</v>
      </c>
      <c r="C16" s="2" t="s">
        <v>21</v>
      </c>
      <c r="D16" s="2"/>
      <c r="E16" s="2"/>
      <c r="F16" s="2"/>
      <c r="G16" s="2"/>
      <c r="H16" s="2"/>
      <c r="I16" s="2"/>
      <c r="J16" s="2"/>
      <c r="K16" s="2"/>
      <c r="L16" s="8"/>
    </row>
    <row r="17">
      <c r="A17" s="2"/>
      <c r="B17" s="2" t="s">
        <v>22</v>
      </c>
      <c r="C17" s="2" t="s">
        <v>23</v>
      </c>
      <c r="D17" s="2"/>
      <c r="E17" s="2"/>
      <c r="F17" s="2"/>
      <c r="G17" s="2"/>
      <c r="H17" s="2"/>
      <c r="I17" s="2"/>
      <c r="J17" s="2"/>
      <c r="K17" s="2"/>
      <c r="L17" s="8"/>
    </row>
    <row r="18">
      <c r="A18" s="2"/>
      <c r="B18" s="2" t="s">
        <v>24</v>
      </c>
      <c r="C18" s="166" t="str">
        <f>"$"&amp;TEXT(Inputs!C116,"0.0")&amp;"bn at 10/16/26 close; "&amp;Inputs!C117&amp;" cap; "&amp;IF(Inputs!C118,"S&amp;P 500 member since 9/21/26","not an S&amp;P 500 member")</f>
        <v>$65.2bn at 10/16/26 close; large cap; S&amp;P 500 member since 9/21/26</v>
      </c>
      <c r="D18" s="2"/>
      <c r="E18" s="2"/>
      <c r="F18" s="2"/>
      <c r="G18" s="2"/>
      <c r="H18" s="2"/>
      <c r="I18" s="2"/>
      <c r="J18" s="2"/>
      <c r="K18" s="2"/>
      <c r="L18" s="8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8"/>
    </row>
    <row r="20">
      <c r="A20" s="2"/>
      <c r="B20" s="30" t="s">
        <v>25</v>
      </c>
      <c r="C20" s="30"/>
      <c r="D20" s="30"/>
      <c r="E20" s="30"/>
      <c r="F20" s="30"/>
      <c r="G20" s="30"/>
      <c r="H20" s="30"/>
      <c r="I20" s="30"/>
      <c r="J20" s="30"/>
      <c r="K20" s="2"/>
      <c r="L20" s="8"/>
    </row>
    <row r="21" ht="30">
      <c r="A21" s="2"/>
      <c r="B21" s="78" t="s">
        <v>26</v>
      </c>
      <c r="C21" s="56" t="s">
        <v>27</v>
      </c>
      <c r="D21" s="56" t="s">
        <v>28</v>
      </c>
      <c r="E21" s="56" t="s">
        <v>29</v>
      </c>
      <c r="F21" s="56" t="s">
        <v>30</v>
      </c>
      <c r="G21" s="56" t="s">
        <v>31</v>
      </c>
      <c r="H21" s="56" t="s">
        <v>32</v>
      </c>
      <c r="I21" s="56" t="s">
        <v>33</v>
      </c>
      <c r="J21" s="2"/>
      <c r="K21" s="2"/>
      <c r="L21" s="8"/>
    </row>
    <row r="22">
      <c r="A22" s="2"/>
      <c r="B22" s="65" t="s">
        <v>34</v>
      </c>
      <c r="C22" s="96">
        <f>'Income Statement'!J14</f>
        <v>1107</v>
      </c>
      <c r="D22" s="79">
        <f>Inputs!C19</f>
        <v>1071.24</v>
      </c>
      <c r="E22" s="61">
        <f>C22-D22</f>
        <v>35.75999999999999</v>
      </c>
      <c r="F22" s="85">
        <f>C22/D22-1</f>
        <v>0.03338187521003699</v>
      </c>
      <c r="G22" s="79">
        <f>Guidance!G30</f>
        <v>1116.7905</v>
      </c>
      <c r="H22" s="85">
        <f>C22/G22-1</f>
        <v>-0.008766639759202888</v>
      </c>
      <c r="I22" s="74">
        <f>Inputs!C69</f>
        <v>15</v>
      </c>
      <c r="J22" s="2"/>
      <c r="K22" s="2"/>
      <c r="L22" s="8"/>
    </row>
    <row r="23">
      <c r="A23" s="2"/>
      <c r="B23" s="2" t="s">
        <v>35</v>
      </c>
      <c r="C23" s="22">
        <f>'Income Statement'!J114</f>
        <v>243.98000000000002</v>
      </c>
      <c r="D23" s="6" t="s">
        <v>36</v>
      </c>
      <c r="E23" s="6" t="s">
        <v>36</v>
      </c>
      <c r="F23" s="37" t="s">
        <v>36</v>
      </c>
      <c r="G23" s="25">
        <f>Guidance!G33</f>
        <v>240.32450000000006</v>
      </c>
      <c r="H23" s="37">
        <f>C23/G23-1</f>
        <v>0.015210683887826537</v>
      </c>
      <c r="I23" s="75"/>
      <c r="J23" s="2"/>
      <c r="K23" s="2"/>
      <c r="L23" s="8" t="s">
        <v>37</v>
      </c>
    </row>
    <row r="24">
      <c r="A24" s="2"/>
      <c r="B24" s="2" t="s">
        <v>38</v>
      </c>
      <c r="C24" s="22">
        <f>'Income Statement'!J120</f>
        <v>258.48</v>
      </c>
      <c r="D24" s="25">
        <f>Inputs!C73</f>
        <v>240.55</v>
      </c>
      <c r="E24" s="6">
        <f>C24-D24</f>
        <v>17.930000000000007</v>
      </c>
      <c r="F24" s="37">
        <f>C24/D24-1</f>
        <v>0.074537518187487</v>
      </c>
      <c r="G24" s="6" t="s">
        <v>36</v>
      </c>
      <c r="H24" s="37" t="s">
        <v>36</v>
      </c>
      <c r="I24" s="75"/>
      <c r="J24" s="2"/>
      <c r="K24" s="2"/>
      <c r="L24" s="8" t="s">
        <v>39</v>
      </c>
    </row>
    <row r="25">
      <c r="A25" s="2"/>
      <c r="B25" s="2" t="s">
        <v>40</v>
      </c>
      <c r="C25" s="22">
        <f>'Income Statement'!J134</f>
        <v>252.48000000000002</v>
      </c>
      <c r="D25" s="25">
        <f>Inputs!C77</f>
        <v>216.8</v>
      </c>
      <c r="E25" s="6">
        <f>C25-D25</f>
        <v>35.68000000000001</v>
      </c>
      <c r="F25" s="37">
        <f>C25/D25-1</f>
        <v>0.16457564575645756</v>
      </c>
      <c r="G25" s="25">
        <f>Guidance!G37</f>
        <v>241.12396074000003</v>
      </c>
      <c r="H25" s="37">
        <f>C25/G25-1</f>
        <v>0.04709627042102649</v>
      </c>
      <c r="I25" s="75"/>
      <c r="J25" s="2"/>
      <c r="K25" s="2"/>
      <c r="L25" s="8" t="s">
        <v>41</v>
      </c>
    </row>
    <row r="26">
      <c r="A26" s="2"/>
      <c r="B26" s="2" t="s">
        <v>42</v>
      </c>
      <c r="C26" s="22">
        <f>'Income Statement'!J78</f>
        <v>184.28000000000003</v>
      </c>
      <c r="D26" s="25">
        <f>Inputs!C78</f>
        <v>174.17</v>
      </c>
      <c r="E26" s="6">
        <f>C26-D26</f>
        <v>10.110000000000042</v>
      </c>
      <c r="F26" s="37">
        <f>C26/D26-1</f>
        <v>0.05804673594763754</v>
      </c>
      <c r="G26" s="6" t="s">
        <v>36</v>
      </c>
      <c r="H26" s="37" t="s">
        <v>36</v>
      </c>
      <c r="I26" s="75"/>
      <c r="J26" s="2"/>
      <c r="K26" s="2"/>
      <c r="L26" s="8"/>
    </row>
    <row r="27" ht="19.5">
      <c r="A27" s="2"/>
      <c r="B27" s="47" t="s">
        <v>43</v>
      </c>
      <c r="C27" s="71">
        <f>'Income Statement'!J141</f>
        <v>0.7742406219305644</v>
      </c>
      <c r="D27" s="90">
        <f>Inputs!C17</f>
        <v>0.67</v>
      </c>
      <c r="E27" s="84">
        <f>C27-D27</f>
        <v>0.10424062193056438</v>
      </c>
      <c r="F27" s="63">
        <f>C27/D27-1</f>
        <v>0.1555830178068125</v>
      </c>
      <c r="G27" s="90">
        <f>Guidance!G36</f>
        <v>0.7400000000000001</v>
      </c>
      <c r="H27" s="63">
        <f>C27/G27-1</f>
        <v>0.04627111071697887</v>
      </c>
      <c r="I27" s="88">
        <f>Inputs!C51</f>
        <v>17</v>
      </c>
      <c r="J27" s="2"/>
      <c r="K27" s="2"/>
      <c r="L27" s="8" t="s">
        <v>44</v>
      </c>
    </row>
    <row r="28">
      <c r="A28" s="2"/>
      <c r="B28" s="2" t="s">
        <v>45</v>
      </c>
      <c r="C28" s="58">
        <f>'Income Statement'!J88</f>
        <v>0.5686046284121266</v>
      </c>
      <c r="D28" s="50">
        <f>Inputs!C55</f>
        <v>0.54</v>
      </c>
      <c r="E28" s="43">
        <f>C28-D28</f>
        <v>0.02860462841212652</v>
      </c>
      <c r="F28" s="37">
        <f>C28/D28-1</f>
        <v>0.05297153409653066</v>
      </c>
      <c r="G28" s="43" t="s">
        <v>36</v>
      </c>
      <c r="H28" s="37" t="s">
        <v>36</v>
      </c>
      <c r="I28" s="64">
        <f>Inputs!C60</f>
        <v>9</v>
      </c>
      <c r="J28" s="2"/>
      <c r="K28" s="2"/>
      <c r="L28" s="8"/>
    </row>
    <row r="29" ht="39">
      <c r="A29" s="2"/>
      <c r="B29" s="82" t="s">
        <v>46</v>
      </c>
      <c r="C29" s="62" t="str">
        <f>IF(ISERROR(SUM('Revenue summary'!C67:J68,'Income Statement'!C90:J90,'Income Statement'!C115:J115,'Income Statement'!C146:J146,'Balance Sheet'!C30:J30,'Balance Sheet'!C58:J58,'Cash Flow Statement'!C39:J39,'Cash Flow Statement'!C62:J62,Geo!C33:J33)),"FAIL",IF(((SUMIF('Revenue summary'!C67:J67,"&gt;0")-SUMIF('Revenue summary'!C67:J67,"&lt;0")) + (SUMIF('Revenue summary'!C68:J68,"&gt;0")-SUMIF('Revenue summary'!C68:J68,"&lt;0")) + (SUMIF('Income Statement'!C90:J90,"&gt;0")-SUMIF('Income Statement'!C90:J90,"&lt;0")) + (SUMIF('Income Statement'!C146:J146,"&gt;0")-SUMIF('Income Statement'!C146:J146,"&lt;0")) + (SUMIF('Income Statement'!C115:J115,"&gt;0")-SUMIF('Income Statement'!C115:J115,"&lt;0")) + (SUMIF('Balance Sheet'!C58:J58,"&gt;0")-SUMIF('Balance Sheet'!C58:J58,"&lt;0")) + (SUMIF('Balance Sheet'!C30:J30,"&gt;0")-SUMIF('Balance Sheet'!C30:J30,"&lt;0")) + (SUMIF('Cash Flow Statement'!C62:J62,"&gt;0")-SUMIF('Cash Flow Statement'!C62:J62,"&lt;0")) + (SUMIF('Cash Flow Statement'!C39:J39,"&gt;0")-SUMIF('Cash Flow Statement'!C39:J39,"&lt;0")) + (SUMIF(Geo!C33:J33,"&gt;0")-SUMIF(Geo!C33:J33,"&lt;0")) + ABS(C22-'Income Statement'!J14) + ABS(C23-'Income Statement'!J114) + ABS(C24-'Income Statement'!J120) + ABS(C25-'Income Statement'!J134) + ABS(C26-'Income Statement'!J78) + ABS(C27-'Income Statement'!J141) + ABS(C28-'Income Statement'!J88) + ABS('Revenue summary'!J86-'Balance Sheet'!J16-'Balance Sheet'!J26))&lt;0.001,"PASS","FAIL"))</f>
        <v>PASS</v>
      </c>
      <c r="D29" s="66"/>
      <c r="E29" s="66"/>
      <c r="F29" s="66"/>
      <c r="G29" s="66"/>
      <c r="H29" s="66"/>
      <c r="I29" s="66"/>
      <c r="J29" s="2"/>
      <c r="K29" s="2"/>
      <c r="L29" s="8" t="s">
        <v>47</v>
      </c>
    </row>
    <row r="30">
      <c r="A30" s="2"/>
      <c r="B30" s="17" t="s">
        <v>48</v>
      </c>
      <c r="C30" s="86">
        <f>Inputs!C124</f>
        <v>0.82</v>
      </c>
      <c r="D30" s="23"/>
      <c r="E30" s="23"/>
      <c r="F30" s="23"/>
      <c r="G30" s="23"/>
      <c r="H30" s="23"/>
      <c r="I30" s="23"/>
      <c r="J30" s="2"/>
      <c r="K30" s="2"/>
      <c r="L30" s="8"/>
    </row>
    <row r="31">
      <c r="A31" s="2"/>
      <c r="B31" s="76" t="s">
        <v>49</v>
      </c>
      <c r="C31" s="55" t="s">
        <v>50</v>
      </c>
      <c r="D31" s="52"/>
      <c r="E31" s="52"/>
      <c r="F31" s="52"/>
      <c r="G31" s="52"/>
      <c r="H31" s="52"/>
      <c r="I31" s="52"/>
      <c r="J31" s="2"/>
      <c r="K31" s="2"/>
      <c r="L31" s="8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8"/>
    </row>
    <row r="33">
      <c r="A33" s="2"/>
      <c r="B33" s="30" t="s">
        <v>51</v>
      </c>
      <c r="C33" s="30"/>
      <c r="D33" s="30"/>
      <c r="E33" s="30"/>
      <c r="F33" s="30"/>
      <c r="G33" s="30"/>
      <c r="H33" s="30"/>
      <c r="I33" s="30"/>
      <c r="J33" s="30"/>
      <c r="K33" s="2"/>
      <c r="L33" s="8"/>
    </row>
    <row r="34">
      <c r="A34" s="2"/>
      <c r="B34" s="2" t="s">
        <v>52</v>
      </c>
      <c r="C34" s="54">
        <f>Inputs!C119</f>
        <v>0.78</v>
      </c>
      <c r="D34" s="2"/>
      <c r="E34" s="2"/>
      <c r="F34" s="2"/>
      <c r="G34" s="2"/>
      <c r="H34" s="2"/>
      <c r="I34" s="2"/>
      <c r="J34" s="2"/>
      <c r="K34" s="2"/>
      <c r="L34" s="8"/>
    </row>
    <row r="35">
      <c r="A35" s="2"/>
      <c r="B35" s="2" t="s">
        <v>53</v>
      </c>
      <c r="C35" s="64">
        <f>Inputs!C120</f>
        <v>6</v>
      </c>
      <c r="D35" s="2"/>
      <c r="E35" s="2"/>
      <c r="F35" s="2"/>
      <c r="G35" s="2"/>
      <c r="H35" s="2"/>
      <c r="I35" s="2"/>
      <c r="J35" s="2"/>
      <c r="K35" s="2"/>
      <c r="L35" s="8"/>
    </row>
    <row r="36">
      <c r="A36" s="2"/>
      <c r="B36" s="2" t="s">
        <v>54</v>
      </c>
      <c r="C36" s="64">
        <f>Inputs!C121</f>
        <v>6</v>
      </c>
      <c r="D36" s="2"/>
      <c r="E36" s="2"/>
      <c r="F36" s="2"/>
      <c r="G36" s="2"/>
      <c r="H36" s="2"/>
      <c r="I36" s="2"/>
      <c r="J36" s="2"/>
      <c r="K36" s="2"/>
      <c r="L36" s="8"/>
    </row>
    <row r="37" ht="19.5">
      <c r="A37" s="2"/>
      <c r="B37" s="49" t="s">
        <v>55</v>
      </c>
      <c r="C37" s="54">
        <f>Inputs!C123</f>
        <v>0.8742857142857143</v>
      </c>
      <c r="D37" s="2"/>
      <c r="E37" s="2"/>
      <c r="F37" s="2"/>
      <c r="G37" s="2"/>
      <c r="H37" s="2"/>
      <c r="I37" s="2"/>
      <c r="J37" s="2"/>
      <c r="K37" s="2"/>
      <c r="L37" s="8"/>
    </row>
    <row r="38">
      <c r="A38" s="2"/>
      <c r="B38" s="2" t="s">
        <v>56</v>
      </c>
      <c r="C38" s="54">
        <f>Inputs!C125</f>
        <v>-0.05428571428571438</v>
      </c>
      <c r="D38" s="2"/>
      <c r="E38" s="2"/>
      <c r="F38" s="2"/>
      <c r="G38" s="2"/>
      <c r="H38" s="2"/>
      <c r="I38" s="2"/>
      <c r="J38" s="2"/>
      <c r="K38" s="2"/>
      <c r="L38" s="8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8"/>
    </row>
    <row r="40">
      <c r="A40" s="2"/>
      <c r="B40" s="30" t="s">
        <v>57</v>
      </c>
      <c r="C40" s="30"/>
      <c r="D40" s="30"/>
      <c r="E40" s="30"/>
      <c r="F40" s="30"/>
      <c r="G40" s="30"/>
      <c r="H40" s="30"/>
      <c r="I40" s="30"/>
      <c r="J40" s="30"/>
      <c r="K40" s="2"/>
      <c r="L40" s="8" t="s">
        <v>58</v>
      </c>
    </row>
    <row r="41">
      <c r="A41" s="2"/>
      <c r="B41" s="2" t="s">
        <v>59</v>
      </c>
      <c r="C41" s="2"/>
      <c r="D41" s="2"/>
      <c r="E41" s="2"/>
      <c r="F41" s="2"/>
      <c r="G41" s="2"/>
      <c r="H41" s="2"/>
      <c r="I41" s="2"/>
      <c r="J41" s="2"/>
      <c r="K41" s="2"/>
      <c r="L41" s="8"/>
    </row>
    <row r="42">
      <c r="A42" s="2"/>
      <c r="B42" s="2" t="s">
        <v>60</v>
      </c>
      <c r="C42" s="2"/>
      <c r="D42" s="2"/>
      <c r="E42" s="2"/>
      <c r="F42" s="2"/>
      <c r="G42" s="2"/>
      <c r="H42" s="2"/>
      <c r="I42" s="2"/>
      <c r="J42" s="2"/>
      <c r="K42" s="2"/>
      <c r="L42" s="8"/>
    </row>
    <row r="43">
      <c r="A43" s="2"/>
      <c r="B43" s="2" t="s">
        <v>61</v>
      </c>
      <c r="C43" s="2"/>
      <c r="D43" s="2"/>
      <c r="E43" s="2"/>
      <c r="F43" s="2"/>
      <c r="G43" s="2"/>
      <c r="H43" s="2"/>
      <c r="I43" s="2"/>
      <c r="J43" s="2"/>
      <c r="K43" s="2"/>
      <c r="L43" s="8"/>
    </row>
    <row r="44">
      <c r="A44" s="2"/>
      <c r="B44" s="2" t="s">
        <v>62</v>
      </c>
      <c r="C44" s="2"/>
      <c r="D44" s="2"/>
      <c r="E44" s="2"/>
      <c r="F44" s="2"/>
      <c r="G44" s="2"/>
      <c r="H44" s="2"/>
      <c r="I44" s="2"/>
      <c r="J44" s="2"/>
      <c r="K44" s="2"/>
      <c r="L44" s="8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8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63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72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 ht="19.5">
      <c r="A10" s="2"/>
      <c r="B10" s="18" t="s">
        <v>73</v>
      </c>
      <c r="C10" s="6">
        <f>C75+C11</f>
        <v>211.869</v>
      </c>
      <c r="D10" s="6">
        <f>D75+D11</f>
        <v>296.611</v>
      </c>
      <c r="E10" s="6">
        <f>E75+E11</f>
        <v>384.314</v>
      </c>
      <c r="F10" s="6">
        <f>F75+F11</f>
        <v>654.434</v>
      </c>
      <c r="G10" s="6">
        <f>SUM(C10:F10)</f>
        <v>1547.228</v>
      </c>
      <c r="H10" s="6">
        <f>H75+H11</f>
        <v>650.2579999999999</v>
      </c>
      <c r="I10" s="6">
        <f>I75+I11</f>
        <v>940.425</v>
      </c>
      <c r="J10" s="24">
        <v>990</v>
      </c>
      <c r="K10" s="2"/>
      <c r="L10" s="8" t="s">
        <v>74</v>
      </c>
    </row>
    <row r="11" ht="19.5">
      <c r="A11" s="2"/>
      <c r="B11" s="18" t="s">
        <v>75</v>
      </c>
      <c r="C11" s="25">
        <f>'Cash Flow Statement'!C19</f>
        <v>0</v>
      </c>
      <c r="D11" s="25">
        <f>'Cash Flow Statement'!D19</f>
        <v>0</v>
      </c>
      <c r="E11" s="25">
        <f>'Cash Flow Statement'!E19</f>
        <v>0</v>
      </c>
      <c r="F11" s="25">
        <f>'Cash Flow Statement'!F19</f>
        <v>15.947</v>
      </c>
      <c r="G11" s="6">
        <f>SUM(C11:F11)</f>
        <v>15.947</v>
      </c>
      <c r="H11" s="25">
        <f>'Cash Flow Statement'!H19</f>
        <v>-3.09</v>
      </c>
      <c r="I11" s="25">
        <f>'Cash Flow Statement'!I19</f>
        <v>5.012</v>
      </c>
      <c r="J11" s="24">
        <v>10</v>
      </c>
      <c r="K11" s="2"/>
      <c r="L11" s="8" t="s">
        <v>76</v>
      </c>
    </row>
    <row r="12">
      <c r="A12" s="2"/>
      <c r="B12" s="17" t="s">
        <v>77</v>
      </c>
      <c r="C12" s="14">
        <f>C10-C11</f>
        <v>211.869</v>
      </c>
      <c r="D12" s="14">
        <f>D10-D11</f>
        <v>296.611</v>
      </c>
      <c r="E12" s="14">
        <f>E10-E11</f>
        <v>384.314</v>
      </c>
      <c r="F12" s="14">
        <f>F10-F11</f>
        <v>638.487</v>
      </c>
      <c r="G12" s="14">
        <f>SUM(C12:F12)</f>
        <v>1531.281</v>
      </c>
      <c r="H12" s="14">
        <f>H10-H11</f>
        <v>653.348</v>
      </c>
      <c r="I12" s="14">
        <f>I10-I11</f>
        <v>935.413</v>
      </c>
      <c r="J12" s="28">
        <f>J10-J11</f>
        <v>980</v>
      </c>
      <c r="K12" s="2"/>
      <c r="L12" s="8" t="s">
        <v>78</v>
      </c>
    </row>
    <row r="13">
      <c r="A13" s="2"/>
      <c r="B13" s="48" t="s">
        <v>79</v>
      </c>
      <c r="C13" s="70">
        <f>IFERROR(C12/C71-1,"n/a")</f>
        <v>0.3814780522156438</v>
      </c>
      <c r="D13" s="70">
        <f>IFERROR(D12/D71-1,"n/a")</f>
        <v>0.3106518549940789</v>
      </c>
      <c r="E13" s="70">
        <f>IFERROR(E12/E71-1,"n/a")</f>
        <v>0.6439834024896265</v>
      </c>
      <c r="F13" s="70">
        <f>IFERROR(F12/F71-1,"n/a")</f>
        <v>0.35355546086480905</v>
      </c>
      <c r="G13" s="70">
        <f>IFERROR(G12/G71-1,"n/a")</f>
        <v>0.4111199065938167</v>
      </c>
      <c r="H13" s="70">
        <f>IFERROR(H12/H71-1,"n/a")</f>
        <v>2.0837357046099236</v>
      </c>
      <c r="I13" s="70">
        <f>IFERROR(I12/I71-1,"n/a")</f>
        <v>2.1536692840117193</v>
      </c>
      <c r="J13" s="69">
        <f>IFERROR(J12/J71-1,"n/a")</f>
        <v>1.5499981785727295</v>
      </c>
      <c r="K13" s="2"/>
      <c r="L13" s="8"/>
    </row>
    <row r="14">
      <c r="A14" s="2"/>
      <c r="B14" s="21" t="s">
        <v>80</v>
      </c>
      <c r="C14" s="6">
        <f>C12-C71</f>
        <v>58.504999999999995</v>
      </c>
      <c r="D14" s="6">
        <f>D12-D71</f>
        <v>70.303</v>
      </c>
      <c r="E14" s="6">
        <f>E12-E71</f>
        <v>150.544</v>
      </c>
      <c r="F14" s="6">
        <f>F12-F71</f>
        <v>166.77599999999995</v>
      </c>
      <c r="G14" s="6">
        <f>G12-G71</f>
        <v>446.12799999999993</v>
      </c>
      <c r="H14" s="6">
        <f>H12-H71</f>
        <v>441.4789999999999</v>
      </c>
      <c r="I14" s="6">
        <f>I12-I71</f>
        <v>638.802</v>
      </c>
      <c r="J14" s="7">
        <f>J12-J71</f>
        <v>595.6859999999999</v>
      </c>
      <c r="K14" s="2"/>
      <c r="L14" s="8"/>
    </row>
    <row r="15">
      <c r="A15" s="2"/>
      <c r="B15" s="21" t="s">
        <v>81</v>
      </c>
      <c r="C15" s="6">
        <f>C12-F71</f>
        <v>-259.842</v>
      </c>
      <c r="D15" s="6">
        <f>D12-C12</f>
        <v>84.74199999999999</v>
      </c>
      <c r="E15" s="6">
        <f>E12-D12</f>
        <v>87.70300000000003</v>
      </c>
      <c r="F15" s="6">
        <f>F12-E12</f>
        <v>254.17299999999994</v>
      </c>
      <c r="G15" s="6"/>
      <c r="H15" s="6">
        <f>H12-F12</f>
        <v>14.86099999999999</v>
      </c>
      <c r="I15" s="6">
        <f>I12-H12</f>
        <v>282.06500000000005</v>
      </c>
      <c r="J15" s="7">
        <f>J12-I12</f>
        <v>44.58699999999999</v>
      </c>
      <c r="K15" s="2"/>
      <c r="L15" s="8"/>
    </row>
    <row r="16">
      <c r="A16" s="2"/>
      <c r="B16" s="48" t="s">
        <v>82</v>
      </c>
      <c r="C16" s="70">
        <f>IFERROR(C12/F71-1,"n/a")</f>
        <v>-0.550849990778252</v>
      </c>
      <c r="D16" s="70">
        <f>IFERROR(D12/C12-1,"n/a")</f>
        <v>0.39997356857303323</v>
      </c>
      <c r="E16" s="70">
        <f>IFERROR(E12/D12-1,"n/a")</f>
        <v>0.29568357208599827</v>
      </c>
      <c r="F16" s="70">
        <f>IFERROR(F12/E12-1,"n/a")</f>
        <v>0.6613680480024144</v>
      </c>
      <c r="G16" s="70"/>
      <c r="H16" s="70">
        <f>IFERROR(H12/F12-1,"n/a")</f>
        <v>0.023275336851024342</v>
      </c>
      <c r="I16" s="70">
        <f>IFERROR(I12/H12-1,"n/a")</f>
        <v>0.43172245112864815</v>
      </c>
      <c r="J16" s="69">
        <f>IFERROR(J12/I12-1,"n/a")</f>
        <v>0.047665576595578685</v>
      </c>
      <c r="K16" s="2"/>
      <c r="L16" s="8"/>
    </row>
    <row r="17">
      <c r="A17" s="2"/>
      <c r="B17" s="48" t="s">
        <v>83</v>
      </c>
      <c r="C17" s="70">
        <f>C12/C55</f>
        <v>0.6498630456320298</v>
      </c>
      <c r="D17" s="70">
        <f>D12/D55</f>
        <v>0.7392321840684674</v>
      </c>
      <c r="E17" s="70">
        <f>E12/E55</f>
        <v>0.7404209244617068</v>
      </c>
      <c r="F17" s="70">
        <f>F12/F55</f>
        <v>0.8210119033076458</v>
      </c>
      <c r="G17" s="70">
        <f>G12/G55</f>
        <v>0.7565640016719416</v>
      </c>
      <c r="H17" s="70">
        <f>H12/H55</f>
        <v>0.8699081557384688</v>
      </c>
      <c r="I17" s="70">
        <f>I12/I55</f>
        <v>0.8780211476817804</v>
      </c>
      <c r="J17" s="69">
        <f>J12/J55</f>
        <v>0.8852755194218609</v>
      </c>
      <c r="K17" s="2"/>
      <c r="L17" s="8"/>
    </row>
    <row r="18">
      <c r="A18" s="2"/>
      <c r="B18" s="48" t="s">
        <v>84</v>
      </c>
      <c r="C18" s="68" t="s">
        <v>85</v>
      </c>
      <c r="D18" s="68" t="s">
        <v>85</v>
      </c>
      <c r="E18" s="68" t="s">
        <v>85</v>
      </c>
      <c r="F18" s="68" t="s">
        <v>85</v>
      </c>
      <c r="G18" s="68" t="s">
        <v>85</v>
      </c>
      <c r="H18" s="68" t="s">
        <v>85</v>
      </c>
      <c r="I18" s="68" t="s">
        <v>85</v>
      </c>
      <c r="J18" s="81" t="s">
        <v>85</v>
      </c>
      <c r="K18" s="2"/>
      <c r="L18" s="8" t="s">
        <v>86</v>
      </c>
    </row>
    <row r="19">
      <c r="A19" s="2"/>
      <c r="B19" s="48" t="s">
        <v>87</v>
      </c>
      <c r="C19" s="68" t="s">
        <v>85</v>
      </c>
      <c r="D19" s="68" t="s">
        <v>85</v>
      </c>
      <c r="E19" s="68" t="s">
        <v>85</v>
      </c>
      <c r="F19" s="68" t="s">
        <v>85</v>
      </c>
      <c r="G19" s="68" t="s">
        <v>85</v>
      </c>
      <c r="H19" s="68" t="s">
        <v>85</v>
      </c>
      <c r="I19" s="68" t="s">
        <v>85</v>
      </c>
      <c r="J19" s="81" t="s">
        <v>85</v>
      </c>
      <c r="K19" s="2"/>
      <c r="L19" s="8" t="s">
        <v>88</v>
      </c>
    </row>
    <row r="20" ht="19.5">
      <c r="A20" s="2"/>
      <c r="B20" s="73" t="s">
        <v>89</v>
      </c>
      <c r="C20" s="70" t="str">
        <f>IF(AND(ISNUMBER(C13),ISNUMBER(C18),ISNUMBER(C19)),(1+C13)/((1+C18)*(1+C19))-1,"Unavailable")</f>
        <v>Unavailable</v>
      </c>
      <c r="D20" s="70" t="str">
        <f>IF(AND(ISNUMBER(D13),ISNUMBER(D18),ISNUMBER(D19)),(1+D13)/((1+D18)*(1+D19))-1,"Unavailable")</f>
        <v>Unavailable</v>
      </c>
      <c r="E20" s="70" t="str">
        <f>IF(AND(ISNUMBER(E13),ISNUMBER(E18),ISNUMBER(E19)),(1+E13)/((1+E18)*(1+E19))-1,"Unavailable")</f>
        <v>Unavailable</v>
      </c>
      <c r="F20" s="70" t="str">
        <f>IF(AND(ISNUMBER(F13),ISNUMBER(F18),ISNUMBER(F19)),(1+F13)/((1+F18)*(1+F19))-1,"Unavailable")</f>
        <v>Unavailable</v>
      </c>
      <c r="G20" s="70" t="str">
        <f>IF(AND(ISNUMBER(G13),ISNUMBER(G18),ISNUMBER(G19)),(1+G13)/((1+G18)*(1+G19))-1,"Unavailable")</f>
        <v>Unavailable</v>
      </c>
      <c r="H20" s="70" t="str">
        <f>IF(AND(ISNUMBER(H13),ISNUMBER(H18),ISNUMBER(H19)),(1+H13)/((1+H18)*(1+H19))-1,"Unavailable")</f>
        <v>Unavailable</v>
      </c>
      <c r="I20" s="70" t="str">
        <f>IF(AND(ISNUMBER(I13),ISNUMBER(I18),ISNUMBER(I19)),(1+I13)/((1+I18)*(1+I19))-1,"Unavailable")</f>
        <v>Unavailable</v>
      </c>
      <c r="J20" s="69" t="str">
        <f>IF(AND(ISNUMBER(J13),ISNUMBER(J18),ISNUMBER(J19)),(1+J13)/((1+J18)*(1+J19))-1,"Unavailable")</f>
        <v>Unavailable</v>
      </c>
      <c r="K20" s="2"/>
      <c r="L20" s="8"/>
    </row>
    <row r="21">
      <c r="A21" s="2"/>
      <c r="B21" s="48" t="s">
        <v>90</v>
      </c>
      <c r="C21" s="70">
        <f>C13</f>
        <v>0.3814780522156438</v>
      </c>
      <c r="D21" s="70">
        <f>D13</f>
        <v>0.3106518549940789</v>
      </c>
      <c r="E21" s="70">
        <f>E13</f>
        <v>0.6439834024896265</v>
      </c>
      <c r="F21" s="70">
        <f>F13</f>
        <v>0.35355546086480905</v>
      </c>
      <c r="G21" s="70">
        <f>G13</f>
        <v>0.4111199065938167</v>
      </c>
      <c r="H21" s="70">
        <f>H13</f>
        <v>2.0837357046099236</v>
      </c>
      <c r="I21" s="70">
        <f>I13</f>
        <v>2.1536692840117193</v>
      </c>
      <c r="J21" s="69">
        <f>J13</f>
        <v>1.5499981785727295</v>
      </c>
      <c r="K21" s="2"/>
      <c r="L21" s="8"/>
    </row>
    <row r="22">
      <c r="A22" s="2"/>
      <c r="B22" s="17" t="s">
        <v>91</v>
      </c>
      <c r="C22" s="12">
        <v>53.548</v>
      </c>
      <c r="D22" s="12">
        <v>54.449</v>
      </c>
      <c r="E22" s="12">
        <v>58.607</v>
      </c>
      <c r="F22" s="12">
        <v>61.691</v>
      </c>
      <c r="G22" s="105">
        <f>SUM(C22:F22)</f>
        <v>228.29500000000002</v>
      </c>
      <c r="H22" s="12">
        <v>61.879</v>
      </c>
      <c r="I22" s="12">
        <v>69.023</v>
      </c>
      <c r="J22" s="123">
        <v>72</v>
      </c>
      <c r="K22" s="2"/>
      <c r="L22" s="8" t="s">
        <v>92</v>
      </c>
    </row>
    <row r="23">
      <c r="A23" s="2"/>
      <c r="B23" s="48" t="s">
        <v>79</v>
      </c>
      <c r="C23" s="70">
        <f>IFERROR(C22/C72-1,"n/a")</f>
        <v>-0.051576337229897296</v>
      </c>
      <c r="D23" s="70">
        <f>IFERROR(D22/D72-1,"n/a")</f>
        <v>0.03651177400011418</v>
      </c>
      <c r="E23" s="70">
        <f>IFERROR(E22/E72-1,"n/a")</f>
        <v>0.15456748291010802</v>
      </c>
      <c r="F23" s="70">
        <f>IFERROR(F22/F72-1,"n/a")</f>
        <v>0.14688603829708136</v>
      </c>
      <c r="G23" s="70">
        <f>IFERROR(G22/G72-1,"n/a")</f>
        <v>0.06908711166889892</v>
      </c>
      <c r="H23" s="70">
        <f>IFERROR(H22/H72-1,"n/a")</f>
        <v>0.15558004033764083</v>
      </c>
      <c r="I23" s="70">
        <f>IFERROR(I22/I72-1,"n/a")</f>
        <v>0.26766331796727205</v>
      </c>
      <c r="J23" s="69">
        <f>IFERROR(J22/J72-1,"n/a")</f>
        <v>0.22852219018206021</v>
      </c>
      <c r="K23" s="2"/>
      <c r="L23" s="8"/>
    </row>
    <row r="24">
      <c r="A24" s="2"/>
      <c r="B24" s="21" t="s">
        <v>80</v>
      </c>
      <c r="C24" s="6">
        <f>C22-C72</f>
        <v>-2.911999999999999</v>
      </c>
      <c r="D24" s="6">
        <f>D22-D72</f>
        <v>1.9179999999999993</v>
      </c>
      <c r="E24" s="6">
        <f>E22-E72</f>
        <v>7.8459999999999965</v>
      </c>
      <c r="F24" s="6">
        <f>F22-F72</f>
        <v>7.901000000000003</v>
      </c>
      <c r="G24" s="6">
        <f>G22-G72</f>
        <v>14.753000000000014</v>
      </c>
      <c r="H24" s="6">
        <f>H22-H72</f>
        <v>8.330999999999996</v>
      </c>
      <c r="I24" s="6">
        <f>I22-I72</f>
        <v>14.573999999999998</v>
      </c>
      <c r="J24" s="7">
        <f>J22-J72</f>
        <v>13.393</v>
      </c>
      <c r="K24" s="2"/>
      <c r="L24" s="8"/>
    </row>
    <row r="25">
      <c r="A25" s="2"/>
      <c r="B25" s="21" t="s">
        <v>81</v>
      </c>
      <c r="C25" s="6">
        <f>C22-F72</f>
        <v>-0.24199999999999733</v>
      </c>
      <c r="D25" s="6">
        <f>D22-C22</f>
        <v>0.9009999999999962</v>
      </c>
      <c r="E25" s="6">
        <f>E22-D22</f>
        <v>4.158000000000001</v>
      </c>
      <c r="F25" s="6">
        <f>F22-E22</f>
        <v>3.084000000000003</v>
      </c>
      <c r="G25" s="6"/>
      <c r="H25" s="6">
        <f>H22-F22</f>
        <v>0.18799999999999528</v>
      </c>
      <c r="I25" s="6">
        <f>I22-H22</f>
        <v>7.143999999999998</v>
      </c>
      <c r="J25" s="7">
        <f>J22-I22</f>
        <v>2.977000000000004</v>
      </c>
      <c r="K25" s="2"/>
      <c r="L25" s="8"/>
    </row>
    <row r="26">
      <c r="A26" s="2"/>
      <c r="B26" s="48" t="s">
        <v>82</v>
      </c>
      <c r="C26" s="70">
        <f>IFERROR(C22/F72-1,"n/a")</f>
        <v>-0.0044989775051124115</v>
      </c>
      <c r="D26" s="70">
        <f>IFERROR(D22/C22-1,"n/a")</f>
        <v>0.016826025248375176</v>
      </c>
      <c r="E26" s="70">
        <f>IFERROR(E22/D22-1,"n/a")</f>
        <v>0.0763650388436885</v>
      </c>
      <c r="F26" s="70">
        <f>IFERROR(F22/E22-1,"n/a")</f>
        <v>0.052621700479464906</v>
      </c>
      <c r="G26" s="70"/>
      <c r="H26" s="70">
        <f>IFERROR(H22/F22-1,"n/a")</f>
        <v>0.0030474461428733335</v>
      </c>
      <c r="I26" s="70">
        <f>IFERROR(I22/H22-1,"n/a")</f>
        <v>0.11545112235168631</v>
      </c>
      <c r="J26" s="69">
        <f>IFERROR(J22/I22-1,"n/a")</f>
        <v>0.043130550686003355</v>
      </c>
      <c r="K26" s="2"/>
      <c r="L26" s="8"/>
    </row>
    <row r="27">
      <c r="A27" s="2"/>
      <c r="B27" s="48" t="s">
        <v>83</v>
      </c>
      <c r="C27" s="70">
        <f>C22/C55</f>
        <v>0.16424708837774254</v>
      </c>
      <c r="D27" s="70">
        <f>D22/D55</f>
        <v>0.13570114793565977</v>
      </c>
      <c r="E27" s="70">
        <f>E22/E55</f>
        <v>0.11291248593579013</v>
      </c>
      <c r="F27" s="70">
        <f>F22/F55</f>
        <v>0.07932666652093463</v>
      </c>
      <c r="G27" s="70">
        <f>G22/G55</f>
        <v>0.11279430670249023</v>
      </c>
      <c r="H27" s="70">
        <f>H22/H55</f>
        <v>0.08238954855443151</v>
      </c>
      <c r="I27" s="70">
        <f>I22/I55</f>
        <v>0.06478812425788344</v>
      </c>
      <c r="J27" s="69">
        <f>J22/J55</f>
        <v>0.06504065040650407</v>
      </c>
      <c r="K27" s="2"/>
      <c r="L27" s="8"/>
    </row>
    <row r="28">
      <c r="A28" s="2"/>
      <c r="B28" s="48" t="s">
        <v>84</v>
      </c>
      <c r="C28" s="68" t="s">
        <v>85</v>
      </c>
      <c r="D28" s="68" t="s">
        <v>85</v>
      </c>
      <c r="E28" s="68" t="s">
        <v>85</v>
      </c>
      <c r="F28" s="68" t="s">
        <v>85</v>
      </c>
      <c r="G28" s="68" t="s">
        <v>85</v>
      </c>
      <c r="H28" s="68" t="s">
        <v>85</v>
      </c>
      <c r="I28" s="68" t="s">
        <v>85</v>
      </c>
      <c r="J28" s="81" t="s">
        <v>85</v>
      </c>
      <c r="K28" s="2"/>
      <c r="L28" s="8" t="s">
        <v>86</v>
      </c>
    </row>
    <row r="29">
      <c r="A29" s="2"/>
      <c r="B29" s="48" t="s">
        <v>87</v>
      </c>
      <c r="C29" s="68" t="s">
        <v>85</v>
      </c>
      <c r="D29" s="68" t="s">
        <v>85</v>
      </c>
      <c r="E29" s="68" t="s">
        <v>85</v>
      </c>
      <c r="F29" s="68" t="s">
        <v>85</v>
      </c>
      <c r="G29" s="68" t="s">
        <v>85</v>
      </c>
      <c r="H29" s="68" t="s">
        <v>85</v>
      </c>
      <c r="I29" s="68" t="s">
        <v>85</v>
      </c>
      <c r="J29" s="81" t="s">
        <v>85</v>
      </c>
      <c r="K29" s="2"/>
      <c r="L29" s="8" t="s">
        <v>88</v>
      </c>
    </row>
    <row r="30" ht="19.5">
      <c r="A30" s="2"/>
      <c r="B30" s="73" t="s">
        <v>89</v>
      </c>
      <c r="C30" s="70" t="str">
        <f>IF(AND(ISNUMBER(C23),ISNUMBER(C28),ISNUMBER(C29)),(1+C23)/((1+C28)*(1+C29))-1,"Unavailable")</f>
        <v>Unavailable</v>
      </c>
      <c r="D30" s="70" t="str">
        <f>IF(AND(ISNUMBER(D23),ISNUMBER(D28),ISNUMBER(D29)),(1+D23)/((1+D28)*(1+D29))-1,"Unavailable")</f>
        <v>Unavailable</v>
      </c>
      <c r="E30" s="70" t="str">
        <f>IF(AND(ISNUMBER(E23),ISNUMBER(E28),ISNUMBER(E29)),(1+E23)/((1+E28)*(1+E29))-1,"Unavailable")</f>
        <v>Unavailable</v>
      </c>
      <c r="F30" s="70" t="str">
        <f>IF(AND(ISNUMBER(F23),ISNUMBER(F28),ISNUMBER(F29)),(1+F23)/((1+F28)*(1+F29))-1,"Unavailable")</f>
        <v>Unavailable</v>
      </c>
      <c r="G30" s="70" t="str">
        <f>IF(AND(ISNUMBER(G23),ISNUMBER(G28),ISNUMBER(G29)),(1+G23)/((1+G28)*(1+G29))-1,"Unavailable")</f>
        <v>Unavailable</v>
      </c>
      <c r="H30" s="70" t="str">
        <f>IF(AND(ISNUMBER(H23),ISNUMBER(H28),ISNUMBER(H29)),(1+H23)/((1+H28)*(1+H29))-1,"Unavailable")</f>
        <v>Unavailable</v>
      </c>
      <c r="I30" s="70" t="str">
        <f>IF(AND(ISNUMBER(I23),ISNUMBER(I28),ISNUMBER(I29)),(1+I23)/((1+I28)*(1+I29))-1,"Unavailable")</f>
        <v>Unavailable</v>
      </c>
      <c r="J30" s="69" t="str">
        <f>IF(AND(ISNUMBER(J23),ISNUMBER(J28),ISNUMBER(J29)),(1+J23)/((1+J28)*(1+J29))-1,"Unavailable")</f>
        <v>Unavailable</v>
      </c>
      <c r="K30" s="2"/>
      <c r="L30" s="8"/>
    </row>
    <row r="31">
      <c r="A31" s="2"/>
      <c r="B31" s="48" t="s">
        <v>90</v>
      </c>
      <c r="C31" s="70">
        <f>C23</f>
        <v>-0.051576337229897296</v>
      </c>
      <c r="D31" s="70">
        <f>D23</f>
        <v>0.03651177400011418</v>
      </c>
      <c r="E31" s="70">
        <f>E23</f>
        <v>0.15456748291010802</v>
      </c>
      <c r="F31" s="70">
        <f>F23</f>
        <v>0.14688603829708136</v>
      </c>
      <c r="G31" s="70">
        <f>G23</f>
        <v>0.06908711166889892</v>
      </c>
      <c r="H31" s="70">
        <f>H23</f>
        <v>0.15558004033764083</v>
      </c>
      <c r="I31" s="70">
        <f>I23</f>
        <v>0.26766331796727205</v>
      </c>
      <c r="J31" s="69">
        <f>J23</f>
        <v>0.22852219018206021</v>
      </c>
      <c r="K31" s="2"/>
      <c r="L31" s="8"/>
    </row>
    <row r="32" ht="19.5">
      <c r="A32" s="2"/>
      <c r="B32" s="47" t="s">
        <v>93</v>
      </c>
      <c r="C32" s="14">
        <f>C12+C22</f>
        <v>265.41700000000003</v>
      </c>
      <c r="D32" s="14">
        <f>D12+D22</f>
        <v>351.06</v>
      </c>
      <c r="E32" s="14">
        <f>E12+E22</f>
        <v>442.92100000000005</v>
      </c>
      <c r="F32" s="14">
        <f>F12+F22</f>
        <v>700.178</v>
      </c>
      <c r="G32" s="14">
        <f>G12+G22</f>
        <v>1759.576</v>
      </c>
      <c r="H32" s="14">
        <f>H12+H22</f>
        <v>715.227</v>
      </c>
      <c r="I32" s="14">
        <f>I12+I22</f>
        <v>1004.436</v>
      </c>
      <c r="J32" s="28">
        <f>J12+J22</f>
        <v>1052</v>
      </c>
      <c r="K32" s="2"/>
      <c r="L32" s="8"/>
    </row>
    <row r="33">
      <c r="A33" s="2"/>
      <c r="B33" s="48" t="s">
        <v>79</v>
      </c>
      <c r="C33" s="70">
        <f>IFERROR(C32/(C71+C72)-1,"n/a")</f>
        <v>0.2649506252859539</v>
      </c>
      <c r="D33" s="70">
        <f>IFERROR(D32/(D71+D72)-1,"n/a")</f>
        <v>0.2590060931218374</v>
      </c>
      <c r="E33" s="70">
        <f>IFERROR(E32/(E71+E72)-1,"n/a")</f>
        <v>0.5566704506714559</v>
      </c>
      <c r="F33" s="70">
        <f>IFERROR(F32/(F71+F72)-1,"n/a")</f>
        <v>0.3324008898175266</v>
      </c>
      <c r="G33" s="70">
        <f>IFERROR(G32/(G71+G72)-1,"n/a")</f>
        <v>0.3548800911684422</v>
      </c>
      <c r="H33" s="70">
        <f>IFERROR(H32/(H71+H72)-1,"n/a")</f>
        <v>1.6947294257715213</v>
      </c>
      <c r="I33" s="70">
        <f>IFERROR(I32/(I71+I72)-1,"n/a")</f>
        <v>1.8611519398393437</v>
      </c>
      <c r="J33" s="69">
        <f>IFERROR(J32/(J71+J72)-1,"n/a")</f>
        <v>1.3751413909026664</v>
      </c>
      <c r="K33" s="2"/>
      <c r="L33" s="8"/>
    </row>
    <row r="34">
      <c r="A34" s="2"/>
      <c r="B34" s="17" t="s">
        <v>94</v>
      </c>
      <c r="C34" s="12">
        <v>33.651</v>
      </c>
      <c r="D34" s="12">
        <v>37.372</v>
      </c>
      <c r="E34" s="12">
        <v>65.773</v>
      </c>
      <c r="F34" s="12">
        <v>67.272</v>
      </c>
      <c r="G34" s="105">
        <f>SUM(C34:F34)</f>
        <v>204.06799999999998</v>
      </c>
      <c r="H34" s="12">
        <v>25.931</v>
      </c>
      <c r="I34" s="12">
        <v>50.978</v>
      </c>
      <c r="J34" s="123">
        <v>45</v>
      </c>
      <c r="K34" s="2"/>
      <c r="L34" s="8" t="s">
        <v>95</v>
      </c>
    </row>
    <row r="35">
      <c r="A35" s="2"/>
      <c r="B35" s="48" t="s">
        <v>79</v>
      </c>
      <c r="C35" s="70">
        <f>IFERROR(C34/C73-1,"n/a")</f>
        <v>1.9404928346731913</v>
      </c>
      <c r="D35" s="70">
        <f>IFERROR(D34/D73-1,"n/a")</f>
        <v>-0.12545339667236088</v>
      </c>
      <c r="E35" s="70">
        <f>IFERROR(E34/E73-1,"n/a")</f>
        <v>1.0520716335954075</v>
      </c>
      <c r="F35" s="70">
        <f>IFERROR(F34/F73-1,"n/a")</f>
        <v>0.864058300313115</v>
      </c>
      <c r="G35" s="70">
        <f>IFERROR(G34/G73-1,"n/a")</f>
        <v>0.668339900914011</v>
      </c>
      <c r="H35" s="70">
        <f>IFERROR(H34/H73-1,"n/a")</f>
        <v>-0.2294136875575763</v>
      </c>
      <c r="I35" s="70">
        <f>IFERROR(I34/I73-1,"n/a")</f>
        <v>0.3640693567376647</v>
      </c>
      <c r="J35" s="69">
        <f>IFERROR(J34/J73-1,"n/a")</f>
        <v>-0.31582868350234894</v>
      </c>
      <c r="K35" s="2"/>
      <c r="L35" s="8"/>
    </row>
    <row r="36">
      <c r="A36" s="2"/>
      <c r="B36" s="21" t="s">
        <v>80</v>
      </c>
      <c r="C36" s="6">
        <f>C34-C73</f>
        <v>22.207</v>
      </c>
      <c r="D36" s="6">
        <f>D34-D73</f>
        <v>-5.360999999999997</v>
      </c>
      <c r="E36" s="6">
        <f>E34-E73</f>
        <v>33.721</v>
      </c>
      <c r="F36" s="6">
        <f>F34-F73</f>
        <v>31.183000000000007</v>
      </c>
      <c r="G36" s="6">
        <f>G34-G73</f>
        <v>81.74999999999999</v>
      </c>
      <c r="H36" s="6">
        <f>H34-H73</f>
        <v>-7.720000000000002</v>
      </c>
      <c r="I36" s="6">
        <f>I34-I73</f>
        <v>13.606000000000002</v>
      </c>
      <c r="J36" s="7">
        <f>J34-J73</f>
        <v>-20.772999999999996</v>
      </c>
      <c r="K36" s="2"/>
      <c r="L36" s="8"/>
    </row>
    <row r="37">
      <c r="A37" s="2"/>
      <c r="B37" s="21" t="s">
        <v>81</v>
      </c>
      <c r="C37" s="6">
        <f>C34-F73</f>
        <v>-2.4379999999999953</v>
      </c>
      <c r="D37" s="6">
        <f>D34-C34</f>
        <v>3.7209999999999965</v>
      </c>
      <c r="E37" s="6">
        <f>E34-D34</f>
        <v>28.400999999999996</v>
      </c>
      <c r="F37" s="6">
        <f>F34-E34</f>
        <v>1.4990000000000094</v>
      </c>
      <c r="G37" s="6"/>
      <c r="H37" s="6">
        <f>H34-F34</f>
        <v>-41.34100000000001</v>
      </c>
      <c r="I37" s="6">
        <f>I34-H34</f>
        <v>25.047</v>
      </c>
      <c r="J37" s="7">
        <f>J34-I34</f>
        <v>-5.9780000000000015</v>
      </c>
      <c r="K37" s="2"/>
      <c r="L37" s="8"/>
    </row>
    <row r="38">
      <c r="A38" s="2"/>
      <c r="B38" s="48" t="s">
        <v>82</v>
      </c>
      <c r="C38" s="70">
        <f>IFERROR(C34/F73-1,"n/a")</f>
        <v>-0.06755521072903092</v>
      </c>
      <c r="D38" s="70">
        <f>IFERROR(D34/C34-1,"n/a")</f>
        <v>0.11057620873079532</v>
      </c>
      <c r="E38" s="70">
        <f>IFERROR(E34/D34-1,"n/a")</f>
        <v>0.7599539762388954</v>
      </c>
      <c r="F38" s="70">
        <f>IFERROR(F34/E34-1,"n/a")</f>
        <v>0.022790506742888628</v>
      </c>
      <c r="G38" s="70"/>
      <c r="H38" s="70">
        <f>IFERROR(H34/F34-1,"n/a")</f>
        <v>-0.6145350220002379</v>
      </c>
      <c r="I38" s="70">
        <f>IFERROR(I34/H34-1,"n/a")</f>
        <v>0.9659095291350122</v>
      </c>
      <c r="J38" s="69">
        <f>IFERROR(J34/I34-1,"n/a")</f>
        <v>-0.11726627172505788</v>
      </c>
      <c r="K38" s="2"/>
      <c r="L38" s="8"/>
    </row>
    <row r="39">
      <c r="A39" s="2"/>
      <c r="B39" s="48" t="s">
        <v>83</v>
      </c>
      <c r="C39" s="70">
        <f>C34/C55</f>
        <v>0.10321727741464508</v>
      </c>
      <c r="D39" s="70">
        <f>D34/D55</f>
        <v>0.09314079782276033</v>
      </c>
      <c r="E39" s="70">
        <f>E34/E55</f>
        <v>0.12671853084878468</v>
      </c>
      <c r="F39" s="70">
        <f>F34/F55</f>
        <v>0.08650311245070293</v>
      </c>
      <c r="G39" s="70">
        <f>G34/G55</f>
        <v>0.10082440955852634</v>
      </c>
      <c r="H39" s="70">
        <f>H34/H55</f>
        <v>0.034526145922929644</v>
      </c>
      <c r="I39" s="70">
        <f>I34/I55</f>
        <v>0.04785026727928926</v>
      </c>
      <c r="J39" s="69">
        <f>J34/J55</f>
        <v>0.04065040650406504</v>
      </c>
      <c r="K39" s="2"/>
      <c r="L39" s="8"/>
    </row>
    <row r="40">
      <c r="A40" s="2"/>
      <c r="B40" s="48" t="s">
        <v>84</v>
      </c>
      <c r="C40" s="68" t="s">
        <v>85</v>
      </c>
      <c r="D40" s="68" t="s">
        <v>85</v>
      </c>
      <c r="E40" s="68" t="s">
        <v>85</v>
      </c>
      <c r="F40" s="68" t="s">
        <v>85</v>
      </c>
      <c r="G40" s="68" t="s">
        <v>85</v>
      </c>
      <c r="H40" s="68" t="s">
        <v>85</v>
      </c>
      <c r="I40" s="68" t="s">
        <v>85</v>
      </c>
      <c r="J40" s="81" t="s">
        <v>85</v>
      </c>
      <c r="K40" s="2"/>
      <c r="L40" s="8" t="s">
        <v>86</v>
      </c>
    </row>
    <row r="41">
      <c r="A41" s="2"/>
      <c r="B41" s="48" t="s">
        <v>87</v>
      </c>
      <c r="C41" s="68" t="s">
        <v>85</v>
      </c>
      <c r="D41" s="68" t="s">
        <v>85</v>
      </c>
      <c r="E41" s="68" t="s">
        <v>85</v>
      </c>
      <c r="F41" s="68" t="s">
        <v>85</v>
      </c>
      <c r="G41" s="68" t="s">
        <v>85</v>
      </c>
      <c r="H41" s="68" t="s">
        <v>85</v>
      </c>
      <c r="I41" s="68" t="s">
        <v>85</v>
      </c>
      <c r="J41" s="81" t="s">
        <v>85</v>
      </c>
      <c r="K41" s="2"/>
      <c r="L41" s="8" t="s">
        <v>88</v>
      </c>
    </row>
    <row r="42" ht="19.5">
      <c r="A42" s="2"/>
      <c r="B42" s="73" t="s">
        <v>89</v>
      </c>
      <c r="C42" s="70" t="str">
        <f>IF(AND(ISNUMBER(C35),ISNUMBER(C40),ISNUMBER(C41)),(1+C35)/((1+C40)*(1+C41))-1,"Unavailable")</f>
        <v>Unavailable</v>
      </c>
      <c r="D42" s="70" t="str">
        <f>IF(AND(ISNUMBER(D35),ISNUMBER(D40),ISNUMBER(D41)),(1+D35)/((1+D40)*(1+D41))-1,"Unavailable")</f>
        <v>Unavailable</v>
      </c>
      <c r="E42" s="70" t="str">
        <f>IF(AND(ISNUMBER(E35),ISNUMBER(E40),ISNUMBER(E41)),(1+E35)/((1+E40)*(1+E41))-1,"Unavailable")</f>
        <v>Unavailable</v>
      </c>
      <c r="F42" s="70" t="str">
        <f>IF(AND(ISNUMBER(F35),ISNUMBER(F40),ISNUMBER(F41)),(1+F35)/((1+F40)*(1+F41))-1,"Unavailable")</f>
        <v>Unavailable</v>
      </c>
      <c r="G42" s="70" t="str">
        <f>IF(AND(ISNUMBER(G35),ISNUMBER(G40),ISNUMBER(G41)),(1+G35)/((1+G40)*(1+G41))-1,"Unavailable")</f>
        <v>Unavailable</v>
      </c>
      <c r="H42" s="70" t="str">
        <f>IF(AND(ISNUMBER(H35),ISNUMBER(H40),ISNUMBER(H41)),(1+H35)/((1+H40)*(1+H41))-1,"Unavailable")</f>
        <v>Unavailable</v>
      </c>
      <c r="I42" s="70" t="str">
        <f>IF(AND(ISNUMBER(I35),ISNUMBER(I40),ISNUMBER(I41)),(1+I35)/((1+I40)*(1+I41))-1,"Unavailable")</f>
        <v>Unavailable</v>
      </c>
      <c r="J42" s="69" t="str">
        <f>IF(AND(ISNUMBER(J35),ISNUMBER(J40),ISNUMBER(J41)),(1+J35)/((1+J40)*(1+J41))-1,"Unavailable")</f>
        <v>Unavailable</v>
      </c>
      <c r="K42" s="2"/>
      <c r="L42" s="8"/>
    </row>
    <row r="43">
      <c r="A43" s="2"/>
      <c r="B43" s="48" t="s">
        <v>90</v>
      </c>
      <c r="C43" s="70">
        <f>C35</f>
        <v>1.9404928346731913</v>
      </c>
      <c r="D43" s="70">
        <f>D35</f>
        <v>-0.12545339667236088</v>
      </c>
      <c r="E43" s="70">
        <f>E35</f>
        <v>1.0520716335954075</v>
      </c>
      <c r="F43" s="70">
        <f>F35</f>
        <v>0.864058300313115</v>
      </c>
      <c r="G43" s="70">
        <f>G35</f>
        <v>0.668339900914011</v>
      </c>
      <c r="H43" s="70">
        <f>H35</f>
        <v>-0.2294136875575763</v>
      </c>
      <c r="I43" s="70">
        <f>I35</f>
        <v>0.3640693567376647</v>
      </c>
      <c r="J43" s="69">
        <f>J35</f>
        <v>-0.31582868350234894</v>
      </c>
      <c r="K43" s="2"/>
      <c r="L43" s="8"/>
    </row>
    <row r="44">
      <c r="A44" s="2"/>
      <c r="B44" s="17" t="s">
        <v>96</v>
      </c>
      <c r="C44" s="12">
        <v>26.953</v>
      </c>
      <c r="D44" s="12">
        <v>12.81</v>
      </c>
      <c r="E44" s="12">
        <v>10.354</v>
      </c>
      <c r="F44" s="12">
        <v>10.233</v>
      </c>
      <c r="G44" s="105">
        <f>SUM(C44:F44)</f>
        <v>60.35</v>
      </c>
      <c r="H44" s="12">
        <v>9.896</v>
      </c>
      <c r="I44" s="12">
        <v>9.951</v>
      </c>
      <c r="J44" s="123">
        <v>10</v>
      </c>
      <c r="K44" s="2"/>
      <c r="L44" s="8" t="s">
        <v>97</v>
      </c>
    </row>
    <row r="45">
      <c r="A45" s="2"/>
      <c r="B45" s="48" t="s">
        <v>79</v>
      </c>
      <c r="C45" s="70">
        <f>IFERROR(C44/C74-1,"n/a")</f>
        <v>0.9210976478973629</v>
      </c>
      <c r="D45" s="70">
        <f>IFERROR(D44/D74-1,"n/a")</f>
        <v>-0.0975695667488552</v>
      </c>
      <c r="E45" s="70">
        <f>IFERROR(E44/E74-1,"n/a")</f>
        <v>-0.2505790387955994</v>
      </c>
      <c r="F45" s="70">
        <f>IFERROR(F44/F74-1,"n/a")</f>
        <v>-0.05276312135517913</v>
      </c>
      <c r="G45" s="70">
        <f>IFERROR(G44/G74-1,"n/a")</f>
        <v>0.14206233559790316</v>
      </c>
      <c r="H45" s="70">
        <f>IFERROR(H44/H74-1,"n/a")</f>
        <v>-0.6328423552109227</v>
      </c>
      <c r="I45" s="70">
        <f>IFERROR(I44/I74-1,"n/a")</f>
        <v>-0.2231850117096018</v>
      </c>
      <c r="J45" s="69">
        <f>IFERROR(J44/J74-1,"n/a")</f>
        <v>-0.03418968514583731</v>
      </c>
      <c r="K45" s="2"/>
      <c r="L45" s="8"/>
    </row>
    <row r="46">
      <c r="A46" s="2"/>
      <c r="B46" s="21" t="s">
        <v>80</v>
      </c>
      <c r="C46" s="6">
        <f>C44-C74</f>
        <v>12.923</v>
      </c>
      <c r="D46" s="6">
        <f>D44-D74</f>
        <v>-1.3849999999999998</v>
      </c>
      <c r="E46" s="6">
        <f>E44-E74</f>
        <v>-3.4620000000000015</v>
      </c>
      <c r="F46" s="6">
        <f>F44-F74</f>
        <v>-0.5700000000000003</v>
      </c>
      <c r="G46" s="6">
        <f>G44-G74</f>
        <v>7.506999999999998</v>
      </c>
      <c r="H46" s="6">
        <f>H44-H74</f>
        <v>-17.057</v>
      </c>
      <c r="I46" s="6">
        <f>I44-I74</f>
        <v>-2.859</v>
      </c>
      <c r="J46" s="7">
        <f>J44-J74</f>
        <v>-0.3539999999999992</v>
      </c>
      <c r="K46" s="2"/>
      <c r="L46" s="8"/>
    </row>
    <row r="47">
      <c r="A47" s="2"/>
      <c r="B47" s="21" t="s">
        <v>81</v>
      </c>
      <c r="C47" s="6">
        <f>C44-F74</f>
        <v>16.15</v>
      </c>
      <c r="D47" s="6">
        <f>D44-C44</f>
        <v>-14.142999999999999</v>
      </c>
      <c r="E47" s="6">
        <f>E44-D44</f>
        <v>-2.4560000000000013</v>
      </c>
      <c r="F47" s="6">
        <f>F44-E44</f>
        <v>-0.12099999999999866</v>
      </c>
      <c r="G47" s="6"/>
      <c r="H47" s="6">
        <f>H44-F44</f>
        <v>-0.33699999999999974</v>
      </c>
      <c r="I47" s="6">
        <f>I44-H44</f>
        <v>0.054999999999999716</v>
      </c>
      <c r="J47" s="7">
        <f>J44-I44</f>
        <v>0.04899999999999949</v>
      </c>
      <c r="K47" s="2"/>
      <c r="L47" s="8"/>
    </row>
    <row r="48">
      <c r="A48" s="2"/>
      <c r="B48" s="48" t="s">
        <v>82</v>
      </c>
      <c r="C48" s="70">
        <f>IFERROR(C44/F74-1,"n/a")</f>
        <v>1.4949551050634082</v>
      </c>
      <c r="D48" s="70">
        <f>IFERROR(D44/C44-1,"n/a")</f>
        <v>-0.5247282306236782</v>
      </c>
      <c r="E48" s="70">
        <f>IFERROR(E44/D44-1,"n/a")</f>
        <v>-0.19172521467603443</v>
      </c>
      <c r="F48" s="70">
        <f>IFERROR(F44/E44-1,"n/a")</f>
        <v>-0.011686304809735204</v>
      </c>
      <c r="G48" s="70"/>
      <c r="H48" s="70">
        <f>IFERROR(H44/F44-1,"n/a")</f>
        <v>-0.03293266881657375</v>
      </c>
      <c r="I48" s="70">
        <f>IFERROR(I44/H44-1,"n/a")</f>
        <v>0.00555780113177029</v>
      </c>
      <c r="J48" s="69">
        <f>IFERROR(J44/I44-1,"n/a")</f>
        <v>0.00492412822831878</v>
      </c>
      <c r="K48" s="2"/>
      <c r="L48" s="8"/>
    </row>
    <row r="49">
      <c r="A49" s="2"/>
      <c r="B49" s="48" t="s">
        <v>83</v>
      </c>
      <c r="C49" s="70">
        <f>C44/C55</f>
        <v>0.08267258857558255</v>
      </c>
      <c r="D49" s="70">
        <f>D44/D55</f>
        <v>0.031925870173112485</v>
      </c>
      <c r="E49" s="70">
        <f>E44/E55</f>
        <v>0.019948058753718346</v>
      </c>
      <c r="F49" s="70">
        <f>F44/F55</f>
        <v>0.01315831772071654</v>
      </c>
      <c r="G49" s="70">
        <f>G44/G55</f>
        <v>0.0298172820670417</v>
      </c>
      <c r="H49" s="70">
        <f>H44/H55</f>
        <v>0.01317614978416998</v>
      </c>
      <c r="I49" s="70">
        <f>I44/I55</f>
        <v>0.009340460781046871</v>
      </c>
      <c r="J49" s="69">
        <f>J44/J55</f>
        <v>0.009033423667570008</v>
      </c>
      <c r="K49" s="2"/>
      <c r="L49" s="8"/>
    </row>
    <row r="50">
      <c r="A50" s="2"/>
      <c r="B50" s="48" t="s">
        <v>84</v>
      </c>
      <c r="C50" s="68" t="s">
        <v>85</v>
      </c>
      <c r="D50" s="68" t="s">
        <v>85</v>
      </c>
      <c r="E50" s="68" t="s">
        <v>85</v>
      </c>
      <c r="F50" s="68" t="s">
        <v>85</v>
      </c>
      <c r="G50" s="68" t="s">
        <v>85</v>
      </c>
      <c r="H50" s="68" t="s">
        <v>85</v>
      </c>
      <c r="I50" s="68" t="s">
        <v>85</v>
      </c>
      <c r="J50" s="81" t="s">
        <v>85</v>
      </c>
      <c r="K50" s="2"/>
      <c r="L50" s="8" t="s">
        <v>86</v>
      </c>
    </row>
    <row r="51">
      <c r="A51" s="2"/>
      <c r="B51" s="48" t="s">
        <v>87</v>
      </c>
      <c r="C51" s="68" t="s">
        <v>85</v>
      </c>
      <c r="D51" s="68" t="s">
        <v>85</v>
      </c>
      <c r="E51" s="68" t="s">
        <v>85</v>
      </c>
      <c r="F51" s="68" t="s">
        <v>85</v>
      </c>
      <c r="G51" s="68" t="s">
        <v>85</v>
      </c>
      <c r="H51" s="68" t="s">
        <v>85</v>
      </c>
      <c r="I51" s="68" t="s">
        <v>85</v>
      </c>
      <c r="J51" s="81" t="s">
        <v>85</v>
      </c>
      <c r="K51" s="2"/>
      <c r="L51" s="8" t="s">
        <v>88</v>
      </c>
    </row>
    <row r="52" ht="19.5">
      <c r="A52" s="2"/>
      <c r="B52" s="73" t="s">
        <v>89</v>
      </c>
      <c r="C52" s="70" t="str">
        <f>IF(AND(ISNUMBER(C45),ISNUMBER(C50),ISNUMBER(C51)),(1+C45)/((1+C50)*(1+C51))-1,"Unavailable")</f>
        <v>Unavailable</v>
      </c>
      <c r="D52" s="70" t="str">
        <f>IF(AND(ISNUMBER(D45),ISNUMBER(D50),ISNUMBER(D51)),(1+D45)/((1+D50)*(1+D51))-1,"Unavailable")</f>
        <v>Unavailable</v>
      </c>
      <c r="E52" s="70" t="str">
        <f>IF(AND(ISNUMBER(E45),ISNUMBER(E50),ISNUMBER(E51)),(1+E45)/((1+E50)*(1+E51))-1,"Unavailable")</f>
        <v>Unavailable</v>
      </c>
      <c r="F52" s="70" t="str">
        <f>IF(AND(ISNUMBER(F45),ISNUMBER(F50),ISNUMBER(F51)),(1+F45)/((1+F50)*(1+F51))-1,"Unavailable")</f>
        <v>Unavailable</v>
      </c>
      <c r="G52" s="70" t="str">
        <f>IF(AND(ISNUMBER(G45),ISNUMBER(G50),ISNUMBER(G51)),(1+G45)/((1+G50)*(1+G51))-1,"Unavailable")</f>
        <v>Unavailable</v>
      </c>
      <c r="H52" s="70" t="str">
        <f>IF(AND(ISNUMBER(H45),ISNUMBER(H50),ISNUMBER(H51)),(1+H45)/((1+H50)*(1+H51))-1,"Unavailable")</f>
        <v>Unavailable</v>
      </c>
      <c r="I52" s="70" t="str">
        <f>IF(AND(ISNUMBER(I45),ISNUMBER(I50),ISNUMBER(I51)),(1+I45)/((1+I50)*(1+I51))-1,"Unavailable")</f>
        <v>Unavailable</v>
      </c>
      <c r="J52" s="69" t="str">
        <f>IF(AND(ISNUMBER(J45),ISNUMBER(J50),ISNUMBER(J51)),(1+J45)/((1+J50)*(1+J51))-1,"Unavailable")</f>
        <v>Unavailable</v>
      </c>
      <c r="K52" s="2"/>
      <c r="L52" s="8"/>
    </row>
    <row r="53">
      <c r="A53" s="2"/>
      <c r="B53" s="48" t="s">
        <v>90</v>
      </c>
      <c r="C53" s="70">
        <f>C45</f>
        <v>0.9210976478973629</v>
      </c>
      <c r="D53" s="70">
        <f>D45</f>
        <v>-0.0975695667488552</v>
      </c>
      <c r="E53" s="70">
        <f>E45</f>
        <v>-0.2505790387955994</v>
      </c>
      <c r="F53" s="70">
        <f>F45</f>
        <v>-0.05276312135517913</v>
      </c>
      <c r="G53" s="70">
        <f>G45</f>
        <v>0.14206233559790316</v>
      </c>
      <c r="H53" s="70">
        <f>H45</f>
        <v>-0.6328423552109227</v>
      </c>
      <c r="I53" s="70">
        <f>I45</f>
        <v>-0.2231850117096018</v>
      </c>
      <c r="J53" s="69">
        <f>J45</f>
        <v>-0.03418968514583731</v>
      </c>
      <c r="K53" s="2"/>
      <c r="L53" s="8"/>
    </row>
    <row r="54">
      <c r="A54" s="2"/>
      <c r="B54" s="17" t="s">
        <v>98</v>
      </c>
      <c r="C54" s="14">
        <f>C34+C44</f>
        <v>60.604</v>
      </c>
      <c r="D54" s="14">
        <f>D34+D44</f>
        <v>50.182</v>
      </c>
      <c r="E54" s="14">
        <f>E34+E44</f>
        <v>76.127</v>
      </c>
      <c r="F54" s="14">
        <f>F34+F44</f>
        <v>77.50500000000001</v>
      </c>
      <c r="G54" s="14">
        <f>G34+G44</f>
        <v>264.418</v>
      </c>
      <c r="H54" s="14">
        <f>H34+H44</f>
        <v>35.827</v>
      </c>
      <c r="I54" s="14">
        <f>I34+I44</f>
        <v>60.929</v>
      </c>
      <c r="J54" s="28">
        <f>J34+J44</f>
        <v>55</v>
      </c>
      <c r="K54" s="2"/>
      <c r="L54" s="8"/>
    </row>
    <row r="55">
      <c r="A55" s="2"/>
      <c r="B55" s="17" t="s">
        <v>99</v>
      </c>
      <c r="C55" s="14">
        <f>C32+C54</f>
        <v>326.021</v>
      </c>
      <c r="D55" s="14">
        <f>D32+D54</f>
        <v>401.242</v>
      </c>
      <c r="E55" s="14">
        <f>E32+E54</f>
        <v>519.048</v>
      </c>
      <c r="F55" s="14">
        <f>F32+F54</f>
        <v>777.683</v>
      </c>
      <c r="G55" s="14">
        <f>G32+G54</f>
        <v>2023.9940000000001</v>
      </c>
      <c r="H55" s="14">
        <f>H32+H54</f>
        <v>751.054</v>
      </c>
      <c r="I55" s="14">
        <f>I32+I54</f>
        <v>1065.365</v>
      </c>
      <c r="J55" s="28">
        <f>J32+J54</f>
        <v>1107</v>
      </c>
      <c r="K55" s="2"/>
      <c r="L55" s="8"/>
    </row>
    <row r="56">
      <c r="A56" s="2"/>
      <c r="B56" s="21" t="s">
        <v>100</v>
      </c>
      <c r="C56" s="6">
        <f>C71+C72+C73+C74</f>
        <v>235.298</v>
      </c>
      <c r="D56" s="6">
        <f>D71+D72+D73+D74</f>
        <v>335.767</v>
      </c>
      <c r="E56" s="6">
        <f>E71+E72+E73+E74</f>
        <v>330.399</v>
      </c>
      <c r="F56" s="6">
        <f>F71+F72+F73+F74</f>
        <v>572.3929999999999</v>
      </c>
      <c r="G56" s="6">
        <f>G71+G72+G73+G74</f>
        <v>1473.856</v>
      </c>
      <c r="H56" s="6">
        <f>H71+H72+H73+H74</f>
        <v>326.021</v>
      </c>
      <c r="I56" s="6">
        <f>I71+I72+I73+I74</f>
        <v>401.242</v>
      </c>
      <c r="J56" s="7">
        <f>J71+J72+J73+J74</f>
        <v>519.0480000000001</v>
      </c>
      <c r="K56" s="2"/>
      <c r="L56" s="8"/>
    </row>
    <row r="57">
      <c r="A57" s="2"/>
      <c r="B57" s="48" t="s">
        <v>79</v>
      </c>
      <c r="C57" s="70">
        <f>IFERROR(C55/C56-1,"n/a")</f>
        <v>0.38556638815459543</v>
      </c>
      <c r="D57" s="70">
        <f>IFERROR(D55/D56-1,"n/a")</f>
        <v>0.19500129554125345</v>
      </c>
      <c r="E57" s="70">
        <f>IFERROR(E55/E56-1,"n/a")</f>
        <v>0.5709732777641578</v>
      </c>
      <c r="F57" s="70">
        <f>IFERROR(F55/F56-1,"n/a")</f>
        <v>0.35865218477514604</v>
      </c>
      <c r="G57" s="70">
        <f>IFERROR(G55/G56-1,"n/a")</f>
        <v>0.3732644166051502</v>
      </c>
      <c r="H57" s="70">
        <f>IFERROR(H55/H56-1,"n/a")</f>
        <v>1.3036982280282556</v>
      </c>
      <c r="I57" s="70">
        <f>IFERROR(I55/I56-1,"n/a")</f>
        <v>1.6551682027305215</v>
      </c>
      <c r="J57" s="69">
        <f>IFERROR(J55/J56-1,"n/a")</f>
        <v>1.1327507282563456</v>
      </c>
      <c r="K57" s="2"/>
      <c r="L57" s="8"/>
    </row>
    <row r="58">
      <c r="A58" s="2"/>
      <c r="B58" s="21" t="s">
        <v>80</v>
      </c>
      <c r="C58" s="6">
        <f>C55-C56</f>
        <v>90.72300000000001</v>
      </c>
      <c r="D58" s="6">
        <f>D55-D56</f>
        <v>65.47500000000002</v>
      </c>
      <c r="E58" s="6">
        <f>E55-E56</f>
        <v>188.649</v>
      </c>
      <c r="F58" s="6">
        <f>F55-F56</f>
        <v>205.29000000000008</v>
      </c>
      <c r="G58" s="6">
        <f>G55-G56</f>
        <v>550.1380000000001</v>
      </c>
      <c r="H58" s="6">
        <f>H55-H56</f>
        <v>425.03299999999996</v>
      </c>
      <c r="I58" s="6">
        <f>I55-I56</f>
        <v>664.123</v>
      </c>
      <c r="J58" s="7">
        <f>J55-J56</f>
        <v>587.9519999999999</v>
      </c>
      <c r="K58" s="2"/>
      <c r="L58" s="8"/>
    </row>
    <row r="59">
      <c r="A59" s="2"/>
      <c r="B59" s="21" t="s">
        <v>81</v>
      </c>
      <c r="C59" s="6">
        <f>C55-F56</f>
        <v>-246.3719999999999</v>
      </c>
      <c r="D59" s="6">
        <f>D55-C55</f>
        <v>75.221</v>
      </c>
      <c r="E59" s="6">
        <f>E55-D55</f>
        <v>117.80599999999998</v>
      </c>
      <c r="F59" s="6">
        <f>F55-E55</f>
        <v>258.635</v>
      </c>
      <c r="G59" s="6"/>
      <c r="H59" s="6">
        <f>H55-F55</f>
        <v>-26.62900000000002</v>
      </c>
      <c r="I59" s="6">
        <f>I55-H55</f>
        <v>314.31100000000004</v>
      </c>
      <c r="J59" s="7">
        <f>J55-I55</f>
        <v>41.63499999999999</v>
      </c>
      <c r="K59" s="2"/>
      <c r="L59" s="8"/>
    </row>
    <row r="60">
      <c r="A60" s="2"/>
      <c r="B60" s="48" t="s">
        <v>82</v>
      </c>
      <c r="C60" s="70">
        <f>IFERROR(C55/F56-1,"n/a")</f>
        <v>-0.43042455096411025</v>
      </c>
      <c r="D60" s="70">
        <f>IFERROR(D55/C55-1,"n/a")</f>
        <v>0.2307244011888805</v>
      </c>
      <c r="E60" s="70">
        <f>IFERROR(E55/D55-1,"n/a")</f>
        <v>0.2936033615623488</v>
      </c>
      <c r="F60" s="70">
        <f>IFERROR(F55/E55-1,"n/a")</f>
        <v>0.4982872489634871</v>
      </c>
      <c r="G60" s="70"/>
      <c r="H60" s="70">
        <f>IFERROR(H55/F55-1,"n/a")</f>
        <v>-0.03424145828055902</v>
      </c>
      <c r="I60" s="70">
        <f>IFERROR(I55/H55-1,"n/a")</f>
        <v>0.418493210874318</v>
      </c>
      <c r="J60" s="69">
        <f>IFERROR(J55/I55-1,"n/a")</f>
        <v>0.03908050292622711</v>
      </c>
      <c r="K60" s="2"/>
      <c r="L60" s="8"/>
    </row>
    <row r="61">
      <c r="A61" s="2"/>
      <c r="B61" s="48" t="s">
        <v>83</v>
      </c>
      <c r="C61" s="70">
        <f>C55/C55</f>
        <v>1</v>
      </c>
      <c r="D61" s="70">
        <f>D55/D55</f>
        <v>1</v>
      </c>
      <c r="E61" s="70">
        <f>E55/E55</f>
        <v>1</v>
      </c>
      <c r="F61" s="70">
        <f>F55/F55</f>
        <v>1</v>
      </c>
      <c r="G61" s="70">
        <f>G55/G55</f>
        <v>1</v>
      </c>
      <c r="H61" s="70">
        <f>H55/H55</f>
        <v>1</v>
      </c>
      <c r="I61" s="70">
        <f>I55/I55</f>
        <v>1</v>
      </c>
      <c r="J61" s="69">
        <f>J55/J55</f>
        <v>1</v>
      </c>
      <c r="K61" s="2"/>
      <c r="L61" s="8"/>
    </row>
    <row r="62">
      <c r="A62" s="2"/>
      <c r="B62" s="48" t="s">
        <v>84</v>
      </c>
      <c r="C62" s="68" t="s">
        <v>85</v>
      </c>
      <c r="D62" s="68" t="s">
        <v>85</v>
      </c>
      <c r="E62" s="68" t="s">
        <v>85</v>
      </c>
      <c r="F62" s="68" t="s">
        <v>85</v>
      </c>
      <c r="G62" s="68" t="s">
        <v>85</v>
      </c>
      <c r="H62" s="68" t="s">
        <v>85</v>
      </c>
      <c r="I62" s="68" t="s">
        <v>85</v>
      </c>
      <c r="J62" s="81" t="s">
        <v>85</v>
      </c>
      <c r="K62" s="2"/>
      <c r="L62" s="8" t="s">
        <v>86</v>
      </c>
    </row>
    <row r="63">
      <c r="A63" s="2"/>
      <c r="B63" s="48" t="s">
        <v>87</v>
      </c>
      <c r="C63" s="68" t="s">
        <v>85</v>
      </c>
      <c r="D63" s="68" t="s">
        <v>85</v>
      </c>
      <c r="E63" s="68" t="s">
        <v>85</v>
      </c>
      <c r="F63" s="68" t="s">
        <v>85</v>
      </c>
      <c r="G63" s="68" t="s">
        <v>85</v>
      </c>
      <c r="H63" s="68" t="s">
        <v>85</v>
      </c>
      <c r="I63" s="68" t="s">
        <v>85</v>
      </c>
      <c r="J63" s="81" t="s">
        <v>85</v>
      </c>
      <c r="K63" s="2"/>
      <c r="L63" s="8" t="s">
        <v>88</v>
      </c>
    </row>
    <row r="64" ht="19.5">
      <c r="A64" s="2"/>
      <c r="B64" s="73" t="s">
        <v>89</v>
      </c>
      <c r="C64" s="70" t="str">
        <f>IF(AND(ISNUMBER(C57),ISNUMBER(C62),ISNUMBER(C63)),(1+C57)/((1+C62)*(1+C63))-1,"Unavailable")</f>
        <v>Unavailable</v>
      </c>
      <c r="D64" s="70" t="str">
        <f>IF(AND(ISNUMBER(D57),ISNUMBER(D62),ISNUMBER(D63)),(1+D57)/((1+D62)*(1+D63))-1,"Unavailable")</f>
        <v>Unavailable</v>
      </c>
      <c r="E64" s="70" t="str">
        <f>IF(AND(ISNUMBER(E57),ISNUMBER(E62),ISNUMBER(E63)),(1+E57)/((1+E62)*(1+E63))-1,"Unavailable")</f>
        <v>Unavailable</v>
      </c>
      <c r="F64" s="70" t="str">
        <f>IF(AND(ISNUMBER(F57),ISNUMBER(F62),ISNUMBER(F63)),(1+F57)/((1+F62)*(1+F63))-1,"Unavailable")</f>
        <v>Unavailable</v>
      </c>
      <c r="G64" s="70" t="str">
        <f>IF(AND(ISNUMBER(G57),ISNUMBER(G62),ISNUMBER(G63)),(1+G57)/((1+G62)*(1+G63))-1,"Unavailable")</f>
        <v>Unavailable</v>
      </c>
      <c r="H64" s="70" t="str">
        <f>IF(AND(ISNUMBER(H57),ISNUMBER(H62),ISNUMBER(H63)),(1+H57)/((1+H62)*(1+H63))-1,"Unavailable")</f>
        <v>Unavailable</v>
      </c>
      <c r="I64" s="70" t="str">
        <f>IF(AND(ISNUMBER(I57),ISNUMBER(I62),ISNUMBER(I63)),(1+I57)/((1+I62)*(1+I63))-1,"Unavailable")</f>
        <v>Unavailable</v>
      </c>
      <c r="J64" s="69" t="str">
        <f>IF(AND(ISNUMBER(J57),ISNUMBER(J62),ISNUMBER(J63)),(1+J57)/((1+J62)*(1+J63))-1,"Unavailable")</f>
        <v>Unavailable</v>
      </c>
      <c r="K64" s="2"/>
      <c r="L64" s="8"/>
    </row>
    <row r="65">
      <c r="A65" s="2"/>
      <c r="B65" s="48" t="s">
        <v>90</v>
      </c>
      <c r="C65" s="70">
        <f>C57</f>
        <v>0.38556638815459543</v>
      </c>
      <c r="D65" s="70">
        <f>D57</f>
        <v>0.19500129554125345</v>
      </c>
      <c r="E65" s="70">
        <f>E57</f>
        <v>0.5709732777641578</v>
      </c>
      <c r="F65" s="70">
        <f>F57</f>
        <v>0.35865218477514604</v>
      </c>
      <c r="G65" s="70">
        <f>G57</f>
        <v>0.3732644166051502</v>
      </c>
      <c r="H65" s="70">
        <f>H57</f>
        <v>1.3036982280282556</v>
      </c>
      <c r="I65" s="70">
        <f>I57</f>
        <v>1.6551682027305215</v>
      </c>
      <c r="J65" s="69">
        <f>J57</f>
        <v>1.1327507282563456</v>
      </c>
      <c r="K65" s="2"/>
      <c r="L65" s="8"/>
    </row>
    <row r="66" ht="19.5">
      <c r="A66" s="2"/>
      <c r="B66" s="18" t="s">
        <v>101</v>
      </c>
      <c r="C66" s="25">
        <f>Inputs!I104</f>
        <v>326.02</v>
      </c>
      <c r="D66" s="25">
        <f>Inputs!I105</f>
        <v>401.24</v>
      </c>
      <c r="E66" s="25">
        <f>Inputs!I106</f>
        <v>519.05</v>
      </c>
      <c r="F66" s="25">
        <f>Inputs!I107</f>
        <v>777.68</v>
      </c>
      <c r="G66" s="6"/>
      <c r="H66" s="25">
        <f>Inputs!I108</f>
        <v>751.05</v>
      </c>
      <c r="I66" s="25">
        <f>Inputs!I109</f>
        <v>1065.37</v>
      </c>
      <c r="J66" s="7"/>
      <c r="K66" s="2"/>
      <c r="L66" s="8" t="s">
        <v>102</v>
      </c>
    </row>
    <row r="67" ht="19.5">
      <c r="A67" s="2"/>
      <c r="B67" s="73" t="s">
        <v>103</v>
      </c>
      <c r="C67" s="103">
        <f>ROUND(C55-C66,1)</f>
        <v>0</v>
      </c>
      <c r="D67" s="103">
        <f>ROUND(D55-D66,1)</f>
        <v>0</v>
      </c>
      <c r="E67" s="103">
        <f>ROUND(E55-E66,1)</f>
        <v>0</v>
      </c>
      <c r="F67" s="103">
        <f>ROUND(F55-F66,1)</f>
        <v>0</v>
      </c>
      <c r="G67" s="103"/>
      <c r="H67" s="103">
        <f>ROUND(H55-H66,1)</f>
        <v>0</v>
      </c>
      <c r="I67" s="103">
        <f>ROUND(I55-I66,1)</f>
        <v>0</v>
      </c>
      <c r="J67" s="107"/>
      <c r="K67" s="2"/>
      <c r="L67" s="8" t="s">
        <v>104</v>
      </c>
    </row>
    <row r="68" ht="19.5">
      <c r="A68" s="2"/>
      <c r="B68" s="73" t="s">
        <v>105</v>
      </c>
      <c r="C68" s="103">
        <f>ROUND(C12+C22+C34+C44-C55,6)</f>
        <v>0</v>
      </c>
      <c r="D68" s="103">
        <f>ROUND(D12+D22+D34+D44-D55,6)</f>
        <v>0</v>
      </c>
      <c r="E68" s="103">
        <f>ROUND(E12+E22+E34+E44-E55,6)</f>
        <v>0</v>
      </c>
      <c r="F68" s="103">
        <f>ROUND(F12+F22+F34+F44-F55,6)</f>
        <v>0</v>
      </c>
      <c r="G68" s="103">
        <f>ROUND(G12+G22+G34+G44-G55,6)</f>
        <v>0</v>
      </c>
      <c r="H68" s="103">
        <f>ROUND(H12+H22+H34+H44-H55,6)</f>
        <v>0</v>
      </c>
      <c r="I68" s="103">
        <f>ROUND(I12+I22+I34+I44-I55,6)</f>
        <v>0</v>
      </c>
      <c r="J68" s="107">
        <f>ROUND(J12+J22+J34+J44-J55,6)</f>
        <v>0</v>
      </c>
      <c r="K68" s="2"/>
      <c r="L68" s="8"/>
    </row>
    <row r="69">
      <c r="A69" s="2"/>
      <c r="B69" s="2"/>
      <c r="C69" s="23"/>
      <c r="D69" s="23"/>
      <c r="E69" s="23"/>
      <c r="F69" s="23"/>
      <c r="G69" s="23"/>
      <c r="H69" s="23"/>
      <c r="I69" s="23"/>
      <c r="J69" s="42"/>
      <c r="K69" s="2"/>
      <c r="L69" s="8"/>
    </row>
    <row r="70">
      <c r="A70" s="2"/>
      <c r="B70" s="30" t="s">
        <v>106</v>
      </c>
      <c r="C70" s="16"/>
      <c r="D70" s="16"/>
      <c r="E70" s="16"/>
      <c r="F70" s="16"/>
      <c r="G70" s="16"/>
      <c r="H70" s="16"/>
      <c r="I70" s="16"/>
      <c r="J70" s="4"/>
      <c r="K70" s="2"/>
      <c r="L70" s="8"/>
    </row>
    <row r="71">
      <c r="A71" s="2"/>
      <c r="B71" s="21" t="s">
        <v>107</v>
      </c>
      <c r="C71" s="11">
        <v>153.364</v>
      </c>
      <c r="D71" s="11">
        <v>226.308</v>
      </c>
      <c r="E71" s="11">
        <v>233.77</v>
      </c>
      <c r="F71" s="11">
        <v>471.711</v>
      </c>
      <c r="G71" s="11">
        <v>1085.153</v>
      </c>
      <c r="H71" s="6">
        <f>C12</f>
        <v>211.869</v>
      </c>
      <c r="I71" s="6">
        <f>D12</f>
        <v>296.611</v>
      </c>
      <c r="J71" s="7">
        <f>E12</f>
        <v>384.314</v>
      </c>
      <c r="K71" s="2"/>
      <c r="L71" s="8" t="s">
        <v>108</v>
      </c>
    </row>
    <row r="72">
      <c r="A72" s="2"/>
      <c r="B72" s="21" t="s">
        <v>109</v>
      </c>
      <c r="C72" s="11">
        <v>56.46</v>
      </c>
      <c r="D72" s="11">
        <v>52.531</v>
      </c>
      <c r="E72" s="11">
        <v>50.761</v>
      </c>
      <c r="F72" s="11">
        <v>53.79</v>
      </c>
      <c r="G72" s="11">
        <v>213.542</v>
      </c>
      <c r="H72" s="6">
        <f>C22</f>
        <v>53.548</v>
      </c>
      <c r="I72" s="6">
        <f>D22</f>
        <v>54.449</v>
      </c>
      <c r="J72" s="7">
        <f>E22</f>
        <v>58.607</v>
      </c>
      <c r="K72" s="2"/>
      <c r="L72" s="8" t="s">
        <v>108</v>
      </c>
    </row>
    <row r="73" ht="19.5">
      <c r="A73" s="2"/>
      <c r="B73" s="18" t="s">
        <v>110</v>
      </c>
      <c r="C73" s="11">
        <v>11.444</v>
      </c>
      <c r="D73" s="11">
        <v>42.733</v>
      </c>
      <c r="E73" s="11">
        <v>32.052</v>
      </c>
      <c r="F73" s="11">
        <v>36.089</v>
      </c>
      <c r="G73" s="11">
        <v>122.318</v>
      </c>
      <c r="H73" s="6">
        <f>C34</f>
        <v>33.651</v>
      </c>
      <c r="I73" s="6">
        <f>D34</f>
        <v>37.372</v>
      </c>
      <c r="J73" s="7">
        <f>E34</f>
        <v>65.773</v>
      </c>
      <c r="K73" s="2"/>
      <c r="L73" s="8" t="s">
        <v>108</v>
      </c>
    </row>
    <row r="74" ht="19.5">
      <c r="A74" s="2"/>
      <c r="B74" s="18" t="s">
        <v>111</v>
      </c>
      <c r="C74" s="11">
        <v>14.03</v>
      </c>
      <c r="D74" s="11">
        <v>14.195</v>
      </c>
      <c r="E74" s="11">
        <v>13.816</v>
      </c>
      <c r="F74" s="11">
        <v>10.803</v>
      </c>
      <c r="G74" s="11">
        <v>52.843</v>
      </c>
      <c r="H74" s="6">
        <f>C44</f>
        <v>26.953</v>
      </c>
      <c r="I74" s="6">
        <f>D44</f>
        <v>12.81</v>
      </c>
      <c r="J74" s="7">
        <f>E44</f>
        <v>10.354</v>
      </c>
      <c r="K74" s="2"/>
      <c r="L74" s="8" t="s">
        <v>108</v>
      </c>
    </row>
    <row r="75" ht="19.5">
      <c r="A75" s="2"/>
      <c r="B75" s="18" t="s">
        <v>112</v>
      </c>
      <c r="C75" s="11">
        <v>211.869</v>
      </c>
      <c r="D75" s="11">
        <v>296.611</v>
      </c>
      <c r="E75" s="11">
        <v>384.314</v>
      </c>
      <c r="F75" s="11">
        <v>638.487</v>
      </c>
      <c r="G75" s="6"/>
      <c r="H75" s="11">
        <v>653.348</v>
      </c>
      <c r="I75" s="11">
        <v>935.413</v>
      </c>
      <c r="J75" s="7"/>
      <c r="K75" s="2"/>
      <c r="L75" s="8" t="s">
        <v>113</v>
      </c>
    </row>
    <row r="76">
      <c r="A76" s="2"/>
      <c r="B76" s="2"/>
      <c r="C76" s="23"/>
      <c r="D76" s="23"/>
      <c r="E76" s="23"/>
      <c r="F76" s="23"/>
      <c r="G76" s="23"/>
      <c r="H76" s="23"/>
      <c r="I76" s="23"/>
      <c r="J76" s="42"/>
      <c r="K76" s="2"/>
      <c r="L76" s="8"/>
    </row>
    <row r="77">
      <c r="A77" s="2"/>
      <c r="B77" s="30" t="s">
        <v>114</v>
      </c>
      <c r="C77" s="16"/>
      <c r="D77" s="16"/>
      <c r="E77" s="16"/>
      <c r="F77" s="16"/>
      <c r="G77" s="16"/>
      <c r="H77" s="16"/>
      <c r="I77" s="16"/>
      <c r="J77" s="4"/>
      <c r="K77" s="2"/>
      <c r="L77" s="8"/>
    </row>
    <row r="78">
      <c r="A78" s="2"/>
      <c r="B78" s="21" t="s">
        <v>115</v>
      </c>
      <c r="C78" s="3" t="s">
        <v>85</v>
      </c>
      <c r="D78" s="3" t="s">
        <v>85</v>
      </c>
      <c r="E78" s="3" t="s">
        <v>85</v>
      </c>
      <c r="F78" s="3" t="s">
        <v>85</v>
      </c>
      <c r="G78" s="3" t="s">
        <v>85</v>
      </c>
      <c r="H78" s="3" t="s">
        <v>85</v>
      </c>
      <c r="I78" s="3" t="s">
        <v>85</v>
      </c>
      <c r="J78" s="27" t="s">
        <v>85</v>
      </c>
      <c r="K78" s="2"/>
      <c r="L78" s="8" t="s">
        <v>116</v>
      </c>
    </row>
    <row r="79">
      <c r="A79" s="2"/>
      <c r="B79" s="21" t="s">
        <v>117</v>
      </c>
      <c r="C79" s="3" t="s">
        <v>85</v>
      </c>
      <c r="D79" s="3" t="s">
        <v>85</v>
      </c>
      <c r="E79" s="3" t="s">
        <v>85</v>
      </c>
      <c r="F79" s="3" t="s">
        <v>85</v>
      </c>
      <c r="G79" s="3" t="s">
        <v>85</v>
      </c>
      <c r="H79" s="3" t="s">
        <v>85</v>
      </c>
      <c r="I79" s="3" t="s">
        <v>85</v>
      </c>
      <c r="J79" s="27" t="s">
        <v>85</v>
      </c>
      <c r="K79" s="2"/>
      <c r="L79" s="8" t="s">
        <v>118</v>
      </c>
    </row>
    <row r="80" ht="19.5">
      <c r="A80" s="2"/>
      <c r="B80" s="73" t="s">
        <v>119</v>
      </c>
      <c r="C80" s="70">
        <f>IFERROR(C11/C10,0)</f>
        <v>0</v>
      </c>
      <c r="D80" s="70">
        <f>IFERROR(D11/D10,0)</f>
        <v>0</v>
      </c>
      <c r="E80" s="70">
        <f>IFERROR(E11/E10,0)</f>
        <v>0</v>
      </c>
      <c r="F80" s="70">
        <f>IFERROR(F11/F10,0)</f>
        <v>0.024367621486658702</v>
      </c>
      <c r="G80" s="70">
        <f>IFERROR(G11/G10,0)</f>
        <v>0.01030681968009886</v>
      </c>
      <c r="H80" s="70">
        <f>IFERROR(H11/H10,0)</f>
        <v>-0.004751959991265006</v>
      </c>
      <c r="I80" s="70">
        <f>IFERROR(I11/I10,0)</f>
        <v>0.0053295052768695</v>
      </c>
      <c r="J80" s="69">
        <f>IFERROR(J11/J10,0)</f>
        <v>0.010101010101010102</v>
      </c>
      <c r="K80" s="2"/>
      <c r="L80" s="8"/>
    </row>
    <row r="81">
      <c r="A81" s="2"/>
      <c r="B81" s="80" t="s">
        <v>120</v>
      </c>
      <c r="C81" s="67"/>
      <c r="D81" s="67">
        <f>(D80-C80)*10000</f>
        <v>0</v>
      </c>
      <c r="E81" s="67">
        <f>(E80-D80)*10000</f>
        <v>0</v>
      </c>
      <c r="F81" s="67">
        <f>(F80-E80)*10000</f>
        <v>243.67621486658703</v>
      </c>
      <c r="G81" s="67"/>
      <c r="H81" s="67">
        <f>(H80-F80)*10000</f>
        <v>-291.1958147792371</v>
      </c>
      <c r="I81" s="67">
        <f>(I80-H80)*10000</f>
        <v>100.81465268134505</v>
      </c>
      <c r="J81" s="89">
        <f>(J80-I80)*10000</f>
        <v>47.715048241406016</v>
      </c>
      <c r="K81" s="2"/>
      <c r="L81" s="8"/>
    </row>
    <row r="82" ht="19.5">
      <c r="A82" s="2"/>
      <c r="B82" s="18" t="s">
        <v>121</v>
      </c>
      <c r="C82" s="23"/>
      <c r="D82" s="23"/>
      <c r="E82" s="23"/>
      <c r="F82" s="23"/>
      <c r="G82" s="23"/>
      <c r="H82" s="23"/>
      <c r="I82" s="23"/>
      <c r="J82" s="42"/>
      <c r="K82" s="2"/>
      <c r="L82" s="8"/>
    </row>
    <row r="83">
      <c r="A83" s="2"/>
      <c r="B83" s="9" t="s">
        <v>122</v>
      </c>
      <c r="C83" s="11">
        <v>0</v>
      </c>
      <c r="D83" s="6">
        <f>C86</f>
        <v>0</v>
      </c>
      <c r="E83" s="6">
        <f>D86</f>
        <v>0</v>
      </c>
      <c r="F83" s="6">
        <f>E86</f>
        <v>0</v>
      </c>
      <c r="G83" s="6">
        <f>C83</f>
        <v>0</v>
      </c>
      <c r="H83" s="6">
        <f>F86</f>
        <v>0</v>
      </c>
      <c r="I83" s="6">
        <f>H86</f>
        <v>0</v>
      </c>
      <c r="J83" s="7">
        <f>I86</f>
        <v>306.5</v>
      </c>
      <c r="K83" s="2"/>
      <c r="L83" s="8"/>
    </row>
    <row r="84" ht="19.5">
      <c r="A84" s="2"/>
      <c r="B84" s="100" t="s">
        <v>123</v>
      </c>
      <c r="C84" s="6">
        <f>C86-C83+C11</f>
        <v>0</v>
      </c>
      <c r="D84" s="6">
        <f>D86-D83+D11</f>
        <v>0</v>
      </c>
      <c r="E84" s="6">
        <f>E86-E83+E11</f>
        <v>0</v>
      </c>
      <c r="F84" s="6">
        <f>F86-F83+F11</f>
        <v>15.947</v>
      </c>
      <c r="G84" s="6">
        <f>G86-G83+G11</f>
        <v>15.947</v>
      </c>
      <c r="H84" s="6">
        <f>H86-H83+H11</f>
        <v>-3.09</v>
      </c>
      <c r="I84" s="6">
        <f>I86-I83+I11</f>
        <v>311.512</v>
      </c>
      <c r="J84" s="24">
        <v>0</v>
      </c>
      <c r="K84" s="2"/>
      <c r="L84" s="8" t="s">
        <v>124</v>
      </c>
    </row>
    <row r="85">
      <c r="A85" s="2"/>
      <c r="B85" s="9" t="s">
        <v>125</v>
      </c>
      <c r="C85" s="6">
        <f>-C11</f>
        <v>0</v>
      </c>
      <c r="D85" s="6">
        <f>-D11</f>
        <v>0</v>
      </c>
      <c r="E85" s="6">
        <f>-E11</f>
        <v>0</v>
      </c>
      <c r="F85" s="6">
        <f>-F11</f>
        <v>-15.947</v>
      </c>
      <c r="G85" s="6">
        <f>-G11</f>
        <v>-15.947</v>
      </c>
      <c r="H85" s="6">
        <f>-H11</f>
        <v>3.09</v>
      </c>
      <c r="I85" s="6">
        <f>-I11</f>
        <v>-5.012</v>
      </c>
      <c r="J85" s="7">
        <f>-J11</f>
        <v>-10</v>
      </c>
      <c r="K85" s="2"/>
      <c r="L85" s="8"/>
    </row>
    <row r="86" ht="19.5">
      <c r="A86" s="2"/>
      <c r="B86" s="111" t="s">
        <v>126</v>
      </c>
      <c r="C86" s="77">
        <f>'Balance Sheet'!C16+'Balance Sheet'!C26</f>
        <v>0</v>
      </c>
      <c r="D86" s="77">
        <f>'Balance Sheet'!D16+'Balance Sheet'!D26</f>
        <v>0</v>
      </c>
      <c r="E86" s="77">
        <f>'Balance Sheet'!E16+'Balance Sheet'!E26</f>
        <v>0</v>
      </c>
      <c r="F86" s="77">
        <f>'Balance Sheet'!F16+'Balance Sheet'!F26</f>
        <v>0</v>
      </c>
      <c r="G86" s="77">
        <f>'Balance Sheet'!G16+'Balance Sheet'!G26</f>
        <v>0</v>
      </c>
      <c r="H86" s="77">
        <f>'Balance Sheet'!H16+'Balance Sheet'!H26</f>
        <v>0</v>
      </c>
      <c r="I86" s="77">
        <f>'Balance Sheet'!I16+'Balance Sheet'!I26</f>
        <v>306.5</v>
      </c>
      <c r="J86" s="28">
        <f>J83+J84+J85</f>
        <v>296.5</v>
      </c>
      <c r="K86" s="2"/>
      <c r="L86" s="8" t="s">
        <v>127</v>
      </c>
    </row>
    <row r="87">
      <c r="A87" s="2"/>
      <c r="B87" s="9" t="s">
        <v>128</v>
      </c>
      <c r="C87" s="6">
        <f>AVERAGE(C83,C86)</f>
        <v>0</v>
      </c>
      <c r="D87" s="6">
        <f>AVERAGE(D83,D86)</f>
        <v>0</v>
      </c>
      <c r="E87" s="6">
        <f>AVERAGE(E83,E86)</f>
        <v>0</v>
      </c>
      <c r="F87" s="6">
        <f>AVERAGE(F83,F86)</f>
        <v>0</v>
      </c>
      <c r="G87" s="6">
        <f>SUMPRODUCT(C87:F87,C7:F7)/G7</f>
        <v>0</v>
      </c>
      <c r="H87" s="6">
        <f>AVERAGE(H83,H86)</f>
        <v>0</v>
      </c>
      <c r="I87" s="6">
        <f>AVERAGE(I83,I86)</f>
        <v>153.25</v>
      </c>
      <c r="J87" s="7">
        <f>AVERAGE(J83,J86)</f>
        <v>301.5</v>
      </c>
      <c r="K87" s="2"/>
      <c r="L87" s="8" t="s">
        <v>129</v>
      </c>
    </row>
    <row r="88">
      <c r="A88" s="2"/>
      <c r="B88" s="2"/>
      <c r="C88" s="23"/>
      <c r="D88" s="23"/>
      <c r="E88" s="23"/>
      <c r="F88" s="23"/>
      <c r="G88" s="23"/>
      <c r="H88" s="23"/>
      <c r="I88" s="23"/>
      <c r="J88" s="42"/>
      <c r="K88" s="2"/>
      <c r="L88" s="8"/>
    </row>
    <row r="89">
      <c r="A89" s="2"/>
      <c r="B89" s="30" t="s">
        <v>130</v>
      </c>
      <c r="C89" s="16"/>
      <c r="D89" s="16"/>
      <c r="E89" s="16"/>
      <c r="F89" s="16"/>
      <c r="G89" s="16"/>
      <c r="H89" s="16"/>
      <c r="I89" s="16"/>
      <c r="J89" s="4"/>
      <c r="K89" s="2"/>
      <c r="L89" s="8"/>
    </row>
    <row r="90" ht="19.5">
      <c r="A90" s="2"/>
      <c r="B90" s="18" t="s">
        <v>131</v>
      </c>
      <c r="C90" s="11">
        <v>2.8</v>
      </c>
      <c r="D90" s="11">
        <v>27.1</v>
      </c>
      <c r="E90" s="11">
        <v>288</v>
      </c>
      <c r="F90" s="11">
        <v>574.2</v>
      </c>
      <c r="G90" s="6">
        <f>SUM(C90:F90)</f>
        <v>892.1</v>
      </c>
      <c r="H90" s="11">
        <v>373.3</v>
      </c>
      <c r="I90" s="11">
        <v>2.8</v>
      </c>
      <c r="J90" s="7" t="s">
        <v>132</v>
      </c>
      <c r="K90" s="2"/>
      <c r="L90" s="8" t="s">
        <v>133</v>
      </c>
    </row>
    <row r="91">
      <c r="A91" s="2"/>
      <c r="B91" s="9" t="s">
        <v>80</v>
      </c>
      <c r="C91" s="6"/>
      <c r="D91" s="6"/>
      <c r="E91" s="6"/>
      <c r="F91" s="6"/>
      <c r="G91" s="6"/>
      <c r="H91" s="6">
        <f>H90-C90</f>
        <v>370.5</v>
      </c>
      <c r="I91" s="6">
        <f>I90-D90</f>
        <v>-24.3</v>
      </c>
      <c r="J91" s="7"/>
      <c r="K91" s="2"/>
      <c r="L91" s="8"/>
    </row>
    <row r="92">
      <c r="A92" s="2"/>
      <c r="B92" s="9" t="s">
        <v>81</v>
      </c>
      <c r="C92" s="6"/>
      <c r="D92" s="6">
        <f>D90-C90</f>
        <v>24.3</v>
      </c>
      <c r="E92" s="6">
        <f>E90-D90</f>
        <v>260.9</v>
      </c>
      <c r="F92" s="6">
        <f>F90-E90</f>
        <v>286.20000000000005</v>
      </c>
      <c r="G92" s="6"/>
      <c r="H92" s="6">
        <f>H90-F90</f>
        <v>-200.90000000000003</v>
      </c>
      <c r="I92" s="6">
        <f>I90-H90</f>
        <v>-370.5</v>
      </c>
      <c r="J92" s="7"/>
      <c r="K92" s="2"/>
      <c r="L92" s="8"/>
    </row>
    <row r="93">
      <c r="A93" s="2"/>
      <c r="B93" s="48" t="s">
        <v>134</v>
      </c>
      <c r="C93" s="70">
        <f>C90/C55</f>
        <v>0.008588403814478207</v>
      </c>
      <c r="D93" s="70">
        <f>D90/D55</f>
        <v>0.0675402874075994</v>
      </c>
      <c r="E93" s="70">
        <f>E90/E55</f>
        <v>0.5548619780829519</v>
      </c>
      <c r="F93" s="70">
        <f>F90/F55</f>
        <v>0.7383471157271022</v>
      </c>
      <c r="G93" s="70">
        <f>G90/G55</f>
        <v>0.440762176172459</v>
      </c>
      <c r="H93" s="70">
        <f>H90/H55</f>
        <v>0.49703483371368773</v>
      </c>
      <c r="I93" s="70">
        <f>I90/I55</f>
        <v>0.002628207234140412</v>
      </c>
      <c r="J93" s="69"/>
      <c r="K93" s="2"/>
      <c r="L93" s="8"/>
    </row>
    <row r="94">
      <c r="A94" s="2"/>
      <c r="B94" s="80" t="s">
        <v>120</v>
      </c>
      <c r="C94" s="67"/>
      <c r="D94" s="67">
        <f>(D93-C93)*10000</f>
        <v>589.5188359312119</v>
      </c>
      <c r="E94" s="67">
        <f>(E93-D93)*10000</f>
        <v>4873.216906753525</v>
      </c>
      <c r="F94" s="67">
        <f>(F93-E93)*10000</f>
        <v>1834.8513764415031</v>
      </c>
      <c r="G94" s="67"/>
      <c r="H94" s="67">
        <f>(H93-F93)*10000</f>
        <v>-2413.1228201341446</v>
      </c>
      <c r="I94" s="67">
        <f>(I93-H93)*10000</f>
        <v>-4944.066264795473</v>
      </c>
      <c r="J94" s="89"/>
      <c r="K94" s="2"/>
      <c r="L94" s="8"/>
    </row>
    <row r="95">
      <c r="A95" s="2"/>
      <c r="B95" s="21" t="s">
        <v>135</v>
      </c>
      <c r="C95" s="6">
        <f>C55-C90</f>
        <v>323.221</v>
      </c>
      <c r="D95" s="6">
        <f>D55-D90</f>
        <v>374.142</v>
      </c>
      <c r="E95" s="6">
        <f>E55-E90</f>
        <v>231.048</v>
      </c>
      <c r="F95" s="6">
        <f>F55-F90</f>
        <v>203.48299999999995</v>
      </c>
      <c r="G95" s="6">
        <f>G55-G90</f>
        <v>1131.8940000000002</v>
      </c>
      <c r="H95" s="6">
        <f>H55-H90</f>
        <v>377.75399999999996</v>
      </c>
      <c r="I95" s="6">
        <f>I55-I90</f>
        <v>1062.565</v>
      </c>
      <c r="J95" s="7"/>
      <c r="K95" s="2"/>
      <c r="L95" s="8"/>
    </row>
    <row r="96">
      <c r="A96" s="2"/>
      <c r="B96" s="9" t="s">
        <v>81</v>
      </c>
      <c r="C96" s="6"/>
      <c r="D96" s="6">
        <f>D95-C95</f>
        <v>50.92099999999999</v>
      </c>
      <c r="E96" s="6">
        <f>E95-D95</f>
        <v>-143.094</v>
      </c>
      <c r="F96" s="6">
        <f>F95-E95</f>
        <v>-27.565000000000055</v>
      </c>
      <c r="G96" s="6"/>
      <c r="H96" s="6">
        <f>H95-F95</f>
        <v>174.27100000000002</v>
      </c>
      <c r="I96" s="6">
        <f>I95-H95</f>
        <v>684.8110000000001</v>
      </c>
      <c r="J96" s="7"/>
      <c r="K96" s="2"/>
      <c r="L96" s="8"/>
    </row>
    <row r="97" ht="19.5">
      <c r="A97" s="2"/>
      <c r="B97" s="73" t="s">
        <v>136</v>
      </c>
      <c r="C97" s="70"/>
      <c r="D97" s="83">
        <v>0.3</v>
      </c>
      <c r="E97" s="70"/>
      <c r="F97" s="70"/>
      <c r="G97" s="83">
        <v>0.43</v>
      </c>
      <c r="H97" s="70"/>
      <c r="I97" s="83">
        <v>0.44</v>
      </c>
      <c r="J97" s="69"/>
      <c r="K97" s="2"/>
      <c r="L97" s="8" t="s">
        <v>137</v>
      </c>
    </row>
    <row r="98">
      <c r="A98" s="2"/>
      <c r="B98" s="2"/>
      <c r="C98" s="23"/>
      <c r="D98" s="23"/>
      <c r="E98" s="23"/>
      <c r="F98" s="23"/>
      <c r="G98" s="23"/>
      <c r="H98" s="23"/>
      <c r="I98" s="23"/>
      <c r="J98" s="42"/>
      <c r="K98" s="2"/>
      <c r="L98" s="8"/>
    </row>
    <row r="99">
      <c r="A99" s="2"/>
      <c r="B99" s="30" t="s">
        <v>138</v>
      </c>
      <c r="C99" s="16"/>
      <c r="D99" s="16"/>
      <c r="E99" s="16"/>
      <c r="F99" s="16"/>
      <c r="G99" s="16"/>
      <c r="H99" s="16"/>
      <c r="I99" s="16"/>
      <c r="J99" s="4"/>
      <c r="K99" s="2"/>
      <c r="L99" s="8"/>
    </row>
    <row r="100" ht="19.5">
      <c r="A100" s="2"/>
      <c r="B100" s="18" t="s">
        <v>139</v>
      </c>
      <c r="C100" s="11">
        <v>286.419</v>
      </c>
      <c r="D100" s="6">
        <f>C103</f>
        <v>215.617</v>
      </c>
      <c r="E100" s="6">
        <f>D103</f>
        <v>107.613</v>
      </c>
      <c r="F100" s="6">
        <f>E103</f>
        <v>88.31899999999999</v>
      </c>
      <c r="G100" s="6">
        <f>C100</f>
        <v>286.419</v>
      </c>
      <c r="H100" s="6">
        <f>F103</f>
        <v>143.815</v>
      </c>
      <c r="I100" s="6">
        <f>H103</f>
        <v>233.35399999999998</v>
      </c>
      <c r="J100" s="7">
        <f>I103</f>
        <v>445.046</v>
      </c>
      <c r="K100" s="2"/>
      <c r="L100" s="8" t="s">
        <v>140</v>
      </c>
    </row>
    <row r="101">
      <c r="A101" s="2"/>
      <c r="B101" s="21" t="s">
        <v>141</v>
      </c>
      <c r="C101" s="25">
        <f>'Cash Flow Statement'!C34</f>
        <v>-70.802</v>
      </c>
      <c r="D101" s="25">
        <f>'Cash Flow Statement'!D34</f>
        <v>-108.005</v>
      </c>
      <c r="E101" s="25">
        <f>'Cash Flow Statement'!E34</f>
        <v>-19.293</v>
      </c>
      <c r="F101" s="25">
        <f>'Cash Flow Statement'!F34</f>
        <v>55.495</v>
      </c>
      <c r="G101" s="25">
        <f>'Cash Flow Statement'!G34</f>
        <v>-142.60500000000002</v>
      </c>
      <c r="H101" s="25">
        <f>'Cash Flow Statement'!H34</f>
        <v>89.539</v>
      </c>
      <c r="I101" s="25">
        <f>'Cash Flow Statement'!I34</f>
        <v>211.693</v>
      </c>
      <c r="J101" s="7"/>
      <c r="K101" s="2"/>
      <c r="L101" s="8"/>
    </row>
    <row r="102" ht="19.5">
      <c r="A102" s="2"/>
      <c r="B102" s="18" t="s">
        <v>142</v>
      </c>
      <c r="C102" s="6">
        <f>C103-C100-C101</f>
        <v>0</v>
      </c>
      <c r="D102" s="6">
        <f>D103-D100-D101</f>
        <v>0.0010000000000047748</v>
      </c>
      <c r="E102" s="6">
        <f>E103-E100-E101</f>
        <v>-0.0010000000000118803</v>
      </c>
      <c r="F102" s="6">
        <f>F103-F100-F101</f>
        <v>0.0010000000000118803</v>
      </c>
      <c r="G102" s="6">
        <f>G103-G100-G101</f>
        <v>0.0010000000000331966</v>
      </c>
      <c r="H102" s="6">
        <f>H103-H100-H101</f>
        <v>0</v>
      </c>
      <c r="I102" s="6">
        <f>I103-I100-I101</f>
        <v>-0.0010000000000047748</v>
      </c>
      <c r="J102" s="7"/>
      <c r="K102" s="2"/>
      <c r="L102" s="8"/>
    </row>
    <row r="103" ht="19.5">
      <c r="A103" s="2"/>
      <c r="B103" s="110" t="s">
        <v>143</v>
      </c>
      <c r="C103" s="77">
        <f>'Balance Sheet'!C35+'Balance Sheet'!C41</f>
        <v>215.617</v>
      </c>
      <c r="D103" s="77">
        <f>'Balance Sheet'!D35+'Balance Sheet'!D41</f>
        <v>107.613</v>
      </c>
      <c r="E103" s="77">
        <f>'Balance Sheet'!E35+'Balance Sheet'!E41</f>
        <v>88.31899999999999</v>
      </c>
      <c r="F103" s="77">
        <f>'Balance Sheet'!F35+'Balance Sheet'!F41</f>
        <v>143.815</v>
      </c>
      <c r="G103" s="77">
        <f>'Balance Sheet'!G35+'Balance Sheet'!G41</f>
        <v>143.815</v>
      </c>
      <c r="H103" s="77">
        <f>'Balance Sheet'!H35+'Balance Sheet'!H41</f>
        <v>233.35399999999998</v>
      </c>
      <c r="I103" s="77">
        <f>'Balance Sheet'!I35+'Balance Sheet'!I41</f>
        <v>445.046</v>
      </c>
      <c r="J103" s="127">
        <f>'Balance Sheet'!J35+'Balance Sheet'!J41</f>
        <v>445.046</v>
      </c>
      <c r="K103" s="2"/>
      <c r="L103" s="8" t="s">
        <v>144</v>
      </c>
    </row>
    <row r="104">
      <c r="A104" s="2"/>
      <c r="B104" s="21" t="s">
        <v>128</v>
      </c>
      <c r="C104" s="6">
        <f>AVERAGE(C100,C103)</f>
        <v>251.01799999999997</v>
      </c>
      <c r="D104" s="6">
        <f>AVERAGE(D100,D103)</f>
        <v>161.615</v>
      </c>
      <c r="E104" s="6">
        <f>AVERAGE(E100,E103)</f>
        <v>97.966</v>
      </c>
      <c r="F104" s="6">
        <f>AVERAGE(F100,F103)</f>
        <v>116.067</v>
      </c>
      <c r="G104" s="6">
        <f>SUMPRODUCT(C104:F104,C7:F7)/G7</f>
        <v>156.1359479452055</v>
      </c>
      <c r="H104" s="6">
        <f>AVERAGE(H100,H103)</f>
        <v>188.5845</v>
      </c>
      <c r="I104" s="6">
        <f>AVERAGE(I100,I103)</f>
        <v>339.2</v>
      </c>
      <c r="J104" s="7">
        <f>AVERAGE(J100,J103)</f>
        <v>445.046</v>
      </c>
      <c r="K104" s="2"/>
      <c r="L104" s="8" t="s">
        <v>129</v>
      </c>
    </row>
    <row r="105" ht="19.5">
      <c r="A105" s="2"/>
      <c r="B105" s="73" t="s">
        <v>145</v>
      </c>
      <c r="C105" s="70">
        <f>C103/C55</f>
        <v>0.6613592375951242</v>
      </c>
      <c r="D105" s="70">
        <f>D103/D55</f>
        <v>0.26819973980789646</v>
      </c>
      <c r="E105" s="70">
        <f>E103/E55</f>
        <v>0.1701557466746813</v>
      </c>
      <c r="F105" s="70">
        <f>F103/F55</f>
        <v>0.18492753474101917</v>
      </c>
      <c r="G105" s="70"/>
      <c r="H105" s="70">
        <f>H103/H55</f>
        <v>0.3107020267517382</v>
      </c>
      <c r="I105" s="70">
        <f>I103/I55</f>
        <v>0.4177403988304478</v>
      </c>
      <c r="J105" s="69">
        <f>J103/J55</f>
        <v>0.40202890695573623</v>
      </c>
      <c r="K105" s="2"/>
      <c r="L105" s="8"/>
    </row>
    <row r="106">
      <c r="A106" s="2"/>
      <c r="B106" s="80" t="s">
        <v>120</v>
      </c>
      <c r="C106" s="67"/>
      <c r="D106" s="67">
        <f>(D105-C105)*10000</f>
        <v>-3931.594977872277</v>
      </c>
      <c r="E106" s="67">
        <f>(E105-D105)*10000</f>
        <v>-980.4399313321516</v>
      </c>
      <c r="F106" s="67">
        <f>(F105-E105)*10000</f>
        <v>147.7178806633786</v>
      </c>
      <c r="G106" s="67"/>
      <c r="H106" s="67">
        <f>(H105-F105)*10000</f>
        <v>1257.7449201071902</v>
      </c>
      <c r="I106" s="67">
        <f>(I105-H105)*10000</f>
        <v>1070.3837207870959</v>
      </c>
      <c r="J106" s="89">
        <f>(J105-I105)*10000</f>
        <v>-157.11491874711547</v>
      </c>
      <c r="K106" s="2"/>
      <c r="L106" s="8"/>
    </row>
    <row r="107" ht="19.5">
      <c r="A107" s="2"/>
      <c r="B107" s="18" t="s">
        <v>146</v>
      </c>
      <c r="C107" s="25">
        <f>'Balance Sheet'!C12+'Balance Sheet'!C13+'Balance Sheet'!C24</f>
        <v>477.6</v>
      </c>
      <c r="D107" s="25">
        <f>'Balance Sheet'!D12+'Balance Sheet'!D13+'Balance Sheet'!D24</f>
        <v>596.836</v>
      </c>
      <c r="E107" s="25">
        <f>'Balance Sheet'!E12+'Balance Sheet'!E13+'Balance Sheet'!E24</f>
        <v>670.537</v>
      </c>
      <c r="F107" s="25">
        <f>'Balance Sheet'!F12+'Balance Sheet'!F13+'Balance Sheet'!F24</f>
        <v>612.982</v>
      </c>
      <c r="G107" s="25">
        <f>'Balance Sheet'!G12+'Balance Sheet'!G13+'Balance Sheet'!G24</f>
        <v>612.982</v>
      </c>
      <c r="H107" s="25">
        <f>'Balance Sheet'!H12+'Balance Sheet'!H13+'Balance Sheet'!H24</f>
        <v>665.2819999999999</v>
      </c>
      <c r="I107" s="25">
        <f>'Balance Sheet'!I12+'Balance Sheet'!I13+'Balance Sheet'!I24</f>
        <v>886.424</v>
      </c>
      <c r="J107" s="22">
        <f>'Balance Sheet'!J12+'Balance Sheet'!J13+'Balance Sheet'!J24</f>
        <v>886.424</v>
      </c>
      <c r="K107" s="2"/>
      <c r="L107" s="8" t="s">
        <v>147</v>
      </c>
    </row>
    <row r="108">
      <c r="A108" s="2"/>
      <c r="B108" s="9" t="s">
        <v>81</v>
      </c>
      <c r="C108" s="6"/>
      <c r="D108" s="6">
        <f>D107-C107</f>
        <v>119.23599999999999</v>
      </c>
      <c r="E108" s="6">
        <f>E107-D107</f>
        <v>73.70100000000002</v>
      </c>
      <c r="F108" s="6">
        <f>F107-E107</f>
        <v>-57.555000000000064</v>
      </c>
      <c r="G108" s="6"/>
      <c r="H108" s="6">
        <f>H107-F107</f>
        <v>52.299999999999955</v>
      </c>
      <c r="I108" s="6">
        <f>I107-H107</f>
        <v>221.14200000000005</v>
      </c>
      <c r="J108" s="7">
        <f>J107-I107</f>
        <v>0</v>
      </c>
      <c r="K108" s="2"/>
      <c r="L108" s="8"/>
    </row>
    <row r="109" ht="19.5">
      <c r="A109" s="2"/>
      <c r="B109" s="73" t="s">
        <v>148</v>
      </c>
      <c r="C109" s="70">
        <f>C107/C55</f>
        <v>1.4649363077838544</v>
      </c>
      <c r="D109" s="70">
        <f>D107/D55</f>
        <v>1.4874714012989667</v>
      </c>
      <c r="E109" s="70">
        <f>E107/E55</f>
        <v>1.2918593270757233</v>
      </c>
      <c r="F109" s="70">
        <f>F107/F55</f>
        <v>0.788215764006671</v>
      </c>
      <c r="G109" s="70"/>
      <c r="H109" s="70">
        <f>H107/H55</f>
        <v>0.8857978254559592</v>
      </c>
      <c r="I109" s="70">
        <f>I107/I55</f>
        <v>0.8320378461841716</v>
      </c>
      <c r="J109" s="69">
        <f>J107/J55</f>
        <v>0.8007443541102077</v>
      </c>
      <c r="K109" s="2"/>
      <c r="L109" s="8"/>
    </row>
    <row r="110">
      <c r="A110" s="2"/>
      <c r="B110" s="80" t="s">
        <v>120</v>
      </c>
      <c r="C110" s="67"/>
      <c r="D110" s="67">
        <f>(D109-C109)*10000</f>
        <v>225.3509351511229</v>
      </c>
      <c r="E110" s="67">
        <f>(E109-D109)*10000</f>
        <v>-1956.1207422324344</v>
      </c>
      <c r="F110" s="67">
        <f>(F109-E109)*10000</f>
        <v>-5036.435630690522</v>
      </c>
      <c r="G110" s="67"/>
      <c r="H110" s="67">
        <f>(H109-F109)*10000</f>
        <v>975.8206144928816</v>
      </c>
      <c r="I110" s="67">
        <f>(I109-H109)*10000</f>
        <v>-537.5997927178755</v>
      </c>
      <c r="J110" s="89">
        <f>(J109-I109)*10000</f>
        <v>-312.93492073963927</v>
      </c>
      <c r="K110" s="2"/>
      <c r="L110" s="8"/>
    </row>
    <row r="111" ht="19.5">
      <c r="A111" s="2"/>
      <c r="B111" s="18" t="s">
        <v>149</v>
      </c>
      <c r="C111" s="6"/>
      <c r="D111" s="6"/>
      <c r="E111" s="6"/>
      <c r="F111" s="11">
        <v>394.4</v>
      </c>
      <c r="G111" s="11">
        <v>394.4</v>
      </c>
      <c r="H111" s="6"/>
      <c r="I111" s="11">
        <v>442.4</v>
      </c>
      <c r="J111" s="7"/>
      <c r="K111" s="2"/>
      <c r="L111" s="8" t="s">
        <v>150</v>
      </c>
    </row>
    <row r="112" ht="19.5">
      <c r="A112" s="2"/>
      <c r="B112" s="18" t="s">
        <v>151</v>
      </c>
      <c r="C112" s="6"/>
      <c r="D112" s="6"/>
      <c r="E112" s="6"/>
      <c r="F112" s="11">
        <v>25</v>
      </c>
      <c r="G112" s="11">
        <v>25</v>
      </c>
      <c r="H112" s="6"/>
      <c r="I112" s="11">
        <v>51.7</v>
      </c>
      <c r="J112" s="7"/>
      <c r="K112" s="2"/>
      <c r="L112" s="8" t="s">
        <v>152</v>
      </c>
    </row>
    <row r="113">
      <c r="A113" s="2"/>
      <c r="B113" s="21" t="s">
        <v>153</v>
      </c>
      <c r="C113" s="6"/>
      <c r="D113" s="6"/>
      <c r="E113" s="6"/>
      <c r="F113" s="11">
        <v>6000</v>
      </c>
      <c r="G113" s="11">
        <v>6000</v>
      </c>
      <c r="H113" s="6"/>
      <c r="I113" s="6"/>
      <c r="J113" s="7"/>
      <c r="K113" s="2"/>
      <c r="L113" s="8" t="s">
        <v>154</v>
      </c>
    </row>
    <row r="114" ht="19.5">
      <c r="A114" s="2"/>
      <c r="B114" s="18" t="s">
        <v>155</v>
      </c>
      <c r="C114" s="6"/>
      <c r="D114" s="6"/>
      <c r="E114" s="6"/>
      <c r="F114" s="11">
        <v>20000</v>
      </c>
      <c r="G114" s="11">
        <v>20000</v>
      </c>
      <c r="H114" s="6"/>
      <c r="I114" s="6"/>
      <c r="J114" s="7"/>
      <c r="K114" s="2"/>
      <c r="L114" s="8" t="s">
        <v>156</v>
      </c>
    </row>
    <row r="115">
      <c r="A115" s="2"/>
      <c r="B115" s="2"/>
      <c r="C115" s="23"/>
      <c r="D115" s="23"/>
      <c r="E115" s="23"/>
      <c r="F115" s="23"/>
      <c r="G115" s="23"/>
      <c r="H115" s="23"/>
      <c r="I115" s="23"/>
      <c r="J115" s="42"/>
      <c r="K115" s="2"/>
      <c r="L115" s="8"/>
    </row>
    <row r="116" ht="69">
      <c r="A116" s="2"/>
      <c r="B116" s="49" t="s">
        <v>157</v>
      </c>
      <c r="C116" s="23"/>
      <c r="D116" s="23"/>
      <c r="E116" s="23"/>
      <c r="F116" s="23"/>
      <c r="G116" s="23"/>
      <c r="H116" s="23"/>
      <c r="I116" s="23"/>
      <c r="J116" s="42"/>
      <c r="K116" s="2"/>
      <c r="L116" s="8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8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8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15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158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159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>
      <c r="A10" s="2"/>
      <c r="B10" s="21" t="s">
        <v>160</v>
      </c>
      <c r="C10" s="25">
        <f>'Revenue summary'!C12</f>
        <v>211.869</v>
      </c>
      <c r="D10" s="25">
        <f>'Revenue summary'!D12</f>
        <v>296.611</v>
      </c>
      <c r="E10" s="25">
        <f>'Revenue summary'!E12</f>
        <v>384.314</v>
      </c>
      <c r="F10" s="25">
        <f>'Revenue summary'!F12</f>
        <v>638.487</v>
      </c>
      <c r="G10" s="25">
        <f>'Revenue summary'!G12</f>
        <v>1531.281</v>
      </c>
      <c r="H10" s="25">
        <f>'Revenue summary'!H12</f>
        <v>653.348</v>
      </c>
      <c r="I10" s="25">
        <f>'Revenue summary'!I12</f>
        <v>935.413</v>
      </c>
      <c r="J10" s="22">
        <f>'Revenue summary'!J12</f>
        <v>980</v>
      </c>
      <c r="K10" s="2"/>
      <c r="L10" s="8"/>
    </row>
    <row r="11">
      <c r="A11" s="2"/>
      <c r="B11" s="21" t="s">
        <v>161</v>
      </c>
      <c r="C11" s="25">
        <f>'Revenue summary'!C34</f>
        <v>33.651</v>
      </c>
      <c r="D11" s="25">
        <f>'Revenue summary'!D34</f>
        <v>37.372</v>
      </c>
      <c r="E11" s="25">
        <f>'Revenue summary'!E34</f>
        <v>65.773</v>
      </c>
      <c r="F11" s="25">
        <f>'Revenue summary'!F34</f>
        <v>67.272</v>
      </c>
      <c r="G11" s="25">
        <f>'Revenue summary'!G34</f>
        <v>204.06799999999998</v>
      </c>
      <c r="H11" s="25">
        <f>'Revenue summary'!H34</f>
        <v>25.931</v>
      </c>
      <c r="I11" s="25">
        <f>'Revenue summary'!I34</f>
        <v>50.978</v>
      </c>
      <c r="J11" s="22">
        <f>'Revenue summary'!J34</f>
        <v>45</v>
      </c>
      <c r="K11" s="2"/>
      <c r="L11" s="8"/>
    </row>
    <row r="12">
      <c r="A12" s="2"/>
      <c r="B12" s="21" t="s">
        <v>162</v>
      </c>
      <c r="C12" s="25">
        <f>'Revenue summary'!C22</f>
        <v>53.548</v>
      </c>
      <c r="D12" s="25">
        <f>'Revenue summary'!D22</f>
        <v>54.449</v>
      </c>
      <c r="E12" s="25">
        <f>'Revenue summary'!E22</f>
        <v>58.607</v>
      </c>
      <c r="F12" s="25">
        <f>'Revenue summary'!F22</f>
        <v>61.691</v>
      </c>
      <c r="G12" s="25">
        <f>'Revenue summary'!G22</f>
        <v>228.29500000000002</v>
      </c>
      <c r="H12" s="25">
        <f>'Revenue summary'!H22</f>
        <v>61.879</v>
      </c>
      <c r="I12" s="25">
        <f>'Revenue summary'!I22</f>
        <v>69.023</v>
      </c>
      <c r="J12" s="22">
        <f>'Revenue summary'!J22</f>
        <v>72</v>
      </c>
      <c r="K12" s="2"/>
      <c r="L12" s="8"/>
    </row>
    <row r="13">
      <c r="A13" s="2"/>
      <c r="B13" s="21" t="s">
        <v>163</v>
      </c>
      <c r="C13" s="25">
        <f>'Revenue summary'!C44</f>
        <v>26.953</v>
      </c>
      <c r="D13" s="25">
        <f>'Revenue summary'!D44</f>
        <v>12.81</v>
      </c>
      <c r="E13" s="25">
        <f>'Revenue summary'!E44</f>
        <v>10.354</v>
      </c>
      <c r="F13" s="25">
        <f>'Revenue summary'!F44</f>
        <v>10.233</v>
      </c>
      <c r="G13" s="25">
        <f>'Revenue summary'!G44</f>
        <v>60.35</v>
      </c>
      <c r="H13" s="25">
        <f>'Revenue summary'!H44</f>
        <v>9.896</v>
      </c>
      <c r="I13" s="25">
        <f>'Revenue summary'!I44</f>
        <v>9.951</v>
      </c>
      <c r="J13" s="22">
        <f>'Revenue summary'!J44</f>
        <v>10</v>
      </c>
      <c r="K13" s="2"/>
      <c r="L13" s="8"/>
    </row>
    <row r="14">
      <c r="A14" s="2"/>
      <c r="B14" s="17" t="s">
        <v>99</v>
      </c>
      <c r="C14" s="14">
        <f>SUM(C10:C13)</f>
        <v>326.021</v>
      </c>
      <c r="D14" s="14">
        <f>SUM(D10:D13)</f>
        <v>401.24199999999996</v>
      </c>
      <c r="E14" s="14">
        <f>SUM(E10:E13)</f>
        <v>519.048</v>
      </c>
      <c r="F14" s="14">
        <f>SUM(F10:F13)</f>
        <v>777.683</v>
      </c>
      <c r="G14" s="14">
        <f>SUM(G10:G13)</f>
        <v>2023.994</v>
      </c>
      <c r="H14" s="14">
        <f>SUM(H10:H13)</f>
        <v>751.054</v>
      </c>
      <c r="I14" s="14">
        <f>SUM(I10:I13)</f>
        <v>1065.365</v>
      </c>
      <c r="J14" s="28">
        <f>SUM(J10:J13)</f>
        <v>1107</v>
      </c>
      <c r="K14" s="2"/>
      <c r="L14" s="8"/>
    </row>
    <row r="15">
      <c r="A15" s="2"/>
      <c r="B15" s="48" t="s">
        <v>79</v>
      </c>
      <c r="C15" s="99">
        <f>'Revenue summary'!C57</f>
        <v>0.38556638815459543</v>
      </c>
      <c r="D15" s="99">
        <f>'Revenue summary'!D57</f>
        <v>0.19500129554125345</v>
      </c>
      <c r="E15" s="99">
        <f>'Revenue summary'!E57</f>
        <v>0.5709732777641578</v>
      </c>
      <c r="F15" s="99">
        <f>'Revenue summary'!F57</f>
        <v>0.35865218477514604</v>
      </c>
      <c r="G15" s="99">
        <f>'Revenue summary'!G57</f>
        <v>0.3732644166051502</v>
      </c>
      <c r="H15" s="99">
        <f>'Revenue summary'!H57</f>
        <v>1.3036982280282556</v>
      </c>
      <c r="I15" s="99">
        <f>'Revenue summary'!I57</f>
        <v>1.6551682027305215</v>
      </c>
      <c r="J15" s="108">
        <f>'Revenue summary'!J57</f>
        <v>1.1327507282563456</v>
      </c>
      <c r="K15" s="2"/>
      <c r="L15" s="8"/>
    </row>
    <row r="16">
      <c r="A16" s="2"/>
      <c r="B16" s="48" t="s">
        <v>82</v>
      </c>
      <c r="C16" s="165">
        <f>'Revenue summary'!C60</f>
        <v>-0.43042455096411025</v>
      </c>
      <c r="D16" s="70">
        <f>D14/C14-1</f>
        <v>0.23072440118888027</v>
      </c>
      <c r="E16" s="70">
        <f>E14/D14-1</f>
        <v>0.293603361562349</v>
      </c>
      <c r="F16" s="70">
        <f>F14/E14-1</f>
        <v>0.4982872489634871</v>
      </c>
      <c r="G16" s="70"/>
      <c r="H16" s="70">
        <f>H14/F14-1</f>
        <v>-0.03424145828055902</v>
      </c>
      <c r="I16" s="70">
        <f>I14/H14-1</f>
        <v>0.418493210874318</v>
      </c>
      <c r="J16" s="69">
        <f>J14/I14-1</f>
        <v>0.03908050292622711</v>
      </c>
      <c r="K16" s="2"/>
      <c r="L16" s="8"/>
    </row>
    <row r="17">
      <c r="A17" s="2"/>
      <c r="B17" s="30" t="s">
        <v>164</v>
      </c>
      <c r="C17" s="16"/>
      <c r="D17" s="16"/>
      <c r="E17" s="16"/>
      <c r="F17" s="16"/>
      <c r="G17" s="16"/>
      <c r="H17" s="16"/>
      <c r="I17" s="16"/>
      <c r="J17" s="4"/>
      <c r="K17" s="2"/>
      <c r="L17" s="8"/>
    </row>
    <row r="18">
      <c r="A18" s="2"/>
      <c r="B18" s="21" t="s">
        <v>160</v>
      </c>
      <c r="C18" s="11">
        <v>139.573</v>
      </c>
      <c r="D18" s="11">
        <v>198.746</v>
      </c>
      <c r="E18" s="11">
        <v>249.794</v>
      </c>
      <c r="F18" s="11">
        <v>404.728</v>
      </c>
      <c r="G18" s="6">
        <f>SUM(C18:F18)</f>
        <v>992.841</v>
      </c>
      <c r="H18" s="11">
        <v>429.232</v>
      </c>
      <c r="I18" s="11">
        <v>593.957</v>
      </c>
      <c r="J18" s="7">
        <f>J10*(1-J31)</f>
        <v>629.16</v>
      </c>
      <c r="K18" s="2"/>
      <c r="L18" s="8"/>
    </row>
    <row r="19">
      <c r="A19" s="2"/>
      <c r="B19" s="21" t="s">
        <v>161</v>
      </c>
      <c r="C19" s="11">
        <v>33.315</v>
      </c>
      <c r="D19" s="11">
        <v>38.224</v>
      </c>
      <c r="E19" s="11">
        <v>59.921</v>
      </c>
      <c r="F19" s="11">
        <v>74.486</v>
      </c>
      <c r="G19" s="6">
        <f>SUM(C19:F19)</f>
        <v>205.946</v>
      </c>
      <c r="H19" s="11">
        <v>35.08</v>
      </c>
      <c r="I19" s="11">
        <v>52.829</v>
      </c>
      <c r="J19" s="7">
        <f>J11*(1-J34)</f>
        <v>48.6</v>
      </c>
      <c r="K19" s="2"/>
      <c r="L19" s="8"/>
    </row>
    <row r="20">
      <c r="A20" s="2"/>
      <c r="B20" s="21" t="s">
        <v>162</v>
      </c>
      <c r="C20" s="11">
        <v>52.858</v>
      </c>
      <c r="D20" s="11">
        <v>49.408</v>
      </c>
      <c r="E20" s="11">
        <v>51.834</v>
      </c>
      <c r="F20" s="11">
        <v>51.289</v>
      </c>
      <c r="G20" s="6">
        <f>SUM(C20:F20)</f>
        <v>205.389</v>
      </c>
      <c r="H20" s="11">
        <v>53.664</v>
      </c>
      <c r="I20" s="11">
        <v>56.148</v>
      </c>
      <c r="J20" s="7">
        <f>J12*(1-J37)</f>
        <v>59.76</v>
      </c>
      <c r="K20" s="2"/>
      <c r="L20" s="8"/>
    </row>
    <row r="21">
      <c r="A21" s="2"/>
      <c r="B21" s="21" t="s">
        <v>163</v>
      </c>
      <c r="C21" s="11">
        <v>11.568</v>
      </c>
      <c r="D21" s="11">
        <v>7.741</v>
      </c>
      <c r="E21" s="11">
        <v>5.824</v>
      </c>
      <c r="F21" s="11">
        <v>7.285</v>
      </c>
      <c r="G21" s="6">
        <f>SUM(C21:F21)</f>
        <v>32.418</v>
      </c>
      <c r="H21" s="11">
        <v>7.534</v>
      </c>
      <c r="I21" s="11">
        <v>6.859</v>
      </c>
      <c r="J21" s="7">
        <f>J13*(1-J40)</f>
        <v>7.199999999999999</v>
      </c>
      <c r="K21" s="2"/>
      <c r="L21" s="8"/>
    </row>
    <row r="22">
      <c r="A22" s="2"/>
      <c r="B22" s="17" t="s">
        <v>165</v>
      </c>
      <c r="C22" s="14">
        <f>SUM(C18:C21)</f>
        <v>237.314</v>
      </c>
      <c r="D22" s="14">
        <f>SUM(D18:D21)</f>
        <v>294.119</v>
      </c>
      <c r="E22" s="14">
        <f>SUM(E18:E21)</f>
        <v>367.373</v>
      </c>
      <c r="F22" s="14">
        <f>SUM(F18:F21)</f>
        <v>537.788</v>
      </c>
      <c r="G22" s="14">
        <f>SUM(G18:G21)</f>
        <v>1436.594</v>
      </c>
      <c r="H22" s="14">
        <f>SUM(H18:H21)</f>
        <v>525.51</v>
      </c>
      <c r="I22" s="14">
        <f>SUM(I18:I21)</f>
        <v>709.793</v>
      </c>
      <c r="J22" s="28">
        <f>SUM(J18:J21)</f>
        <v>744.7199999999999</v>
      </c>
      <c r="K22" s="2"/>
      <c r="L22" s="8"/>
    </row>
    <row r="23">
      <c r="A23" s="2"/>
      <c r="B23" s="30" t="s">
        <v>166</v>
      </c>
      <c r="C23" s="16"/>
      <c r="D23" s="16"/>
      <c r="E23" s="16"/>
      <c r="F23" s="16"/>
      <c r="G23" s="16"/>
      <c r="H23" s="16"/>
      <c r="I23" s="16"/>
      <c r="J23" s="4"/>
      <c r="K23" s="2"/>
      <c r="L23" s="8"/>
    </row>
    <row r="24">
      <c r="A24" s="2"/>
      <c r="B24" s="21" t="s">
        <v>160</v>
      </c>
      <c r="C24" s="6">
        <f>C10-C18</f>
        <v>72.29599999999999</v>
      </c>
      <c r="D24" s="6">
        <f>D10-D18</f>
        <v>97.86499999999998</v>
      </c>
      <c r="E24" s="6">
        <f>E10-E18</f>
        <v>134.52</v>
      </c>
      <c r="F24" s="6">
        <f>F10-F18</f>
        <v>233.75899999999996</v>
      </c>
      <c r="G24" s="6">
        <f>G10-G18</f>
        <v>538.4399999999999</v>
      </c>
      <c r="H24" s="6">
        <f>H10-H18</f>
        <v>224.11599999999993</v>
      </c>
      <c r="I24" s="6">
        <f>I10-I18</f>
        <v>341.456</v>
      </c>
      <c r="J24" s="7">
        <f>J10-J18</f>
        <v>350.84000000000003</v>
      </c>
      <c r="K24" s="2"/>
      <c r="L24" s="8"/>
    </row>
    <row r="25">
      <c r="A25" s="2"/>
      <c r="B25" s="21" t="s">
        <v>161</v>
      </c>
      <c r="C25" s="6">
        <f>C11-C19</f>
        <v>0.3360000000000056</v>
      </c>
      <c r="D25" s="6">
        <f>D11-D19</f>
        <v>-0.8519999999999968</v>
      </c>
      <c r="E25" s="6">
        <f>E11-E19</f>
        <v>5.851999999999997</v>
      </c>
      <c r="F25" s="6">
        <f>F11-F19</f>
        <v>-7.213999999999999</v>
      </c>
      <c r="G25" s="6">
        <f>G11-G19</f>
        <v>-1.8780000000000143</v>
      </c>
      <c r="H25" s="6">
        <f>H11-H19</f>
        <v>-9.148999999999997</v>
      </c>
      <c r="I25" s="6">
        <f>I11-I19</f>
        <v>-1.850999999999999</v>
      </c>
      <c r="J25" s="7">
        <f>J11-J19</f>
        <v>-3.6000000000000014</v>
      </c>
      <c r="K25" s="2"/>
      <c r="L25" s="8"/>
    </row>
    <row r="26">
      <c r="A26" s="2"/>
      <c r="B26" s="21" t="s">
        <v>162</v>
      </c>
      <c r="C26" s="6">
        <f>C12-C20</f>
        <v>0.6900000000000048</v>
      </c>
      <c r="D26" s="6">
        <f>D12-D20</f>
        <v>5.040999999999997</v>
      </c>
      <c r="E26" s="6">
        <f>E12-E20</f>
        <v>6.772999999999996</v>
      </c>
      <c r="F26" s="6">
        <f>F12-F20</f>
        <v>10.402000000000001</v>
      </c>
      <c r="G26" s="6">
        <f>G12-G20</f>
        <v>22.906000000000006</v>
      </c>
      <c r="H26" s="6">
        <f>H12-H20</f>
        <v>8.214999999999996</v>
      </c>
      <c r="I26" s="6">
        <f>I12-I20</f>
        <v>12.874999999999993</v>
      </c>
      <c r="J26" s="7">
        <f>J12-J20</f>
        <v>12.240000000000002</v>
      </c>
      <c r="K26" s="2"/>
      <c r="L26" s="8"/>
    </row>
    <row r="27">
      <c r="A27" s="2"/>
      <c r="B27" s="21" t="s">
        <v>163</v>
      </c>
      <c r="C27" s="6">
        <f>C13-C21</f>
        <v>15.385</v>
      </c>
      <c r="D27" s="6">
        <f>D13-D21</f>
        <v>5.069000000000001</v>
      </c>
      <c r="E27" s="6">
        <f>E13-E21</f>
        <v>4.529999999999999</v>
      </c>
      <c r="F27" s="6">
        <f>F13-F21</f>
        <v>2.9480000000000004</v>
      </c>
      <c r="G27" s="6">
        <f>G13-G21</f>
        <v>27.932000000000002</v>
      </c>
      <c r="H27" s="6">
        <f>H13-H21</f>
        <v>2.362000000000001</v>
      </c>
      <c r="I27" s="6">
        <f>I13-I21</f>
        <v>3.0920000000000005</v>
      </c>
      <c r="J27" s="7">
        <f>J13-J21</f>
        <v>2.8000000000000007</v>
      </c>
      <c r="K27" s="2"/>
      <c r="L27" s="8"/>
    </row>
    <row r="28">
      <c r="A28" s="2"/>
      <c r="B28" s="17" t="s">
        <v>166</v>
      </c>
      <c r="C28" s="14">
        <f>SUM(C24:C27)</f>
        <v>88.70700000000001</v>
      </c>
      <c r="D28" s="14">
        <f>SUM(D24:D27)</f>
        <v>107.12299999999998</v>
      </c>
      <c r="E28" s="14">
        <f>SUM(E24:E27)</f>
        <v>151.675</v>
      </c>
      <c r="F28" s="14">
        <f>SUM(F24:F27)</f>
        <v>239.89499999999995</v>
      </c>
      <c r="G28" s="14">
        <f>SUM(G24:G27)</f>
        <v>587.4</v>
      </c>
      <c r="H28" s="14">
        <f>SUM(H24:H27)</f>
        <v>225.54399999999993</v>
      </c>
      <c r="I28" s="14">
        <f>SUM(I24:I27)</f>
        <v>355.572</v>
      </c>
      <c r="J28" s="28">
        <f>SUM(J24:J27)</f>
        <v>362.28000000000003</v>
      </c>
      <c r="K28" s="2"/>
      <c r="L28" s="8"/>
    </row>
    <row r="29">
      <c r="A29" s="2"/>
      <c r="B29" s="48" t="s">
        <v>79</v>
      </c>
      <c r="C29" s="70"/>
      <c r="D29" s="70"/>
      <c r="E29" s="70"/>
      <c r="F29" s="70"/>
      <c r="G29" s="70"/>
      <c r="H29" s="70">
        <f>H28/C28-1</f>
        <v>1.5425727394681354</v>
      </c>
      <c r="I29" s="70">
        <f>I28/D28-1</f>
        <v>2.3192871745563517</v>
      </c>
      <c r="J29" s="69">
        <f>J28/E28-1</f>
        <v>1.3885281028514918</v>
      </c>
      <c r="K29" s="2"/>
      <c r="L29" s="8"/>
    </row>
    <row r="30">
      <c r="A30" s="2"/>
      <c r="B30" s="30" t="s">
        <v>167</v>
      </c>
      <c r="C30" s="16"/>
      <c r="D30" s="16"/>
      <c r="E30" s="16"/>
      <c r="F30" s="16"/>
      <c r="G30" s="16"/>
      <c r="H30" s="16"/>
      <c r="I30" s="16"/>
      <c r="J30" s="4"/>
      <c r="K30" s="2"/>
      <c r="L30" s="8"/>
    </row>
    <row r="31">
      <c r="A31" s="2"/>
      <c r="B31" s="48" t="s">
        <v>168</v>
      </c>
      <c r="C31" s="70">
        <f>IFERROR(C24/C10,0)</f>
        <v>0.341229722139624</v>
      </c>
      <c r="D31" s="70">
        <f>IFERROR(D24/D10,0)</f>
        <v>0.32994393329984384</v>
      </c>
      <c r="E31" s="70">
        <f>IFERROR(E24/E10,0)</f>
        <v>0.35002628059347307</v>
      </c>
      <c r="F31" s="70">
        <f>IFERROR(F24/F10,0)</f>
        <v>0.3661139537688316</v>
      </c>
      <c r="G31" s="70">
        <f>IFERROR(G24/G10,0)</f>
        <v>0.35162716705816893</v>
      </c>
      <c r="H31" s="70">
        <f>IFERROR(H24/H10,0)</f>
        <v>0.34302699327157954</v>
      </c>
      <c r="I31" s="70">
        <f>IFERROR(I24/I10,0)</f>
        <v>0.36503234400206114</v>
      </c>
      <c r="J31" s="101">
        <v>0.358</v>
      </c>
      <c r="K31" s="2"/>
      <c r="L31" s="8" t="s">
        <v>169</v>
      </c>
    </row>
    <row r="32">
      <c r="A32" s="2"/>
      <c r="B32" s="80" t="s">
        <v>170</v>
      </c>
      <c r="C32" s="67"/>
      <c r="D32" s="67"/>
      <c r="E32" s="67"/>
      <c r="F32" s="67"/>
      <c r="G32" s="67"/>
      <c r="H32" s="67">
        <f>(H31-C31)*10000</f>
        <v>17.97271131955547</v>
      </c>
      <c r="I32" s="67">
        <f>(I31-D31)*10000</f>
        <v>350.884107022173</v>
      </c>
      <c r="J32" s="89">
        <f>(J31-E31)*10000</f>
        <v>79.73719406526914</v>
      </c>
      <c r="K32" s="2"/>
      <c r="L32" s="8"/>
    </row>
    <row r="33">
      <c r="A33" s="2"/>
      <c r="B33" s="80" t="s">
        <v>120</v>
      </c>
      <c r="C33" s="67"/>
      <c r="D33" s="67">
        <f>(D31-C31)*10000</f>
        <v>-112.85788839780153</v>
      </c>
      <c r="E33" s="67">
        <f>(E31-D31)*10000</f>
        <v>200.82347293629232</v>
      </c>
      <c r="F33" s="67">
        <f>(F31-E31)*10000</f>
        <v>160.8767317535853</v>
      </c>
      <c r="G33" s="67"/>
      <c r="H33" s="67">
        <f>(H31-F31)*10000</f>
        <v>-230.86960497252062</v>
      </c>
      <c r="I33" s="67">
        <f>(I31-H31)*10000</f>
        <v>220.05350730481598</v>
      </c>
      <c r="J33" s="89">
        <f>(J31-I31)*10000</f>
        <v>-70.32344002061153</v>
      </c>
      <c r="K33" s="2"/>
      <c r="L33" s="8"/>
    </row>
    <row r="34">
      <c r="A34" s="2"/>
      <c r="B34" s="48" t="s">
        <v>171</v>
      </c>
      <c r="C34" s="70">
        <f>IFERROR(C25/C11,0)</f>
        <v>0.009984844432557892</v>
      </c>
      <c r="D34" s="70">
        <f>IFERROR(D25/D11,0)</f>
        <v>-0.02279781654714751</v>
      </c>
      <c r="E34" s="70">
        <f>IFERROR(E25/E11,0)</f>
        <v>0.08897267875876115</v>
      </c>
      <c r="F34" s="70">
        <f>IFERROR(F25/F11,0)</f>
        <v>-0.10723629444642642</v>
      </c>
      <c r="G34" s="70">
        <f>IFERROR(G25/G11,0)</f>
        <v>-0.009202814748025239</v>
      </c>
      <c r="H34" s="70">
        <f>IFERROR(H25/H11,0)</f>
        <v>-0.3528209479001966</v>
      </c>
      <c r="I34" s="70">
        <f>IFERROR(I25/I11,0)</f>
        <v>-0.03630978068970927</v>
      </c>
      <c r="J34" s="101">
        <v>-0.08</v>
      </c>
      <c r="K34" s="2"/>
      <c r="L34" s="8" t="s">
        <v>172</v>
      </c>
    </row>
    <row r="35">
      <c r="A35" s="2"/>
      <c r="B35" s="80" t="s">
        <v>170</v>
      </c>
      <c r="C35" s="67"/>
      <c r="D35" s="67"/>
      <c r="E35" s="67"/>
      <c r="F35" s="67"/>
      <c r="G35" s="67"/>
      <c r="H35" s="67">
        <f>(H34-C34)*10000</f>
        <v>-3628.0579233275444</v>
      </c>
      <c r="I35" s="67">
        <f>(I34-D34)*10000</f>
        <v>-135.1196414256176</v>
      </c>
      <c r="J35" s="89">
        <f>(J34-E34)*10000</f>
        <v>-1689.7267875876116</v>
      </c>
      <c r="K35" s="2"/>
      <c r="L35" s="8"/>
    </row>
    <row r="36">
      <c r="A36" s="2"/>
      <c r="B36" s="80" t="s">
        <v>120</v>
      </c>
      <c r="C36" s="67"/>
      <c r="D36" s="67">
        <f>(D34-C34)*10000</f>
        <v>-327.82660979705406</v>
      </c>
      <c r="E36" s="67">
        <f>(E34-D34)*10000</f>
        <v>1117.7049530590866</v>
      </c>
      <c r="F36" s="67">
        <f>(F34-E34)*10000</f>
        <v>-1962.0897320518757</v>
      </c>
      <c r="G36" s="67"/>
      <c r="H36" s="67">
        <f>(H34-F34)*10000</f>
        <v>-2455.8465345377017</v>
      </c>
      <c r="I36" s="67">
        <f>(I34-H34)*10000</f>
        <v>3165.1116721048734</v>
      </c>
      <c r="J36" s="89">
        <f>(J34-I34)*10000</f>
        <v>-436.90219310290735</v>
      </c>
      <c r="K36" s="2"/>
      <c r="L36" s="8"/>
    </row>
    <row r="37">
      <c r="A37" s="2"/>
      <c r="B37" s="48" t="s">
        <v>173</v>
      </c>
      <c r="C37" s="70">
        <f>IFERROR(C26/C12,0)</f>
        <v>0.012885635317845761</v>
      </c>
      <c r="D37" s="70">
        <f>IFERROR(D26/D12,0)</f>
        <v>0.09258204925710292</v>
      </c>
      <c r="E37" s="70">
        <f>IFERROR(E26/E12,0)</f>
        <v>0.11556639991809846</v>
      </c>
      <c r="F37" s="70">
        <f>IFERROR(F26/F12,0)</f>
        <v>0.16861454669238626</v>
      </c>
      <c r="G37" s="70">
        <f>IFERROR(G26/G12,0)</f>
        <v>0.10033509275279794</v>
      </c>
      <c r="H37" s="70">
        <f>IFERROR(H26/H12,0)</f>
        <v>0.13275909436157657</v>
      </c>
      <c r="I37" s="70">
        <f>IFERROR(I26/I12,0)</f>
        <v>0.1865320255566984</v>
      </c>
      <c r="J37" s="101">
        <v>0.17</v>
      </c>
      <c r="K37" s="2"/>
      <c r="L37" s="8" t="s">
        <v>174</v>
      </c>
    </row>
    <row r="38">
      <c r="A38" s="2"/>
      <c r="B38" s="80" t="s">
        <v>170</v>
      </c>
      <c r="C38" s="67"/>
      <c r="D38" s="67"/>
      <c r="E38" s="67"/>
      <c r="F38" s="67"/>
      <c r="G38" s="67"/>
      <c r="H38" s="67">
        <f>(H37-C37)*10000</f>
        <v>1198.734590437308</v>
      </c>
      <c r="I38" s="67">
        <f>(I37-D37)*10000</f>
        <v>939.4997629959548</v>
      </c>
      <c r="J38" s="89">
        <f>(J37-E37)*10000</f>
        <v>544.3360008190156</v>
      </c>
      <c r="K38" s="2"/>
      <c r="L38" s="8"/>
    </row>
    <row r="39">
      <c r="A39" s="2"/>
      <c r="B39" s="80" t="s">
        <v>120</v>
      </c>
      <c r="C39" s="67"/>
      <c r="D39" s="67">
        <f>(D37-C37)*10000</f>
        <v>796.9641393925716</v>
      </c>
      <c r="E39" s="67">
        <f>(E37-D37)*10000</f>
        <v>229.84350660995537</v>
      </c>
      <c r="F39" s="67">
        <f>(F37-E37)*10000</f>
        <v>530.4814677428781</v>
      </c>
      <c r="G39" s="67"/>
      <c r="H39" s="67">
        <f>(H37-F37)*10000</f>
        <v>-358.554523308097</v>
      </c>
      <c r="I39" s="67">
        <f>(I37-H37)*10000</f>
        <v>537.7293119512183</v>
      </c>
      <c r="J39" s="89">
        <f>(J37-I37)*10000</f>
        <v>-165.3202555669839</v>
      </c>
      <c r="K39" s="2"/>
      <c r="L39" s="8"/>
    </row>
    <row r="40">
      <c r="A40" s="2"/>
      <c r="B40" s="48" t="s">
        <v>175</v>
      </c>
      <c r="C40" s="70">
        <f>IFERROR(C27/C13,0)</f>
        <v>0.5708084443290172</v>
      </c>
      <c r="D40" s="70">
        <f>IFERROR(D27/D13,0)</f>
        <v>0.39570647931303676</v>
      </c>
      <c r="E40" s="70">
        <f>IFERROR(E27/E13,0)</f>
        <v>0.43751207262893566</v>
      </c>
      <c r="F40" s="70">
        <f>IFERROR(F27/F13,0)</f>
        <v>0.2880875598553699</v>
      </c>
      <c r="G40" s="70">
        <f>IFERROR(G27/G13,0)</f>
        <v>0.46283347141673575</v>
      </c>
      <c r="H40" s="70">
        <f>IFERROR(H27/H13,0)</f>
        <v>0.23868229587712214</v>
      </c>
      <c r="I40" s="70">
        <f>IFERROR(I27/I13,0)</f>
        <v>0.3107225404481962</v>
      </c>
      <c r="J40" s="101">
        <v>0.28</v>
      </c>
      <c r="K40" s="2"/>
      <c r="L40" s="8" t="s">
        <v>176</v>
      </c>
    </row>
    <row r="41">
      <c r="A41" s="2"/>
      <c r="B41" s="80" t="s">
        <v>170</v>
      </c>
      <c r="C41" s="67"/>
      <c r="D41" s="67"/>
      <c r="E41" s="67"/>
      <c r="F41" s="67"/>
      <c r="G41" s="67"/>
      <c r="H41" s="67">
        <f>(H40-C40)*10000</f>
        <v>-3321.261484518951</v>
      </c>
      <c r="I41" s="67">
        <f>(I40-D40)*10000</f>
        <v>-849.8393886484057</v>
      </c>
      <c r="J41" s="89">
        <f>(J40-E40)*10000</f>
        <v>-1575.1207262893563</v>
      </c>
      <c r="K41" s="2"/>
      <c r="L41" s="8"/>
    </row>
    <row r="42">
      <c r="A42" s="2"/>
      <c r="B42" s="80" t="s">
        <v>120</v>
      </c>
      <c r="C42" s="67"/>
      <c r="D42" s="67">
        <f>(D40-C40)*10000</f>
        <v>-1751.0196501598045</v>
      </c>
      <c r="E42" s="67">
        <f>(E40-D40)*10000</f>
        <v>418.0559331589889</v>
      </c>
      <c r="F42" s="67">
        <f>(F40-E40)*10000</f>
        <v>-1494.2451277356577</v>
      </c>
      <c r="G42" s="67"/>
      <c r="H42" s="67">
        <f>(H40-F40)*10000</f>
        <v>-494.0526397824774</v>
      </c>
      <c r="I42" s="67">
        <f>(I40-H40)*10000</f>
        <v>720.4024457107405</v>
      </c>
      <c r="J42" s="89">
        <f>(J40-I40)*10000</f>
        <v>-307.2254044819617</v>
      </c>
      <c r="K42" s="2"/>
      <c r="L42" s="8"/>
    </row>
    <row r="43">
      <c r="A43" s="2"/>
      <c r="B43" s="141" t="s">
        <v>177</v>
      </c>
      <c r="C43" s="132">
        <f>C28/C14</f>
        <v>0.27208983470389947</v>
      </c>
      <c r="D43" s="132">
        <f>D28/D14</f>
        <v>0.26697853165919816</v>
      </c>
      <c r="E43" s="132">
        <f>E28/E14</f>
        <v>0.2922176754365685</v>
      </c>
      <c r="F43" s="132">
        <f>F28/F14</f>
        <v>0.30847401833394833</v>
      </c>
      <c r="G43" s="132">
        <f>G28/G14</f>
        <v>0.2902182516351333</v>
      </c>
      <c r="H43" s="132">
        <f>H28/H14</f>
        <v>0.30030330708577535</v>
      </c>
      <c r="I43" s="132">
        <f>I28/I14</f>
        <v>0.3337560366634909</v>
      </c>
      <c r="J43" s="140">
        <f>J28/J14</f>
        <v>0.32726287262872633</v>
      </c>
      <c r="K43" s="2"/>
      <c r="L43" s="8"/>
    </row>
    <row r="44">
      <c r="A44" s="2"/>
      <c r="B44" s="80" t="s">
        <v>170</v>
      </c>
      <c r="C44" s="67"/>
      <c r="D44" s="67"/>
      <c r="E44" s="67"/>
      <c r="F44" s="67"/>
      <c r="G44" s="67"/>
      <c r="H44" s="67">
        <f>(H43-C43)*10000</f>
        <v>282.1347238187588</v>
      </c>
      <c r="I44" s="67">
        <f>(I43-D43)*10000</f>
        <v>667.7750500429274</v>
      </c>
      <c r="J44" s="89">
        <f>(J43-E43)*10000</f>
        <v>350.45197192157815</v>
      </c>
      <c r="K44" s="2"/>
      <c r="L44" s="8"/>
    </row>
    <row r="45">
      <c r="A45" s="2"/>
      <c r="B45" s="80" t="s">
        <v>120</v>
      </c>
      <c r="C45" s="67"/>
      <c r="D45" s="67">
        <f>(D43-C43)*10000</f>
        <v>-51.113030447013095</v>
      </c>
      <c r="E45" s="67">
        <f>(E43-D43)*10000</f>
        <v>252.39143777370353</v>
      </c>
      <c r="F45" s="67">
        <f>(F43-E43)*10000</f>
        <v>162.56342897379815</v>
      </c>
      <c r="G45" s="67"/>
      <c r="H45" s="67">
        <f>(H43-F43)*10000</f>
        <v>-81.7071124817298</v>
      </c>
      <c r="I45" s="67">
        <f>(I43-H43)*10000</f>
        <v>334.5272957771556</v>
      </c>
      <c r="J45" s="89">
        <f>(J43-I43)*10000</f>
        <v>-64.93164034764575</v>
      </c>
      <c r="K45" s="2"/>
      <c r="L45" s="8"/>
    </row>
    <row r="46">
      <c r="A46" s="2"/>
      <c r="B46" s="30" t="s">
        <v>178</v>
      </c>
      <c r="C46" s="16"/>
      <c r="D46" s="16"/>
      <c r="E46" s="16"/>
      <c r="F46" s="16"/>
      <c r="G46" s="16"/>
      <c r="H46" s="16"/>
      <c r="I46" s="16"/>
      <c r="J46" s="4"/>
      <c r="K46" s="2"/>
      <c r="L46" s="8"/>
    </row>
    <row r="47">
      <c r="A47" s="2"/>
      <c r="B47" s="21" t="s">
        <v>179</v>
      </c>
      <c r="C47" s="11">
        <v>40.612</v>
      </c>
      <c r="D47" s="11">
        <v>40.768</v>
      </c>
      <c r="E47" s="11">
        <v>48.724</v>
      </c>
      <c r="F47" s="11">
        <v>55.889</v>
      </c>
      <c r="G47" s="6">
        <f>SUM(C47:F47)</f>
        <v>185.993</v>
      </c>
      <c r="H47" s="11">
        <v>56.849</v>
      </c>
      <c r="I47" s="11">
        <v>58.873</v>
      </c>
      <c r="J47" s="24">
        <v>61</v>
      </c>
      <c r="K47" s="2"/>
      <c r="L47" s="8" t="s">
        <v>180</v>
      </c>
    </row>
    <row r="48">
      <c r="A48" s="2"/>
      <c r="B48" s="80" t="s">
        <v>181</v>
      </c>
      <c r="C48" s="70">
        <f>C47/C14</f>
        <v>0.12456866275485322</v>
      </c>
      <c r="D48" s="70">
        <f>D47/D14</f>
        <v>0.1016045179716979</v>
      </c>
      <c r="E48" s="70">
        <f>E47/E14</f>
        <v>0.09387185770872827</v>
      </c>
      <c r="F48" s="70">
        <f>F47/F14</f>
        <v>0.07186604310496694</v>
      </c>
      <c r="G48" s="70">
        <f>G47/G14</f>
        <v>0.09189404711674047</v>
      </c>
      <c r="H48" s="70">
        <f>H47/H14</f>
        <v>0.07569229376316483</v>
      </c>
      <c r="I48" s="70">
        <f>I47/I14</f>
        <v>0.055260873034124455</v>
      </c>
      <c r="J48" s="69">
        <f>J47/J14</f>
        <v>0.05510388437217705</v>
      </c>
      <c r="K48" s="2"/>
      <c r="L48" s="8"/>
    </row>
    <row r="49">
      <c r="A49" s="2"/>
      <c r="B49" s="138" t="s">
        <v>120</v>
      </c>
      <c r="C49" s="67"/>
      <c r="D49" s="67">
        <f>(D48-C48)*10000</f>
        <v>-229.64144783155325</v>
      </c>
      <c r="E49" s="67">
        <f>(E48-D48)*10000</f>
        <v>-77.32660262969621</v>
      </c>
      <c r="F49" s="67">
        <f>(F48-E48)*10000</f>
        <v>-220.0581460376133</v>
      </c>
      <c r="G49" s="67"/>
      <c r="H49" s="67">
        <f>(H48-F48)*10000</f>
        <v>38.26250658197888</v>
      </c>
      <c r="I49" s="67">
        <f>(I48-H48)*10000</f>
        <v>-204.31420729040374</v>
      </c>
      <c r="J49" s="89">
        <f>(J48-I48)*10000</f>
        <v>-1.5698866194740342</v>
      </c>
      <c r="K49" s="2"/>
      <c r="L49" s="8"/>
    </row>
    <row r="50">
      <c r="A50" s="2"/>
      <c r="B50" s="21" t="s">
        <v>182</v>
      </c>
      <c r="C50" s="11">
        <v>22.265</v>
      </c>
      <c r="D50" s="11">
        <v>24.066</v>
      </c>
      <c r="E50" s="11">
        <v>41.995</v>
      </c>
      <c r="F50" s="11">
        <v>41.902</v>
      </c>
      <c r="G50" s="6">
        <f>SUM(C50:F50)</f>
        <v>130.228</v>
      </c>
      <c r="H50" s="11">
        <v>38.439</v>
      </c>
      <c r="I50" s="11">
        <v>43.045</v>
      </c>
      <c r="J50" s="24">
        <v>45</v>
      </c>
      <c r="K50" s="2"/>
      <c r="L50" s="8" t="s">
        <v>183</v>
      </c>
    </row>
    <row r="51">
      <c r="A51" s="2"/>
      <c r="B51" s="80" t="s">
        <v>181</v>
      </c>
      <c r="C51" s="70">
        <f>C50/C14</f>
        <v>0.06829314676048476</v>
      </c>
      <c r="D51" s="70">
        <f>D50/D14</f>
        <v>0.05997876593178182</v>
      </c>
      <c r="E51" s="70">
        <f>E50/E14</f>
        <v>0.08090773878331098</v>
      </c>
      <c r="F51" s="70">
        <f>F50/F14</f>
        <v>0.0538805657317956</v>
      </c>
      <c r="G51" s="70">
        <f>G50/G14</f>
        <v>0.06434208797061652</v>
      </c>
      <c r="H51" s="70">
        <f>H50/H14</f>
        <v>0.05118007493469178</v>
      </c>
      <c r="I51" s="70">
        <f>I50/I14</f>
        <v>0.040403992997705016</v>
      </c>
      <c r="J51" s="69">
        <f>J50/J14</f>
        <v>0.04065040650406504</v>
      </c>
      <c r="K51" s="2"/>
      <c r="L51" s="8"/>
    </row>
    <row r="52">
      <c r="A52" s="2"/>
      <c r="B52" s="138" t="s">
        <v>120</v>
      </c>
      <c r="C52" s="67"/>
      <c r="D52" s="67">
        <f>(D51-C51)*10000</f>
        <v>-83.14380828702936</v>
      </c>
      <c r="E52" s="67">
        <f>(E51-D51)*10000</f>
        <v>209.28972851529156</v>
      </c>
      <c r="F52" s="67">
        <f>(F51-E51)*10000</f>
        <v>-270.27173051515376</v>
      </c>
      <c r="G52" s="67"/>
      <c r="H52" s="67">
        <f>(H51-F51)*10000</f>
        <v>-27.004907971038204</v>
      </c>
      <c r="I52" s="67">
        <f>(I51-H51)*10000</f>
        <v>-107.76081936986766</v>
      </c>
      <c r="J52" s="89">
        <f>(J51-I51)*10000</f>
        <v>2.464135063600242</v>
      </c>
      <c r="K52" s="2"/>
      <c r="L52" s="8"/>
    </row>
    <row r="53">
      <c r="A53" s="2"/>
      <c r="B53" s="21" t="s">
        <v>184</v>
      </c>
      <c r="C53" s="11">
        <v>44.9</v>
      </c>
      <c r="D53" s="11">
        <v>45.792</v>
      </c>
      <c r="E53" s="11">
        <v>53.11</v>
      </c>
      <c r="F53" s="11">
        <v>54.575</v>
      </c>
      <c r="G53" s="6">
        <f>SUM(C53:F53)</f>
        <v>198.377</v>
      </c>
      <c r="H53" s="11">
        <v>58.066</v>
      </c>
      <c r="I53" s="11">
        <v>71.417</v>
      </c>
      <c r="J53" s="24">
        <v>70</v>
      </c>
      <c r="K53" s="2"/>
      <c r="L53" s="8" t="s">
        <v>185</v>
      </c>
    </row>
    <row r="54">
      <c r="A54" s="2"/>
      <c r="B54" s="80" t="s">
        <v>181</v>
      </c>
      <c r="C54" s="70">
        <f>C53/C14</f>
        <v>0.13772118973931127</v>
      </c>
      <c r="D54" s="70">
        <f>D53/D14</f>
        <v>0.11412563988814732</v>
      </c>
      <c r="E54" s="70">
        <f>E53/E14</f>
        <v>0.1023219432499499</v>
      </c>
      <c r="F54" s="70">
        <f>F53/F14</f>
        <v>0.07017640863950993</v>
      </c>
      <c r="G54" s="70">
        <f>G53/G14</f>
        <v>0.09801264232996738</v>
      </c>
      <c r="H54" s="70">
        <f>H53/H14</f>
        <v>0.07731268324248323</v>
      </c>
      <c r="I54" s="70">
        <f>I53/I14</f>
        <v>0.0670352414430735</v>
      </c>
      <c r="J54" s="69">
        <f>J53/J14</f>
        <v>0.06323396567299007</v>
      </c>
      <c r="K54" s="2"/>
      <c r="L54" s="8"/>
    </row>
    <row r="55">
      <c r="A55" s="2"/>
      <c r="B55" s="138" t="s">
        <v>120</v>
      </c>
      <c r="C55" s="67"/>
      <c r="D55" s="67">
        <f>(D54-C54)*10000</f>
        <v>-235.95549851163952</v>
      </c>
      <c r="E55" s="67">
        <f>(E54-D54)*10000</f>
        <v>-118.03696638197414</v>
      </c>
      <c r="F55" s="67">
        <f>(F54-E54)*10000</f>
        <v>-321.4553461043998</v>
      </c>
      <c r="G55" s="67"/>
      <c r="H55" s="67">
        <f>(H54-F54)*10000</f>
        <v>71.36274602973309</v>
      </c>
      <c r="I55" s="67">
        <f>(I54-H54)*10000</f>
        <v>-102.7744179940973</v>
      </c>
      <c r="J55" s="89">
        <f>(J54-I54)*10000</f>
        <v>-38.01275770083434</v>
      </c>
      <c r="K55" s="2"/>
      <c r="L55" s="8"/>
    </row>
    <row r="56">
      <c r="A56" s="2"/>
      <c r="B56" s="17" t="s">
        <v>186</v>
      </c>
      <c r="C56" s="14">
        <f>C47+C50+C53</f>
        <v>107.777</v>
      </c>
      <c r="D56" s="14">
        <f>D47+D50+D53</f>
        <v>110.626</v>
      </c>
      <c r="E56" s="14">
        <f>E47+E50+E53</f>
        <v>143.829</v>
      </c>
      <c r="F56" s="14">
        <f>F47+F50+F53</f>
        <v>152.36599999999999</v>
      </c>
      <c r="G56" s="14">
        <f>G47+G50+G53</f>
        <v>514.598</v>
      </c>
      <c r="H56" s="14">
        <f>H47+H50+H53</f>
        <v>153.35399999999998</v>
      </c>
      <c r="I56" s="14">
        <f>I47+I50+I53</f>
        <v>173.335</v>
      </c>
      <c r="J56" s="28">
        <f>J47+J50+J53</f>
        <v>176</v>
      </c>
      <c r="K56" s="2"/>
      <c r="L56" s="8"/>
    </row>
    <row r="57">
      <c r="A57" s="2"/>
      <c r="B57" s="48" t="s">
        <v>79</v>
      </c>
      <c r="C57" s="70"/>
      <c r="D57" s="70"/>
      <c r="E57" s="70"/>
      <c r="F57" s="70"/>
      <c r="G57" s="70"/>
      <c r="H57" s="70">
        <f>H56/C56-1</f>
        <v>0.4228824331721981</v>
      </c>
      <c r="I57" s="70">
        <f>I56/D56-1</f>
        <v>0.5668558928280873</v>
      </c>
      <c r="J57" s="69">
        <f>J56/E56-1</f>
        <v>0.223675336684535</v>
      </c>
      <c r="K57" s="2"/>
      <c r="L57" s="8"/>
    </row>
    <row r="58">
      <c r="A58" s="2"/>
      <c r="B58" s="17" t="s">
        <v>187</v>
      </c>
      <c r="C58" s="14">
        <f>C28-C56</f>
        <v>-19.069999999999993</v>
      </c>
      <c r="D58" s="14">
        <f>D28-D56</f>
        <v>-3.5030000000000285</v>
      </c>
      <c r="E58" s="14">
        <f>E28-E56</f>
        <v>7.846000000000004</v>
      </c>
      <c r="F58" s="14">
        <f>F28-F56</f>
        <v>87.52899999999997</v>
      </c>
      <c r="G58" s="14">
        <f>G28-G56</f>
        <v>72.80200000000002</v>
      </c>
      <c r="H58" s="14">
        <f>H28-H56</f>
        <v>72.18999999999994</v>
      </c>
      <c r="I58" s="14">
        <f>I28-I56</f>
        <v>182.237</v>
      </c>
      <c r="J58" s="28">
        <f>J28-J56</f>
        <v>186.28000000000003</v>
      </c>
      <c r="K58" s="2"/>
      <c r="L58" s="8"/>
    </row>
    <row r="59">
      <c r="A59" s="2"/>
      <c r="B59" s="48" t="s">
        <v>79</v>
      </c>
      <c r="C59" s="70"/>
      <c r="D59" s="70"/>
      <c r="E59" s="70"/>
      <c r="F59" s="70"/>
      <c r="G59" s="70"/>
      <c r="H59" s="70" t="str">
        <f>IF(C58&lt;=0,"n/m",H58/C58-1)</f>
        <v>n/m</v>
      </c>
      <c r="I59" s="70" t="str">
        <f>IF(D58&lt;=0,"n/m",I58/D58-1)</f>
        <v>n/m</v>
      </c>
      <c r="J59" s="69">
        <f>IF(E58&lt;=0,"n/m",J58/E58-1)</f>
        <v>22.742034157532494</v>
      </c>
      <c r="K59" s="2"/>
      <c r="L59" s="8"/>
    </row>
    <row r="60">
      <c r="A60" s="2"/>
      <c r="B60" s="48" t="s">
        <v>188</v>
      </c>
      <c r="C60" s="70">
        <f>C58/C14</f>
        <v>-0.05849316455074977</v>
      </c>
      <c r="D60" s="70">
        <f>D58/D14</f>
        <v>-0.00873039213242888</v>
      </c>
      <c r="E60" s="70">
        <f>E58/E14</f>
        <v>0.015116135694579313</v>
      </c>
      <c r="F60" s="70">
        <f>F58/F14</f>
        <v>0.1125510008576759</v>
      </c>
      <c r="G60" s="70">
        <f>G58/G14</f>
        <v>0.03596947421780896</v>
      </c>
      <c r="H60" s="70">
        <f>H58/H14</f>
        <v>0.09611825514543554</v>
      </c>
      <c r="I60" s="70">
        <f>I58/I14</f>
        <v>0.17105592918858795</v>
      </c>
      <c r="J60" s="69">
        <f>J58/J14</f>
        <v>0.16827461607949415</v>
      </c>
      <c r="K60" s="2"/>
      <c r="L60" s="8"/>
    </row>
    <row r="61">
      <c r="A61" s="2"/>
      <c r="B61" s="80" t="s">
        <v>170</v>
      </c>
      <c r="C61" s="67"/>
      <c r="D61" s="67"/>
      <c r="E61" s="67"/>
      <c r="F61" s="67"/>
      <c r="G61" s="67"/>
      <c r="H61" s="67">
        <f>(H60-C60)*10000</f>
        <v>1546.114196961853</v>
      </c>
      <c r="I61" s="67">
        <f>(I60-D60)*10000</f>
        <v>1797.8632132101682</v>
      </c>
      <c r="J61" s="89">
        <f>(J60-E60)*10000</f>
        <v>1531.5848038491483</v>
      </c>
      <c r="K61" s="2"/>
      <c r="L61" s="8"/>
    </row>
    <row r="62">
      <c r="A62" s="2"/>
      <c r="B62" s="80" t="s">
        <v>120</v>
      </c>
      <c r="C62" s="67"/>
      <c r="D62" s="67">
        <f>(D60-C60)*10000</f>
        <v>497.6277241832089</v>
      </c>
      <c r="E62" s="67">
        <f>(E60-D60)*10000</f>
        <v>238.46527827008194</v>
      </c>
      <c r="F62" s="67">
        <f>(F60-E60)*10000</f>
        <v>974.3486516309658</v>
      </c>
      <c r="G62" s="67"/>
      <c r="H62" s="67">
        <f>(H60-F60)*10000</f>
        <v>-164.32745712240362</v>
      </c>
      <c r="I62" s="67">
        <f>(I60-H60)*10000</f>
        <v>749.3767404315241</v>
      </c>
      <c r="J62" s="89">
        <f>(J60-I60)*10000</f>
        <v>-27.813131090937972</v>
      </c>
      <c r="K62" s="2"/>
      <c r="L62" s="8"/>
    </row>
    <row r="63">
      <c r="A63" s="2"/>
      <c r="B63" s="30" t="s">
        <v>189</v>
      </c>
      <c r="C63" s="16"/>
      <c r="D63" s="16"/>
      <c r="E63" s="16"/>
      <c r="F63" s="16"/>
      <c r="G63" s="16"/>
      <c r="H63" s="16"/>
      <c r="I63" s="16"/>
      <c r="J63" s="4"/>
      <c r="K63" s="2"/>
      <c r="L63" s="8"/>
    </row>
    <row r="64">
      <c r="A64" s="2"/>
      <c r="B64" s="21" t="s">
        <v>190</v>
      </c>
      <c r="C64" s="11">
        <v>8.553</v>
      </c>
      <c r="D64" s="11">
        <v>6.623</v>
      </c>
      <c r="E64" s="11">
        <v>5.292</v>
      </c>
      <c r="F64" s="11">
        <v>13.602</v>
      </c>
      <c r="G64" s="6">
        <f>SUM(C64:F64)</f>
        <v>34.07</v>
      </c>
      <c r="H64" s="11">
        <v>20.601</v>
      </c>
      <c r="I64" s="11">
        <v>20.881</v>
      </c>
      <c r="J64" s="24">
        <v>21</v>
      </c>
      <c r="K64" s="2"/>
      <c r="L64" s="8" t="s">
        <v>191</v>
      </c>
    </row>
    <row r="65">
      <c r="A65" s="2"/>
      <c r="B65" s="21" t="s">
        <v>192</v>
      </c>
      <c r="C65" s="11">
        <v>-14.411</v>
      </c>
      <c r="D65" s="11">
        <v>-14.44</v>
      </c>
      <c r="E65" s="11">
        <v>-14.39</v>
      </c>
      <c r="F65" s="11">
        <v>-10.647</v>
      </c>
      <c r="G65" s="6">
        <f>SUM(C65:F65)</f>
        <v>-53.888</v>
      </c>
      <c r="H65" s="11">
        <v>-8.604</v>
      </c>
      <c r="I65" s="11">
        <v>-8.906</v>
      </c>
      <c r="J65" s="24">
        <v>-9</v>
      </c>
      <c r="K65" s="2"/>
      <c r="L65" s="8" t="s">
        <v>193</v>
      </c>
    </row>
    <row r="66" ht="19.5">
      <c r="A66" s="2"/>
      <c r="B66" s="18" t="s">
        <v>194</v>
      </c>
      <c r="C66" s="11">
        <v>0</v>
      </c>
      <c r="D66" s="11">
        <v>0</v>
      </c>
      <c r="E66" s="11">
        <v>-19.599</v>
      </c>
      <c r="F66" s="11">
        <v>-20.822</v>
      </c>
      <c r="G66" s="6">
        <f>SUM(C66:F66)</f>
        <v>-40.421</v>
      </c>
      <c r="H66" s="11">
        <v>-17.002</v>
      </c>
      <c r="I66" s="11">
        <v>4.346</v>
      </c>
      <c r="J66" s="24">
        <v>-8</v>
      </c>
      <c r="K66" s="2"/>
      <c r="L66" s="8" t="s">
        <v>195</v>
      </c>
    </row>
    <row r="67">
      <c r="A67" s="2"/>
      <c r="B67" s="21" t="s">
        <v>196</v>
      </c>
      <c r="C67" s="11">
        <v>2.048</v>
      </c>
      <c r="D67" s="11">
        <v>2.373</v>
      </c>
      <c r="E67" s="11">
        <v>-1.362</v>
      </c>
      <c r="F67" s="11">
        <v>-0.909</v>
      </c>
      <c r="G67" s="6">
        <f>SUM(C67:F67)</f>
        <v>2.1500000000000004</v>
      </c>
      <c r="H67" s="11">
        <v>6.197</v>
      </c>
      <c r="I67" s="11">
        <v>2.307</v>
      </c>
      <c r="J67" s="24">
        <v>-2</v>
      </c>
      <c r="K67" s="2"/>
      <c r="L67" s="8" t="s">
        <v>197</v>
      </c>
    </row>
    <row r="68">
      <c r="A68" s="2"/>
      <c r="B68" s="21" t="s">
        <v>198</v>
      </c>
      <c r="C68" s="11">
        <v>0</v>
      </c>
      <c r="D68" s="11">
        <v>-32.34</v>
      </c>
      <c r="E68" s="11">
        <v>0</v>
      </c>
      <c r="F68" s="11">
        <v>0</v>
      </c>
      <c r="G68" s="6">
        <f>SUM(C68:F68)</f>
        <v>-32.34</v>
      </c>
      <c r="H68" s="11">
        <v>0</v>
      </c>
      <c r="I68" s="11">
        <v>0</v>
      </c>
      <c r="J68" s="24">
        <v>0</v>
      </c>
      <c r="K68" s="2"/>
      <c r="L68" s="8"/>
    </row>
    <row r="69">
      <c r="A69" s="2"/>
      <c r="B69" s="21" t="s">
        <v>199</v>
      </c>
      <c r="C69" s="11">
        <v>0</v>
      </c>
      <c r="D69" s="11">
        <v>0</v>
      </c>
      <c r="E69" s="11">
        <v>0</v>
      </c>
      <c r="F69" s="11">
        <v>-66.241</v>
      </c>
      <c r="G69" s="6">
        <f>SUM(C69:F69)</f>
        <v>-66.241</v>
      </c>
      <c r="H69" s="11">
        <v>0</v>
      </c>
      <c r="I69" s="11">
        <v>0</v>
      </c>
      <c r="J69" s="24">
        <v>0</v>
      </c>
      <c r="K69" s="2"/>
      <c r="L69" s="8"/>
    </row>
    <row r="70" ht="19.5">
      <c r="A70" s="2"/>
      <c r="B70" s="18" t="s">
        <v>200</v>
      </c>
      <c r="C70" s="11">
        <v>-0.103</v>
      </c>
      <c r="D70" s="11">
        <v>0.112</v>
      </c>
      <c r="E70" s="11">
        <v>-0.411</v>
      </c>
      <c r="F70" s="11">
        <v>-0.135</v>
      </c>
      <c r="G70" s="6">
        <f>SUM(C70:F70)</f>
        <v>-0.5369999999999999</v>
      </c>
      <c r="H70" s="11">
        <v>0.754</v>
      </c>
      <c r="I70" s="11">
        <v>-0.539</v>
      </c>
      <c r="J70" s="24">
        <v>0</v>
      </c>
      <c r="K70" s="2"/>
      <c r="L70" s="8"/>
    </row>
    <row r="71">
      <c r="A71" s="2"/>
      <c r="B71" s="17" t="s">
        <v>201</v>
      </c>
      <c r="C71" s="14">
        <f>SUM(C64:C70)</f>
        <v>-3.912999999999999</v>
      </c>
      <c r="D71" s="14">
        <f>SUM(D64:D70)</f>
        <v>-37.672000000000004</v>
      </c>
      <c r="E71" s="14">
        <f>SUM(E64:E70)</f>
        <v>-30.47</v>
      </c>
      <c r="F71" s="14">
        <f>SUM(F64:F70)</f>
        <v>-85.152</v>
      </c>
      <c r="G71" s="14">
        <f>SUM(G64:G70)</f>
        <v>-157.207</v>
      </c>
      <c r="H71" s="14">
        <f>SUM(H64:H70)</f>
        <v>1.946000000000001</v>
      </c>
      <c r="I71" s="14">
        <f>SUM(I64:I70)</f>
        <v>18.089</v>
      </c>
      <c r="J71" s="28">
        <f>SUM(J64:J70)</f>
        <v>2</v>
      </c>
      <c r="K71" s="2"/>
      <c r="L71" s="8"/>
    </row>
    <row r="72">
      <c r="A72" s="2"/>
      <c r="B72" s="17" t="s">
        <v>202</v>
      </c>
      <c r="C72" s="14">
        <f>C58+C71</f>
        <v>-22.982999999999993</v>
      </c>
      <c r="D72" s="14">
        <f>D58+D71</f>
        <v>-41.17500000000003</v>
      </c>
      <c r="E72" s="14">
        <f>E58+E71</f>
        <v>-22.623999999999995</v>
      </c>
      <c r="F72" s="14">
        <f>F58+F71</f>
        <v>2.376999999999967</v>
      </c>
      <c r="G72" s="14">
        <f>G58+G71</f>
        <v>-84.40499999999997</v>
      </c>
      <c r="H72" s="14">
        <f>H58+H71</f>
        <v>74.13599999999994</v>
      </c>
      <c r="I72" s="14">
        <f>I58+I71</f>
        <v>200.326</v>
      </c>
      <c r="J72" s="28">
        <f>J58+J71</f>
        <v>188.28000000000003</v>
      </c>
      <c r="K72" s="2"/>
      <c r="L72" s="8"/>
    </row>
    <row r="73">
      <c r="A73" s="2"/>
      <c r="B73" s="21" t="s">
        <v>203</v>
      </c>
      <c r="C73" s="11">
        <v>0.431</v>
      </c>
      <c r="D73" s="11">
        <v>1.017</v>
      </c>
      <c r="E73" s="11">
        <v>0.336</v>
      </c>
      <c r="F73" s="11">
        <v>0.952</v>
      </c>
      <c r="G73" s="6">
        <f>SUM(C73:F73)</f>
        <v>2.7359999999999998</v>
      </c>
      <c r="H73" s="11">
        <v>0.445</v>
      </c>
      <c r="I73" s="11">
        <v>1.47</v>
      </c>
      <c r="J73" s="24">
        <v>1.5</v>
      </c>
      <c r="K73" s="2"/>
      <c r="L73" s="8" t="s">
        <v>204</v>
      </c>
    </row>
    <row r="74">
      <c r="A74" s="2"/>
      <c r="B74" s="80" t="s">
        <v>205</v>
      </c>
      <c r="C74" s="70">
        <f>IFERROR(C73/C72,0)</f>
        <v>-0.018752991341426276</v>
      </c>
      <c r="D74" s="70">
        <f>IFERROR(D73/D72,0)</f>
        <v>-0.024699453551912547</v>
      </c>
      <c r="E74" s="70">
        <f>IFERROR(E73/E72,0)</f>
        <v>-0.014851485148514856</v>
      </c>
      <c r="F74" s="70">
        <f>IFERROR(F73/F72,0)</f>
        <v>0.40050483803113723</v>
      </c>
      <c r="G74" s="70">
        <f>IFERROR(G73/G72,0)</f>
        <v>-0.03241514128309935</v>
      </c>
      <c r="H74" s="70">
        <f>IFERROR(H73/H72,0)</f>
        <v>0.006002481925110613</v>
      </c>
      <c r="I74" s="70">
        <f>IFERROR(I73/I72,0)</f>
        <v>0.00733803899643581</v>
      </c>
      <c r="J74" s="69">
        <f>IFERROR(J73/J72,0)</f>
        <v>0.007966857871255575</v>
      </c>
      <c r="K74" s="2"/>
      <c r="L74" s="8"/>
    </row>
    <row r="75">
      <c r="A75" s="2"/>
      <c r="B75" s="138" t="s">
        <v>120</v>
      </c>
      <c r="C75" s="67"/>
      <c r="D75" s="67">
        <f>(D74-C74)*10000</f>
        <v>-59.464622104862705</v>
      </c>
      <c r="E75" s="67">
        <f>(E74-D74)*10000</f>
        <v>98.47968403397691</v>
      </c>
      <c r="F75" s="67">
        <f>(F74-E74)*10000</f>
        <v>4153.563231796521</v>
      </c>
      <c r="G75" s="67"/>
      <c r="H75" s="67">
        <f>(H74-F74)*10000</f>
        <v>-3945.0235610602663</v>
      </c>
      <c r="I75" s="67">
        <f>(I74-H74)*10000</f>
        <v>13.355570713251968</v>
      </c>
      <c r="J75" s="89">
        <f>(J74-I74)*10000</f>
        <v>6.288188748197658</v>
      </c>
      <c r="K75" s="2"/>
      <c r="L75" s="8"/>
    </row>
    <row r="76">
      <c r="A76" s="2"/>
      <c r="B76" s="17" t="s">
        <v>206</v>
      </c>
      <c r="C76" s="14">
        <f>C72-C73</f>
        <v>-23.413999999999994</v>
      </c>
      <c r="D76" s="14">
        <f>D72-D73</f>
        <v>-42.192000000000036</v>
      </c>
      <c r="E76" s="14">
        <f>E72-E73</f>
        <v>-22.959999999999994</v>
      </c>
      <c r="F76" s="14">
        <f>F72-F73</f>
        <v>1.424999999999967</v>
      </c>
      <c r="G76" s="14">
        <f>G72-G73</f>
        <v>-87.14099999999998</v>
      </c>
      <c r="H76" s="14">
        <f>H72-H73</f>
        <v>73.69099999999995</v>
      </c>
      <c r="I76" s="14">
        <f>I72-I73</f>
        <v>198.856</v>
      </c>
      <c r="J76" s="28">
        <f>J72-J73</f>
        <v>186.78000000000003</v>
      </c>
      <c r="K76" s="2"/>
      <c r="L76" s="8"/>
    </row>
    <row r="77" ht="19.5">
      <c r="A77" s="2"/>
      <c r="B77" s="18" t="s">
        <v>207</v>
      </c>
      <c r="C77" s="11">
        <v>0.4</v>
      </c>
      <c r="D77" s="11">
        <v>0.427</v>
      </c>
      <c r="E77" s="11">
        <v>0.133</v>
      </c>
      <c r="F77" s="11">
        <v>0.334</v>
      </c>
      <c r="G77" s="6">
        <f>SUM(C77:F77)</f>
        <v>1.294</v>
      </c>
      <c r="H77" s="11">
        <v>3.038</v>
      </c>
      <c r="I77" s="11">
        <v>2.566</v>
      </c>
      <c r="J77" s="24">
        <v>2.5</v>
      </c>
      <c r="K77" s="2"/>
      <c r="L77" s="8"/>
    </row>
    <row r="78" ht="19.5">
      <c r="A78" s="2"/>
      <c r="B78" s="47" t="s">
        <v>208</v>
      </c>
      <c r="C78" s="14">
        <f>C76-C77</f>
        <v>-23.813999999999993</v>
      </c>
      <c r="D78" s="14">
        <f>D76-D77</f>
        <v>-42.619000000000035</v>
      </c>
      <c r="E78" s="14">
        <f>E76-E77</f>
        <v>-23.092999999999993</v>
      </c>
      <c r="F78" s="14">
        <f>F76-F77</f>
        <v>1.0909999999999669</v>
      </c>
      <c r="G78" s="14">
        <f>G76-G77</f>
        <v>-88.43499999999997</v>
      </c>
      <c r="H78" s="14">
        <f>H76-H77</f>
        <v>70.65299999999995</v>
      </c>
      <c r="I78" s="14">
        <f>I76-I77</f>
        <v>196.29</v>
      </c>
      <c r="J78" s="28">
        <f>J76-J77</f>
        <v>184.28000000000003</v>
      </c>
      <c r="K78" s="2"/>
      <c r="L78" s="8"/>
    </row>
    <row r="79">
      <c r="A79" s="2"/>
      <c r="B79" s="48" t="s">
        <v>79</v>
      </c>
      <c r="C79" s="70"/>
      <c r="D79" s="70"/>
      <c r="E79" s="70"/>
      <c r="F79" s="70"/>
      <c r="G79" s="70"/>
      <c r="H79" s="70" t="str">
        <f>IF(C78&lt;=0,"n/m",H78/C78-1)</f>
        <v>n/m</v>
      </c>
      <c r="I79" s="70" t="str">
        <f>IF(D78&lt;=0,"n/m",I78/D78-1)</f>
        <v>n/m</v>
      </c>
      <c r="J79" s="69" t="str">
        <f>IF(E78&lt;=0,"n/m",J78/E78-1)</f>
        <v>n/m</v>
      </c>
      <c r="K79" s="2"/>
      <c r="L79" s="8"/>
    </row>
    <row r="80">
      <c r="A80" s="2"/>
      <c r="B80" s="48" t="s">
        <v>209</v>
      </c>
      <c r="C80" s="70">
        <f>C78/C14</f>
        <v>-0.07304437444213714</v>
      </c>
      <c r="D80" s="70">
        <f>D78/D14</f>
        <v>-0.10621769405994397</v>
      </c>
      <c r="E80" s="70">
        <f>E78/E14</f>
        <v>-0.04449106826343612</v>
      </c>
      <c r="F80" s="70">
        <f>F78/F14</f>
        <v>0.0014028852373010171</v>
      </c>
      <c r="G80" s="70">
        <f>G78/G14</f>
        <v>-0.04369331134380832</v>
      </c>
      <c r="H80" s="70">
        <f>H78/H14</f>
        <v>0.09407179776687156</v>
      </c>
      <c r="I80" s="70">
        <f>I78/I14</f>
        <v>0.18424671356765052</v>
      </c>
      <c r="J80" s="69">
        <f>J78/J14</f>
        <v>0.16646793134598015</v>
      </c>
      <c r="K80" s="2"/>
      <c r="L80" s="8"/>
    </row>
    <row r="81">
      <c r="A81" s="2"/>
      <c r="B81" s="80" t="s">
        <v>120</v>
      </c>
      <c r="C81" s="67"/>
      <c r="D81" s="67">
        <f>(D80-C80)*10000</f>
        <v>-331.7331961780683</v>
      </c>
      <c r="E81" s="67">
        <f>(E80-D80)*10000</f>
        <v>617.2662579650785</v>
      </c>
      <c r="F81" s="67">
        <f>(F80-E80)*10000</f>
        <v>458.93953500737143</v>
      </c>
      <c r="G81" s="67"/>
      <c r="H81" s="67">
        <f>(H80-F80)*10000</f>
        <v>926.6891252957055</v>
      </c>
      <c r="I81" s="67">
        <f>(I80-H80)*10000</f>
        <v>901.7491580077896</v>
      </c>
      <c r="J81" s="89">
        <f>(J80-I80)*10000</f>
        <v>-177.7878222167037</v>
      </c>
      <c r="K81" s="2"/>
      <c r="L81" s="8"/>
    </row>
    <row r="82">
      <c r="A82" s="2"/>
      <c r="B82" s="30" t="s">
        <v>210</v>
      </c>
      <c r="C82" s="16"/>
      <c r="D82" s="16"/>
      <c r="E82" s="16"/>
      <c r="F82" s="16"/>
      <c r="G82" s="16"/>
      <c r="H82" s="16"/>
      <c r="I82" s="16"/>
      <c r="J82" s="4"/>
      <c r="K82" s="2"/>
      <c r="L82" s="8"/>
    </row>
    <row r="83">
      <c r="A83" s="2"/>
      <c r="B83" s="21" t="s">
        <v>211</v>
      </c>
      <c r="C83" s="25">
        <f>'Share Count'!C19</f>
        <v>230.21</v>
      </c>
      <c r="D83" s="25">
        <f>'Share Count'!D19</f>
        <v>232.542</v>
      </c>
      <c r="E83" s="25">
        <f>'Share Count'!E19</f>
        <v>234.931</v>
      </c>
      <c r="F83" s="25">
        <f>'Share Count'!F19</f>
        <v>263.616</v>
      </c>
      <c r="G83" s="25">
        <f>'Share Count'!G19</f>
        <v>240.402</v>
      </c>
      <c r="H83" s="25">
        <f>'Share Count'!H19</f>
        <v>281.719</v>
      </c>
      <c r="I83" s="25">
        <f>'Share Count'!I19</f>
        <v>287.288</v>
      </c>
      <c r="J83" s="22">
        <f>'Share Count'!J19</f>
        <v>294.654001</v>
      </c>
      <c r="K83" s="2"/>
      <c r="L83" s="8"/>
    </row>
    <row r="84" ht="19.5">
      <c r="A84" s="2"/>
      <c r="B84" s="18" t="s">
        <v>212</v>
      </c>
      <c r="C84" s="25">
        <f>'Share Count'!C26</f>
        <v>230.21</v>
      </c>
      <c r="D84" s="25">
        <f>'Share Count'!D26</f>
        <v>232.542</v>
      </c>
      <c r="E84" s="25">
        <f>'Share Count'!E26</f>
        <v>234.931</v>
      </c>
      <c r="F84" s="25">
        <f>'Share Count'!F26</f>
        <v>263.616</v>
      </c>
      <c r="G84" s="25">
        <f>'Share Count'!G26</f>
        <v>240.402</v>
      </c>
      <c r="H84" s="25">
        <f>'Share Count'!H26</f>
        <v>319.708</v>
      </c>
      <c r="I84" s="25">
        <f>'Share Count'!I26</f>
        <v>323.331</v>
      </c>
      <c r="J84" s="22">
        <f>'Share Count'!J26</f>
        <v>331.654001</v>
      </c>
      <c r="K84" s="2"/>
      <c r="L84" s="8"/>
    </row>
    <row r="85" ht="19.5">
      <c r="A85" s="2"/>
      <c r="B85" s="18" t="s">
        <v>213</v>
      </c>
      <c r="C85" s="11">
        <v>0</v>
      </c>
      <c r="D85" s="11">
        <v>0</v>
      </c>
      <c r="E85" s="11">
        <v>0</v>
      </c>
      <c r="F85" s="11">
        <v>0</v>
      </c>
      <c r="G85" s="6">
        <f>SUM(C85:F85)</f>
        <v>0</v>
      </c>
      <c r="H85" s="11">
        <v>4.355</v>
      </c>
      <c r="I85" s="11">
        <v>4.28</v>
      </c>
      <c r="J85" s="24">
        <v>4.3</v>
      </c>
      <c r="K85" s="2"/>
      <c r="L85" s="8" t="s">
        <v>214</v>
      </c>
    </row>
    <row r="86">
      <c r="A86" s="2"/>
      <c r="B86" s="21" t="s">
        <v>215</v>
      </c>
      <c r="C86" s="6">
        <f>C78+IF(C78&gt;0,C85,0)</f>
        <v>-23.813999999999993</v>
      </c>
      <c r="D86" s="6">
        <f>D78+IF(D78&gt;0,D85,0)</f>
        <v>-42.619000000000035</v>
      </c>
      <c r="E86" s="6">
        <f>E78+IF(E78&gt;0,E85,0)</f>
        <v>-23.092999999999993</v>
      </c>
      <c r="F86" s="6">
        <f>F78+IF(F78&gt;0,F85,0)</f>
        <v>1.0909999999999669</v>
      </c>
      <c r="G86" s="6">
        <f>G78+IF(G78&gt;0,G85,0)</f>
        <v>-88.43499999999997</v>
      </c>
      <c r="H86" s="6">
        <f>H78+IF(H78&gt;0,H85,0)</f>
        <v>75.00799999999995</v>
      </c>
      <c r="I86" s="6">
        <f>I78+IF(I78&gt;0,I85,0)</f>
        <v>200.57</v>
      </c>
      <c r="J86" s="7">
        <f>J78+IF(J78&gt;0,J85,0)</f>
        <v>188.58000000000004</v>
      </c>
      <c r="K86" s="2"/>
      <c r="L86" s="8"/>
    </row>
    <row r="87">
      <c r="A87" s="2"/>
      <c r="B87" s="21" t="s">
        <v>216</v>
      </c>
      <c r="C87" s="43">
        <f>C78/C83</f>
        <v>-0.10344468094348634</v>
      </c>
      <c r="D87" s="43">
        <f>D78/D83</f>
        <v>-0.18327441924469573</v>
      </c>
      <c r="E87" s="43">
        <f>E78/E83</f>
        <v>-0.09829694676309211</v>
      </c>
      <c r="F87" s="43">
        <f>F78/F83</f>
        <v>0.004138595532896209</v>
      </c>
      <c r="G87" s="43">
        <f>G78/G83</f>
        <v>-0.36786299614811846</v>
      </c>
      <c r="H87" s="43">
        <f>H78/H83</f>
        <v>0.2507924563128506</v>
      </c>
      <c r="I87" s="43">
        <f>I78/I83</f>
        <v>0.683251649912283</v>
      </c>
      <c r="J87" s="134">
        <f>J78/J83</f>
        <v>0.6254114974668206</v>
      </c>
      <c r="K87" s="2"/>
      <c r="L87" s="8"/>
    </row>
    <row r="88">
      <c r="A88" s="2"/>
      <c r="B88" s="17" t="s">
        <v>217</v>
      </c>
      <c r="C88" s="45">
        <f>C86/C84</f>
        <v>-0.10344468094348634</v>
      </c>
      <c r="D88" s="45">
        <f>D86/D84</f>
        <v>-0.18327441924469573</v>
      </c>
      <c r="E88" s="45">
        <f>E86/E84</f>
        <v>-0.09829694676309211</v>
      </c>
      <c r="F88" s="45">
        <f>F86/F84</f>
        <v>0.004138595532896209</v>
      </c>
      <c r="G88" s="45">
        <f>G86/G84</f>
        <v>-0.36786299614811846</v>
      </c>
      <c r="H88" s="45">
        <f>H86/H84</f>
        <v>0.23461408535288433</v>
      </c>
      <c r="I88" s="45">
        <f>I86/I84</f>
        <v>0.6203240641942777</v>
      </c>
      <c r="J88" s="139">
        <f>J86/J84</f>
        <v>0.5686046284121266</v>
      </c>
      <c r="K88" s="2"/>
      <c r="L88" s="8"/>
    </row>
    <row r="89" ht="19.5">
      <c r="A89" s="2"/>
      <c r="B89" s="18" t="s">
        <v>218</v>
      </c>
      <c r="C89" s="50">
        <f>Inputs!G104</f>
        <v>-0.1</v>
      </c>
      <c r="D89" s="50">
        <f>Inputs!G105</f>
        <v>-0.18</v>
      </c>
      <c r="E89" s="50">
        <f>Inputs!G106</f>
        <v>-0.1</v>
      </c>
      <c r="F89" s="50">
        <f>Inputs!G107</f>
        <v>0</v>
      </c>
      <c r="G89" s="46">
        <v>-0.37</v>
      </c>
      <c r="H89" s="50">
        <f>Inputs!G108</f>
        <v>0.23</v>
      </c>
      <c r="I89" s="50">
        <f>Inputs!G109</f>
        <v>0.62</v>
      </c>
      <c r="J89" s="134"/>
      <c r="K89" s="2"/>
      <c r="L89" s="8" t="s">
        <v>219</v>
      </c>
    </row>
    <row r="90" ht="19.5">
      <c r="A90" s="2"/>
      <c r="B90" s="73" t="s">
        <v>220</v>
      </c>
      <c r="C90" s="133">
        <f>ROUND(C88,2)-C89</f>
        <v>0</v>
      </c>
      <c r="D90" s="133">
        <f>ROUND(D88,2)-D89</f>
        <v>0</v>
      </c>
      <c r="E90" s="133">
        <f>ROUND(E88,2)-E89</f>
        <v>0</v>
      </c>
      <c r="F90" s="133">
        <f>ROUND(F88,2)-F89</f>
        <v>0</v>
      </c>
      <c r="G90" s="133">
        <f>ROUND(G88,2)-G89</f>
        <v>0</v>
      </c>
      <c r="H90" s="133">
        <f>ROUND(H88,2)-H89</f>
        <v>0</v>
      </c>
      <c r="I90" s="133">
        <f>ROUND(I88,2)-I89</f>
        <v>0</v>
      </c>
      <c r="J90" s="137"/>
      <c r="K90" s="2"/>
      <c r="L90" s="8"/>
    </row>
    <row r="91">
      <c r="A91" s="2"/>
      <c r="B91" s="21" t="s">
        <v>80</v>
      </c>
      <c r="C91" s="43"/>
      <c r="D91" s="43"/>
      <c r="E91" s="43"/>
      <c r="F91" s="43"/>
      <c r="G91" s="43"/>
      <c r="H91" s="43">
        <f>H88-C88</f>
        <v>0.33805876629637066</v>
      </c>
      <c r="I91" s="43">
        <f>I88-D88</f>
        <v>0.8035984834389733</v>
      </c>
      <c r="J91" s="134">
        <f>J88-E88</f>
        <v>0.6669015751752186</v>
      </c>
      <c r="K91" s="2"/>
      <c r="L91" s="8"/>
    </row>
    <row r="92">
      <c r="A92" s="2"/>
      <c r="B92" s="21" t="s">
        <v>81</v>
      </c>
      <c r="C92" s="43"/>
      <c r="D92" s="43">
        <f>D88-C88</f>
        <v>-0.07982973830120939</v>
      </c>
      <c r="E92" s="43">
        <f>E88-D88</f>
        <v>0.08497747248160362</v>
      </c>
      <c r="F92" s="43">
        <f>F88-E88</f>
        <v>0.10243554229598832</v>
      </c>
      <c r="G92" s="43"/>
      <c r="H92" s="43">
        <f>H88-F88</f>
        <v>0.2304754898199881</v>
      </c>
      <c r="I92" s="43">
        <f>I88-H88</f>
        <v>0.38570997884139335</v>
      </c>
      <c r="J92" s="134">
        <f>J88-I88</f>
        <v>-0.0517194357821511</v>
      </c>
      <c r="K92" s="2"/>
      <c r="L92" s="8"/>
    </row>
    <row r="93">
      <c r="A93" s="2"/>
      <c r="B93" s="2"/>
      <c r="C93" s="23"/>
      <c r="D93" s="23"/>
      <c r="E93" s="23"/>
      <c r="F93" s="23"/>
      <c r="G93" s="23"/>
      <c r="H93" s="23"/>
      <c r="I93" s="23"/>
      <c r="J93" s="42"/>
      <c r="K93" s="2"/>
      <c r="L93" s="8"/>
    </row>
    <row r="94">
      <c r="A94" s="2"/>
      <c r="B94" s="30" t="s">
        <v>221</v>
      </c>
      <c r="C94" s="16"/>
      <c r="D94" s="16"/>
      <c r="E94" s="16"/>
      <c r="F94" s="16"/>
      <c r="G94" s="16"/>
      <c r="H94" s="16"/>
      <c r="I94" s="16"/>
      <c r="J94" s="4"/>
      <c r="K94" s="2"/>
      <c r="L94" s="8"/>
    </row>
    <row r="95">
      <c r="A95" s="2"/>
      <c r="B95" s="21" t="s">
        <v>222</v>
      </c>
      <c r="C95" s="6">
        <f>C28</f>
        <v>88.70700000000001</v>
      </c>
      <c r="D95" s="6">
        <f>D28</f>
        <v>107.12299999999998</v>
      </c>
      <c r="E95" s="6">
        <f>E28</f>
        <v>151.675</v>
      </c>
      <c r="F95" s="6">
        <f>F28</f>
        <v>239.89499999999995</v>
      </c>
      <c r="G95" s="6">
        <f>G28</f>
        <v>587.4</v>
      </c>
      <c r="H95" s="6">
        <f>H28</f>
        <v>225.54399999999993</v>
      </c>
      <c r="I95" s="6">
        <f>I28</f>
        <v>355.572</v>
      </c>
      <c r="J95" s="7">
        <f>J28</f>
        <v>362.28000000000003</v>
      </c>
      <c r="K95" s="2"/>
      <c r="L95" s="8"/>
    </row>
    <row r="96" ht="19.5">
      <c r="A96" s="2"/>
      <c r="B96" s="100" t="s">
        <v>223</v>
      </c>
      <c r="C96" s="11">
        <v>4.829</v>
      </c>
      <c r="D96" s="11">
        <v>5.714</v>
      </c>
      <c r="E96" s="11">
        <v>5.719</v>
      </c>
      <c r="F96" s="11">
        <v>7.841</v>
      </c>
      <c r="G96" s="6">
        <f>SUM(C96:F96)</f>
        <v>24.103</v>
      </c>
      <c r="H96" s="11">
        <v>10.405</v>
      </c>
      <c r="I96" s="11">
        <v>9.675</v>
      </c>
      <c r="J96" s="24">
        <v>10</v>
      </c>
      <c r="K96" s="2"/>
      <c r="L96" s="8"/>
    </row>
    <row r="97">
      <c r="A97" s="2"/>
      <c r="B97" s="9" t="s">
        <v>224</v>
      </c>
      <c r="C97" s="11">
        <v>-0.212</v>
      </c>
      <c r="D97" s="11">
        <v>0.336</v>
      </c>
      <c r="E97" s="11">
        <v>0.031</v>
      </c>
      <c r="F97" s="11">
        <v>0.095</v>
      </c>
      <c r="G97" s="6">
        <f>SUM(C97:F97)</f>
        <v>0.25</v>
      </c>
      <c r="H97" s="11">
        <v>0.181</v>
      </c>
      <c r="I97" s="11">
        <v>0</v>
      </c>
      <c r="J97" s="24">
        <v>0</v>
      </c>
      <c r="K97" s="2"/>
      <c r="L97" s="8"/>
    </row>
    <row r="98">
      <c r="A98" s="2"/>
      <c r="B98" s="9" t="s">
        <v>225</v>
      </c>
      <c r="C98" s="11">
        <v>0.168</v>
      </c>
      <c r="D98" s="11">
        <v>0.177</v>
      </c>
      <c r="E98" s="11">
        <v>0.213</v>
      </c>
      <c r="F98" s="11">
        <v>0.128</v>
      </c>
      <c r="G98" s="6">
        <f>SUM(C98:F98)</f>
        <v>0.6859999999999999</v>
      </c>
      <c r="H98" s="11">
        <v>0.175</v>
      </c>
      <c r="I98" s="11">
        <v>0.116</v>
      </c>
      <c r="J98" s="24">
        <v>0.15</v>
      </c>
      <c r="K98" s="2"/>
      <c r="L98" s="8"/>
    </row>
    <row r="99">
      <c r="A99" s="2"/>
      <c r="B99" s="17" t="s">
        <v>226</v>
      </c>
      <c r="C99" s="14">
        <f>SUM(C95:C98)</f>
        <v>93.492</v>
      </c>
      <c r="D99" s="14">
        <f>SUM(D95:D98)</f>
        <v>113.34999999999998</v>
      </c>
      <c r="E99" s="14">
        <f>SUM(E95:E98)</f>
        <v>157.638</v>
      </c>
      <c r="F99" s="14">
        <f>SUM(F95:F98)</f>
        <v>247.95899999999995</v>
      </c>
      <c r="G99" s="14">
        <f>SUM(G95:G98)</f>
        <v>612.439</v>
      </c>
      <c r="H99" s="14">
        <f>SUM(H95:H98)</f>
        <v>236.30499999999992</v>
      </c>
      <c r="I99" s="14">
        <f>SUM(I95:I98)</f>
        <v>365.363</v>
      </c>
      <c r="J99" s="28">
        <f>SUM(J95:J98)</f>
        <v>372.43</v>
      </c>
      <c r="K99" s="2"/>
      <c r="L99" s="8"/>
    </row>
    <row r="100">
      <c r="A100" s="2"/>
      <c r="B100" s="48" t="s">
        <v>227</v>
      </c>
      <c r="C100" s="70">
        <f>C99/C14</f>
        <v>0.28676680336542737</v>
      </c>
      <c r="D100" s="70">
        <f>D99/D14</f>
        <v>0.28249784419377827</v>
      </c>
      <c r="E100" s="70">
        <f>E99/E14</f>
        <v>0.3037060156286124</v>
      </c>
      <c r="F100" s="70">
        <f>F99/F14</f>
        <v>0.3188432819027804</v>
      </c>
      <c r="G100" s="70">
        <f>G99/G14</f>
        <v>0.30258933573913754</v>
      </c>
      <c r="H100" s="70">
        <f>H99/H14</f>
        <v>0.3146311716600936</v>
      </c>
      <c r="I100" s="70">
        <f>I99/I14</f>
        <v>0.3429463141740155</v>
      </c>
      <c r="J100" s="69">
        <f>J99/J14</f>
        <v>0.33643179765130987</v>
      </c>
      <c r="K100" s="2"/>
      <c r="L100" s="8" t="s">
        <v>228</v>
      </c>
    </row>
    <row r="101">
      <c r="A101" s="2"/>
      <c r="B101" s="80" t="s">
        <v>170</v>
      </c>
      <c r="C101" s="67"/>
      <c r="D101" s="67"/>
      <c r="E101" s="67"/>
      <c r="F101" s="67"/>
      <c r="G101" s="67"/>
      <c r="H101" s="67">
        <f>(H100-C100)*10000</f>
        <v>278.64368294666207</v>
      </c>
      <c r="I101" s="67">
        <f>(I100-D100)*10000</f>
        <v>604.4846998023723</v>
      </c>
      <c r="J101" s="89">
        <f>(J100-E100)*10000</f>
        <v>327.2578202269749</v>
      </c>
      <c r="K101" s="2"/>
      <c r="L101" s="8"/>
    </row>
    <row r="102">
      <c r="A102" s="2"/>
      <c r="B102" s="80" t="s">
        <v>120</v>
      </c>
      <c r="C102" s="67"/>
      <c r="D102" s="67">
        <f>(D100-C100)*10000</f>
        <v>-42.689591716491</v>
      </c>
      <c r="E102" s="67">
        <f>(E100-D100)*10000</f>
        <v>212.0817143483411</v>
      </c>
      <c r="F102" s="67">
        <f>(F100-E100)*10000</f>
        <v>151.37266274168005</v>
      </c>
      <c r="G102" s="67"/>
      <c r="H102" s="67">
        <f>(H100-F100)*10000</f>
        <v>-42.12110242686806</v>
      </c>
      <c r="I102" s="67">
        <f>(I100-H100)*10000</f>
        <v>283.1514251392192</v>
      </c>
      <c r="J102" s="89">
        <f>(J100-I100)*10000</f>
        <v>-65.14516522705627</v>
      </c>
      <c r="K102" s="2"/>
      <c r="L102" s="8"/>
    </row>
    <row r="103">
      <c r="A103" s="2"/>
      <c r="B103" s="21" t="s">
        <v>229</v>
      </c>
      <c r="C103" s="6">
        <f>C56</f>
        <v>107.777</v>
      </c>
      <c r="D103" s="6">
        <f>D56</f>
        <v>110.626</v>
      </c>
      <c r="E103" s="6">
        <f>E56</f>
        <v>143.829</v>
      </c>
      <c r="F103" s="6">
        <f>F56</f>
        <v>152.36599999999999</v>
      </c>
      <c r="G103" s="6">
        <f>G56</f>
        <v>514.598</v>
      </c>
      <c r="H103" s="6">
        <f>H56</f>
        <v>153.35399999999998</v>
      </c>
      <c r="I103" s="6">
        <f>I56</f>
        <v>173.335</v>
      </c>
      <c r="J103" s="7">
        <f>J56</f>
        <v>176</v>
      </c>
      <c r="K103" s="2"/>
      <c r="L103" s="8"/>
    </row>
    <row r="104">
      <c r="A104" s="2"/>
      <c r="B104" s="9" t="s">
        <v>230</v>
      </c>
      <c r="C104" s="6">
        <f>-(C111-C96)</f>
        <v>-27.372</v>
      </c>
      <c r="D104" s="6">
        <f>-(D111-D96)</f>
        <v>-24.463</v>
      </c>
      <c r="E104" s="6">
        <f>-(E111-E96)</f>
        <v>-32.434</v>
      </c>
      <c r="F104" s="6">
        <f>-(F111-F96)</f>
        <v>-36.643</v>
      </c>
      <c r="G104" s="6">
        <f>-(G111-G96)</f>
        <v>-120.91199999999998</v>
      </c>
      <c r="H104" s="6">
        <f>-(H111-H96)</f>
        <v>-46.599</v>
      </c>
      <c r="I104" s="6">
        <f>-(I111-I96)</f>
        <v>-46.727000000000004</v>
      </c>
      <c r="J104" s="7">
        <f>-(J111-J96)</f>
        <v>-47</v>
      </c>
      <c r="K104" s="2"/>
      <c r="L104" s="8"/>
    </row>
    <row r="105">
      <c r="A105" s="2"/>
      <c r="B105" s="9" t="s">
        <v>231</v>
      </c>
      <c r="C105" s="6">
        <f>-(C112-C97)</f>
        <v>-0.04999999999999999</v>
      </c>
      <c r="D105" s="6">
        <f>-(D112-D97)</f>
        <v>-1.4189999999999998</v>
      </c>
      <c r="E105" s="6">
        <f>-(E112-E97)</f>
        <v>0.031</v>
      </c>
      <c r="F105" s="6">
        <f>-(F112-F97)</f>
        <v>-0.686</v>
      </c>
      <c r="G105" s="6">
        <f>-(G112-G97)</f>
        <v>-2.124</v>
      </c>
      <c r="H105" s="6">
        <f>-(H112-H97)</f>
        <v>-0.125</v>
      </c>
      <c r="I105" s="6">
        <f>-(I112-I97)</f>
        <v>-0.848</v>
      </c>
      <c r="J105" s="7">
        <f>-(J112-J97)</f>
        <v>-0.5</v>
      </c>
      <c r="K105" s="2"/>
      <c r="L105" s="8" t="s">
        <v>232</v>
      </c>
    </row>
    <row r="106">
      <c r="A106" s="2"/>
      <c r="B106" s="9" t="s">
        <v>233</v>
      </c>
      <c r="C106" s="6">
        <f>-(C113-C98)</f>
        <v>-0.03799999999999998</v>
      </c>
      <c r="D106" s="6">
        <f>-(D113-D98)</f>
        <v>-0.037000000000000005</v>
      </c>
      <c r="E106" s="6">
        <f>-(E113-E98)</f>
        <v>-0.037000000000000005</v>
      </c>
      <c r="F106" s="6">
        <f>-(F113-F98)</f>
        <v>-0.037000000000000005</v>
      </c>
      <c r="G106" s="6">
        <f>-(G113-G98)</f>
        <v>-0.14900000000000002</v>
      </c>
      <c r="H106" s="6">
        <f>-(H113-H98)</f>
        <v>-0.036000000000000004</v>
      </c>
      <c r="I106" s="6">
        <f>-(I113-I98)</f>
        <v>-0.03699999999999999</v>
      </c>
      <c r="J106" s="7">
        <f>-(J113-J98)</f>
        <v>-0.05000000000000002</v>
      </c>
      <c r="K106" s="2"/>
      <c r="L106" s="8"/>
    </row>
    <row r="107">
      <c r="A107" s="2"/>
      <c r="B107" s="17" t="s">
        <v>234</v>
      </c>
      <c r="C107" s="14">
        <f>SUM(C103:C106)</f>
        <v>80.31700000000001</v>
      </c>
      <c r="D107" s="14">
        <f>SUM(D103:D106)</f>
        <v>84.70700000000001</v>
      </c>
      <c r="E107" s="14">
        <f>SUM(E103:E106)</f>
        <v>111.38900000000001</v>
      </c>
      <c r="F107" s="14">
        <f>SUM(F103:F106)</f>
        <v>114.99999999999999</v>
      </c>
      <c r="G107" s="14">
        <f>SUM(G103:G106)</f>
        <v>391.41299999999995</v>
      </c>
      <c r="H107" s="14">
        <f>SUM(H103:H106)</f>
        <v>106.594</v>
      </c>
      <c r="I107" s="14">
        <f>SUM(I103:I106)</f>
        <v>125.723</v>
      </c>
      <c r="J107" s="28">
        <f>SUM(J103:J106)</f>
        <v>128.45</v>
      </c>
      <c r="K107" s="2"/>
      <c r="L107" s="8"/>
    </row>
    <row r="108">
      <c r="A108" s="2"/>
      <c r="B108" s="48" t="s">
        <v>181</v>
      </c>
      <c r="C108" s="70">
        <f>C107/C14</f>
        <v>0.24635529613123083</v>
      </c>
      <c r="D108" s="70">
        <f>D107/D14</f>
        <v>0.21111199724854332</v>
      </c>
      <c r="E108" s="70">
        <f>E107/E14</f>
        <v>0.21460250304403447</v>
      </c>
      <c r="F108" s="70">
        <f>F107/F14</f>
        <v>0.14787516250194485</v>
      </c>
      <c r="G108" s="70">
        <f>G107/G14</f>
        <v>0.19338644284518627</v>
      </c>
      <c r="H108" s="70">
        <f>H107/H14</f>
        <v>0.14192588016307747</v>
      </c>
      <c r="I108" s="70">
        <f>I107/I14</f>
        <v>0.11800932074922679</v>
      </c>
      <c r="J108" s="69">
        <f>J107/J14</f>
        <v>0.11603432700993675</v>
      </c>
      <c r="K108" s="2"/>
      <c r="L108" s="8"/>
    </row>
    <row r="109">
      <c r="A109" s="2"/>
      <c r="B109" s="80" t="s">
        <v>120</v>
      </c>
      <c r="C109" s="67"/>
      <c r="D109" s="67">
        <f>(D108-C108)*10000</f>
        <v>-352.43298882687515</v>
      </c>
      <c r="E109" s="67">
        <f>(E108-D108)*10000</f>
        <v>34.9050579549115</v>
      </c>
      <c r="F109" s="67">
        <f>(F108-E108)*10000</f>
        <v>-667.2734054208962</v>
      </c>
      <c r="G109" s="67"/>
      <c r="H109" s="67">
        <f>(H108-F108)*10000</f>
        <v>-59.492823388673784</v>
      </c>
      <c r="I109" s="67">
        <f>(I108-H108)*10000</f>
        <v>-239.1655941385068</v>
      </c>
      <c r="J109" s="89">
        <f>(J108-I108)*10000</f>
        <v>-19.749937392900403</v>
      </c>
      <c r="K109" s="2"/>
      <c r="L109" s="8"/>
    </row>
    <row r="110">
      <c r="A110" s="2"/>
      <c r="B110" s="21" t="s">
        <v>235</v>
      </c>
      <c r="C110" s="6">
        <f>C58</f>
        <v>-19.069999999999993</v>
      </c>
      <c r="D110" s="6">
        <f>D58</f>
        <v>-3.5030000000000285</v>
      </c>
      <c r="E110" s="6">
        <f>E58</f>
        <v>7.846000000000004</v>
      </c>
      <c r="F110" s="6">
        <f>F58</f>
        <v>87.52899999999997</v>
      </c>
      <c r="G110" s="6">
        <f>G58</f>
        <v>72.80200000000002</v>
      </c>
      <c r="H110" s="6">
        <f>H58</f>
        <v>72.18999999999994</v>
      </c>
      <c r="I110" s="6">
        <f>I58</f>
        <v>182.237</v>
      </c>
      <c r="J110" s="7">
        <f>J58</f>
        <v>186.28000000000003</v>
      </c>
      <c r="K110" s="2"/>
      <c r="L110" s="8"/>
    </row>
    <row r="111" ht="19.5">
      <c r="A111" s="2"/>
      <c r="B111" s="100" t="s">
        <v>236</v>
      </c>
      <c r="C111" s="11">
        <v>32.201</v>
      </c>
      <c r="D111" s="11">
        <v>30.177</v>
      </c>
      <c r="E111" s="11">
        <v>38.153</v>
      </c>
      <c r="F111" s="11">
        <v>44.484</v>
      </c>
      <c r="G111" s="6">
        <f>SUM(C111:F111)</f>
        <v>145.015</v>
      </c>
      <c r="H111" s="11">
        <v>57.004</v>
      </c>
      <c r="I111" s="11">
        <v>56.402</v>
      </c>
      <c r="J111" s="24">
        <v>57</v>
      </c>
      <c r="K111" s="2"/>
      <c r="L111" s="8" t="s">
        <v>237</v>
      </c>
    </row>
    <row r="112">
      <c r="A112" s="2"/>
      <c r="B112" s="9" t="s">
        <v>238</v>
      </c>
      <c r="C112" s="11">
        <v>-0.162</v>
      </c>
      <c r="D112" s="11">
        <v>1.755</v>
      </c>
      <c r="E112" s="11">
        <v>0</v>
      </c>
      <c r="F112" s="11">
        <v>0.781</v>
      </c>
      <c r="G112" s="6">
        <f>SUM(C112:F112)</f>
        <v>2.374</v>
      </c>
      <c r="H112" s="11">
        <v>0.306</v>
      </c>
      <c r="I112" s="11">
        <v>0.848</v>
      </c>
      <c r="J112" s="24">
        <v>0.5</v>
      </c>
      <c r="K112" s="2"/>
      <c r="L112" s="8"/>
    </row>
    <row r="113">
      <c r="A113" s="2"/>
      <c r="B113" s="9" t="s">
        <v>239</v>
      </c>
      <c r="C113" s="11">
        <v>0.206</v>
      </c>
      <c r="D113" s="11">
        <v>0.214</v>
      </c>
      <c r="E113" s="11">
        <v>0.25</v>
      </c>
      <c r="F113" s="11">
        <v>0.165</v>
      </c>
      <c r="G113" s="6">
        <f>SUM(C113:F113)</f>
        <v>0.835</v>
      </c>
      <c r="H113" s="11">
        <v>0.211</v>
      </c>
      <c r="I113" s="11">
        <v>0.153</v>
      </c>
      <c r="J113" s="24">
        <v>0.2</v>
      </c>
      <c r="K113" s="2"/>
      <c r="L113" s="8"/>
    </row>
    <row r="114">
      <c r="A114" s="2"/>
      <c r="B114" s="17" t="s">
        <v>240</v>
      </c>
      <c r="C114" s="14">
        <f>SUM(C110:C113)</f>
        <v>13.175000000000008</v>
      </c>
      <c r="D114" s="14">
        <f>SUM(D110:D113)</f>
        <v>28.642999999999972</v>
      </c>
      <c r="E114" s="14">
        <f>SUM(E110:E113)</f>
        <v>46.249</v>
      </c>
      <c r="F114" s="14">
        <f>SUM(F110:F113)</f>
        <v>132.95899999999997</v>
      </c>
      <c r="G114" s="14">
        <f>SUM(G110:G113)</f>
        <v>221.026</v>
      </c>
      <c r="H114" s="14">
        <f>SUM(H110:H113)</f>
        <v>129.71099999999993</v>
      </c>
      <c r="I114" s="14">
        <f>SUM(I110:I113)</f>
        <v>239.64</v>
      </c>
      <c r="J114" s="28">
        <f>SUM(J110:J113)</f>
        <v>243.98000000000002</v>
      </c>
      <c r="K114" s="2"/>
      <c r="L114" s="8" t="s">
        <v>241</v>
      </c>
    </row>
    <row r="115" ht="19.5">
      <c r="A115" s="2"/>
      <c r="B115" s="73" t="s">
        <v>242</v>
      </c>
      <c r="C115" s="103">
        <f>ROUND(C99-C107-C114,6)</f>
        <v>0</v>
      </c>
      <c r="D115" s="103">
        <f>ROUND(D99-D107-D114,6)</f>
        <v>0</v>
      </c>
      <c r="E115" s="103">
        <f>ROUND(E99-E107-E114,6)</f>
        <v>0</v>
      </c>
      <c r="F115" s="103">
        <f>ROUND(F99-F107-F114,6)</f>
        <v>0</v>
      </c>
      <c r="G115" s="103">
        <f>ROUND(G99-G107-G114,6)</f>
        <v>0</v>
      </c>
      <c r="H115" s="103">
        <f>ROUND(H99-H107-H114,6)</f>
        <v>0</v>
      </c>
      <c r="I115" s="103">
        <f>ROUND(I99-I107-I114,6)</f>
        <v>0</v>
      </c>
      <c r="J115" s="107">
        <f>ROUND(J99-J107-J114,6)</f>
        <v>0</v>
      </c>
      <c r="K115" s="2"/>
      <c r="L115" s="8"/>
    </row>
    <row r="116">
      <c r="A116" s="2"/>
      <c r="B116" s="48" t="s">
        <v>243</v>
      </c>
      <c r="C116" s="70">
        <f>C114/C14</f>
        <v>0.04041150723419659</v>
      </c>
      <c r="D116" s="70">
        <f>D114/D14</f>
        <v>0.07138584694523498</v>
      </c>
      <c r="E116" s="70">
        <f>E114/E14</f>
        <v>0.08910351258457792</v>
      </c>
      <c r="F116" s="70">
        <f>F114/F14</f>
        <v>0.17096811940083553</v>
      </c>
      <c r="G116" s="70">
        <f>G114/G14</f>
        <v>0.10920289289395127</v>
      </c>
      <c r="H116" s="70">
        <f>H114/H14</f>
        <v>0.1727052914970161</v>
      </c>
      <c r="I116" s="70">
        <f>I114/I14</f>
        <v>0.22493699342478868</v>
      </c>
      <c r="J116" s="69">
        <f>J114/J14</f>
        <v>0.2203974706413731</v>
      </c>
      <c r="K116" s="2"/>
      <c r="L116" s="8"/>
    </row>
    <row r="117">
      <c r="A117" s="2"/>
      <c r="B117" s="80" t="s">
        <v>170</v>
      </c>
      <c r="C117" s="67"/>
      <c r="D117" s="67"/>
      <c r="E117" s="67"/>
      <c r="F117" s="67"/>
      <c r="G117" s="67"/>
      <c r="H117" s="67">
        <f>(H116-C116)*10000</f>
        <v>1322.937842628195</v>
      </c>
      <c r="I117" s="67">
        <f>(I116-D116)*10000</f>
        <v>1535.511464795537</v>
      </c>
      <c r="J117" s="89">
        <f>(J116-E116)*10000</f>
        <v>1312.9395805679517</v>
      </c>
      <c r="K117" s="2"/>
      <c r="L117" s="8"/>
    </row>
    <row r="118">
      <c r="A118" s="2"/>
      <c r="B118" s="80" t="s">
        <v>120</v>
      </c>
      <c r="C118" s="67"/>
      <c r="D118" s="67">
        <f>(D116-C116)*10000</f>
        <v>309.74339711038385</v>
      </c>
      <c r="E118" s="67">
        <f>(E116-D116)*10000</f>
        <v>177.17665639342948</v>
      </c>
      <c r="F118" s="67">
        <f>(F116-E116)*10000</f>
        <v>818.6460681625761</v>
      </c>
      <c r="G118" s="67"/>
      <c r="H118" s="67">
        <f>(H116-F116)*10000</f>
        <v>17.371720961805725</v>
      </c>
      <c r="I118" s="67">
        <f>(I116-H116)*10000</f>
        <v>522.3170192777258</v>
      </c>
      <c r="J118" s="89">
        <f>(J116-I116)*10000</f>
        <v>-45.395227834155726</v>
      </c>
      <c r="K118" s="2"/>
      <c r="L118" s="8"/>
    </row>
    <row r="119">
      <c r="A119" s="2"/>
      <c r="B119" s="9" t="s">
        <v>244</v>
      </c>
      <c r="C119" s="25">
        <f>'Cash Flow Statement'!C11</f>
        <v>11.986</v>
      </c>
      <c r="D119" s="25">
        <f>'Cash Flow Statement'!D11</f>
        <v>12.596</v>
      </c>
      <c r="E119" s="25">
        <f>'Cash Flow Statement'!E11</f>
        <v>12.8</v>
      </c>
      <c r="F119" s="25">
        <f>'Cash Flow Statement'!F11</f>
        <v>13.184</v>
      </c>
      <c r="G119" s="25">
        <f>'Cash Flow Statement'!G11</f>
        <v>50.566</v>
      </c>
      <c r="H119" s="25">
        <f>'Cash Flow Statement'!H11</f>
        <v>13.279</v>
      </c>
      <c r="I119" s="25">
        <f>'Cash Flow Statement'!I11</f>
        <v>13.746</v>
      </c>
      <c r="J119" s="22">
        <f>'Cash Flow Statement'!J11</f>
        <v>14.5</v>
      </c>
      <c r="K119" s="2"/>
      <c r="L119" s="8"/>
    </row>
    <row r="120" ht="19.5">
      <c r="A120" s="2"/>
      <c r="B120" s="47" t="s">
        <v>245</v>
      </c>
      <c r="C120" s="14">
        <f>C114+C119</f>
        <v>25.16100000000001</v>
      </c>
      <c r="D120" s="14">
        <f>D114+D119</f>
        <v>41.238999999999976</v>
      </c>
      <c r="E120" s="14">
        <f>E114+E119</f>
        <v>59.04900000000001</v>
      </c>
      <c r="F120" s="14">
        <f>F114+F119</f>
        <v>146.14299999999997</v>
      </c>
      <c r="G120" s="14">
        <f>G114+G119</f>
        <v>271.592</v>
      </c>
      <c r="H120" s="14">
        <f>H114+H119</f>
        <v>142.98999999999992</v>
      </c>
      <c r="I120" s="14">
        <f>I114+I119</f>
        <v>253.386</v>
      </c>
      <c r="J120" s="28">
        <f>J114+J119</f>
        <v>258.48</v>
      </c>
      <c r="K120" s="2"/>
      <c r="L120" s="8"/>
    </row>
    <row r="121">
      <c r="A121" s="2"/>
      <c r="B121" s="48" t="s">
        <v>246</v>
      </c>
      <c r="C121" s="70">
        <f>C120/C14</f>
        <v>0.07717601013431652</v>
      </c>
      <c r="D121" s="70">
        <f>D120/D14</f>
        <v>0.10277837315136495</v>
      </c>
      <c r="E121" s="70">
        <f>E120/E14</f>
        <v>0.11376404494382024</v>
      </c>
      <c r="F121" s="70">
        <f>F120/F14</f>
        <v>0.1879210423784498</v>
      </c>
      <c r="G121" s="70">
        <f>G120/G14</f>
        <v>0.13418616853607274</v>
      </c>
      <c r="H121" s="70">
        <f>H120/H14</f>
        <v>0.1903857778535231</v>
      </c>
      <c r="I121" s="70">
        <f>I120/I14</f>
        <v>0.23783961365353656</v>
      </c>
      <c r="J121" s="69">
        <f>J120/J14</f>
        <v>0.23349593495934962</v>
      </c>
      <c r="K121" s="2"/>
      <c r="L121" s="8"/>
    </row>
    <row r="122">
      <c r="A122" s="2"/>
      <c r="B122" s="80" t="s">
        <v>120</v>
      </c>
      <c r="C122" s="67"/>
      <c r="D122" s="67">
        <f>(D121-C121)*10000</f>
        <v>256.02363017048435</v>
      </c>
      <c r="E122" s="67">
        <f>(E121-D121)*10000</f>
        <v>109.85671792455284</v>
      </c>
      <c r="F122" s="67">
        <f>(F121-E121)*10000</f>
        <v>741.5699743462957</v>
      </c>
      <c r="G122" s="67"/>
      <c r="H122" s="67">
        <f>(H121-F121)*10000</f>
        <v>24.64735475073282</v>
      </c>
      <c r="I122" s="67">
        <f>(I121-H121)*10000</f>
        <v>474.53835800013474</v>
      </c>
      <c r="J122" s="89">
        <f>(J121-I121)*10000</f>
        <v>-43.43678694186948</v>
      </c>
      <c r="K122" s="2"/>
      <c r="L122" s="8"/>
    </row>
    <row r="123">
      <c r="A123" s="2"/>
      <c r="B123" s="2"/>
      <c r="C123" s="23"/>
      <c r="D123" s="23"/>
      <c r="E123" s="23"/>
      <c r="F123" s="23"/>
      <c r="G123" s="23"/>
      <c r="H123" s="23"/>
      <c r="I123" s="23"/>
      <c r="J123" s="42"/>
      <c r="K123" s="2"/>
      <c r="L123" s="8"/>
    </row>
    <row r="124" ht="19.5">
      <c r="A124" s="2"/>
      <c r="B124" s="18" t="s">
        <v>247</v>
      </c>
      <c r="C124" s="6">
        <f>C78</f>
        <v>-23.813999999999993</v>
      </c>
      <c r="D124" s="6">
        <f>D78</f>
        <v>-42.619000000000035</v>
      </c>
      <c r="E124" s="6">
        <f>E78</f>
        <v>-23.092999999999993</v>
      </c>
      <c r="F124" s="6">
        <f>F78</f>
        <v>1.0909999999999669</v>
      </c>
      <c r="G124" s="6">
        <f>G78</f>
        <v>-88.43499999999997</v>
      </c>
      <c r="H124" s="6">
        <f>H78</f>
        <v>70.65299999999995</v>
      </c>
      <c r="I124" s="6">
        <f>I78</f>
        <v>196.29</v>
      </c>
      <c r="J124" s="7">
        <f>J78</f>
        <v>184.28000000000003</v>
      </c>
      <c r="K124" s="2"/>
      <c r="L124" s="8"/>
    </row>
    <row r="125" ht="19.5">
      <c r="A125" s="2"/>
      <c r="B125" s="100" t="s">
        <v>248</v>
      </c>
      <c r="C125" s="6">
        <f>C77</f>
        <v>0.4</v>
      </c>
      <c r="D125" s="6">
        <f>D77</f>
        <v>0.427</v>
      </c>
      <c r="E125" s="6">
        <f>E77</f>
        <v>0.133</v>
      </c>
      <c r="F125" s="6">
        <f>F77</f>
        <v>0.334</v>
      </c>
      <c r="G125" s="6">
        <f>G77</f>
        <v>1.294</v>
      </c>
      <c r="H125" s="6">
        <f>H77</f>
        <v>3.038</v>
      </c>
      <c r="I125" s="6">
        <f>I77</f>
        <v>2.566</v>
      </c>
      <c r="J125" s="7">
        <f>J77</f>
        <v>2.5</v>
      </c>
      <c r="K125" s="2"/>
      <c r="L125" s="8"/>
    </row>
    <row r="126">
      <c r="A126" s="2"/>
      <c r="B126" s="9" t="s">
        <v>249</v>
      </c>
      <c r="C126" s="6">
        <f>C111</f>
        <v>32.201</v>
      </c>
      <c r="D126" s="6">
        <f>D111</f>
        <v>30.177</v>
      </c>
      <c r="E126" s="6">
        <f>E111</f>
        <v>38.153</v>
      </c>
      <c r="F126" s="6">
        <f>F111</f>
        <v>44.484</v>
      </c>
      <c r="G126" s="6">
        <f>G111</f>
        <v>145.015</v>
      </c>
      <c r="H126" s="6">
        <f>H111</f>
        <v>57.004</v>
      </c>
      <c r="I126" s="6">
        <f>I111</f>
        <v>56.402</v>
      </c>
      <c r="J126" s="7">
        <f>J111</f>
        <v>57</v>
      </c>
      <c r="K126" s="2"/>
      <c r="L126" s="8"/>
    </row>
    <row r="127" ht="19.5">
      <c r="A127" s="2"/>
      <c r="B127" s="100" t="s">
        <v>250</v>
      </c>
      <c r="C127" s="6">
        <f>-C69</f>
        <v>0</v>
      </c>
      <c r="D127" s="6">
        <f>-D69</f>
        <v>0</v>
      </c>
      <c r="E127" s="6">
        <f>-E69</f>
        <v>0</v>
      </c>
      <c r="F127" s="6">
        <f>-F69</f>
        <v>66.241</v>
      </c>
      <c r="G127" s="6">
        <f>-G69</f>
        <v>66.241</v>
      </c>
      <c r="H127" s="6">
        <f>-H69</f>
        <v>0</v>
      </c>
      <c r="I127" s="6">
        <f>-I69</f>
        <v>0</v>
      </c>
      <c r="J127" s="7">
        <f>-J69</f>
        <v>0</v>
      </c>
      <c r="K127" s="2"/>
      <c r="L127" s="8"/>
    </row>
    <row r="128" ht="19.5">
      <c r="A128" s="2"/>
      <c r="B128" s="100" t="s">
        <v>251</v>
      </c>
      <c r="C128" s="6">
        <f>-C66</f>
        <v>0</v>
      </c>
      <c r="D128" s="6">
        <f>-D66</f>
        <v>0</v>
      </c>
      <c r="E128" s="6">
        <f>-E66</f>
        <v>19.599</v>
      </c>
      <c r="F128" s="6">
        <f>-F66</f>
        <v>20.822</v>
      </c>
      <c r="G128" s="6">
        <f>-G66</f>
        <v>40.421</v>
      </c>
      <c r="H128" s="6">
        <f>-H66</f>
        <v>17.002</v>
      </c>
      <c r="I128" s="6">
        <f>-I66</f>
        <v>-4.346</v>
      </c>
      <c r="J128" s="7">
        <f>-J66</f>
        <v>8</v>
      </c>
      <c r="K128" s="2"/>
      <c r="L128" s="8"/>
    </row>
    <row r="129">
      <c r="A129" s="2"/>
      <c r="B129" s="9" t="s">
        <v>252</v>
      </c>
      <c r="C129" s="6">
        <f>-C68</f>
        <v>0</v>
      </c>
      <c r="D129" s="6">
        <f>-D68</f>
        <v>32.34</v>
      </c>
      <c r="E129" s="6">
        <f>-E68</f>
        <v>0</v>
      </c>
      <c r="F129" s="6">
        <f>-F68</f>
        <v>0</v>
      </c>
      <c r="G129" s="6">
        <f>-G68</f>
        <v>32.34</v>
      </c>
      <c r="H129" s="6">
        <f>-H68</f>
        <v>0</v>
      </c>
      <c r="I129" s="6">
        <f>-I68</f>
        <v>0</v>
      </c>
      <c r="J129" s="7">
        <f>-J68</f>
        <v>0</v>
      </c>
      <c r="K129" s="2"/>
      <c r="L129" s="8"/>
    </row>
    <row r="130">
      <c r="A130" s="2"/>
      <c r="B130" s="9" t="s">
        <v>253</v>
      </c>
      <c r="C130" s="6">
        <f>C112</f>
        <v>-0.162</v>
      </c>
      <c r="D130" s="6">
        <f>D112</f>
        <v>1.755</v>
      </c>
      <c r="E130" s="6">
        <f>E112</f>
        <v>0</v>
      </c>
      <c r="F130" s="6">
        <f>F112</f>
        <v>0.781</v>
      </c>
      <c r="G130" s="6">
        <f>G112</f>
        <v>2.374</v>
      </c>
      <c r="H130" s="6">
        <f>H112</f>
        <v>0.306</v>
      </c>
      <c r="I130" s="6">
        <f>I112</f>
        <v>0.848</v>
      </c>
      <c r="J130" s="7">
        <f>J112</f>
        <v>0.5</v>
      </c>
      <c r="K130" s="2"/>
      <c r="L130" s="8"/>
    </row>
    <row r="131" ht="19.5">
      <c r="A131" s="2"/>
      <c r="B131" s="100" t="s">
        <v>254</v>
      </c>
      <c r="C131" s="6">
        <f>-C70</f>
        <v>0.103</v>
      </c>
      <c r="D131" s="6">
        <f>-D70</f>
        <v>-0.112</v>
      </c>
      <c r="E131" s="6">
        <f>-E70</f>
        <v>0.411</v>
      </c>
      <c r="F131" s="6">
        <f>-F70</f>
        <v>0.135</v>
      </c>
      <c r="G131" s="6">
        <f>-G70</f>
        <v>0.5369999999999999</v>
      </c>
      <c r="H131" s="6">
        <f>-H70</f>
        <v>-0.754</v>
      </c>
      <c r="I131" s="6">
        <f>-I70</f>
        <v>0.539</v>
      </c>
      <c r="J131" s="7">
        <f>-J70</f>
        <v>0</v>
      </c>
      <c r="K131" s="2"/>
      <c r="L131" s="8"/>
    </row>
    <row r="132" ht="19.5">
      <c r="A132" s="2"/>
      <c r="B132" s="100" t="s">
        <v>255</v>
      </c>
      <c r="C132" s="11">
        <v>-2.514</v>
      </c>
      <c r="D132" s="11">
        <v>-0.06</v>
      </c>
      <c r="E132" s="11">
        <v>0</v>
      </c>
      <c r="F132" s="11">
        <v>0</v>
      </c>
      <c r="G132" s="6">
        <f>SUM(C132:F132)</f>
        <v>-2.574</v>
      </c>
      <c r="H132" s="11">
        <v>-9.405</v>
      </c>
      <c r="I132" s="11">
        <v>-4.243</v>
      </c>
      <c r="J132" s="24">
        <v>0</v>
      </c>
      <c r="K132" s="2"/>
      <c r="L132" s="8" t="s">
        <v>256</v>
      </c>
    </row>
    <row r="133">
      <c r="A133" s="2"/>
      <c r="B133" s="9" t="s">
        <v>257</v>
      </c>
      <c r="C133" s="11">
        <v>0.206</v>
      </c>
      <c r="D133" s="11">
        <v>0.214</v>
      </c>
      <c r="E133" s="11">
        <v>0.462</v>
      </c>
      <c r="F133" s="11">
        <v>0.165</v>
      </c>
      <c r="G133" s="6">
        <f>SUM(C133:F133)</f>
        <v>1.047</v>
      </c>
      <c r="H133" s="11">
        <v>0.211</v>
      </c>
      <c r="I133" s="11">
        <v>0.153</v>
      </c>
      <c r="J133" s="7">
        <f>J113</f>
        <v>0.2</v>
      </c>
      <c r="K133" s="2"/>
      <c r="L133" s="8" t="s">
        <v>258</v>
      </c>
    </row>
    <row r="134">
      <c r="A134" s="2"/>
      <c r="B134" s="17" t="s">
        <v>259</v>
      </c>
      <c r="C134" s="14">
        <f>SUM(C124:C133)</f>
        <v>6.420000000000006</v>
      </c>
      <c r="D134" s="14">
        <f>SUM(D124:D133)</f>
        <v>22.121999999999968</v>
      </c>
      <c r="E134" s="14">
        <f>SUM(E124:E133)</f>
        <v>35.665000000000006</v>
      </c>
      <c r="F134" s="14">
        <f>SUM(F124:F133)</f>
        <v>134.05299999999997</v>
      </c>
      <c r="G134" s="14">
        <f>SUM(G124:G133)</f>
        <v>198.26000000000002</v>
      </c>
      <c r="H134" s="14">
        <f>SUM(H124:H133)</f>
        <v>138.05499999999995</v>
      </c>
      <c r="I134" s="14">
        <f>SUM(I124:I133)</f>
        <v>248.209</v>
      </c>
      <c r="J134" s="28">
        <f>SUM(J124:J133)</f>
        <v>252.48000000000002</v>
      </c>
      <c r="K134" s="2"/>
      <c r="L134" s="8" t="s">
        <v>260</v>
      </c>
    </row>
    <row r="135" ht="19.5">
      <c r="A135" s="2"/>
      <c r="B135" s="18" t="s">
        <v>261</v>
      </c>
      <c r="C135" s="11">
        <v>6.42</v>
      </c>
      <c r="D135" s="11">
        <v>22.122</v>
      </c>
      <c r="E135" s="11">
        <v>35.665</v>
      </c>
      <c r="F135" s="11">
        <v>134.052</v>
      </c>
      <c r="G135" s="11">
        <v>198.047</v>
      </c>
      <c r="H135" s="11">
        <v>138.055</v>
      </c>
      <c r="I135" s="11">
        <v>248.209</v>
      </c>
      <c r="J135" s="7"/>
      <c r="K135" s="2"/>
      <c r="L135" s="8" t="s">
        <v>262</v>
      </c>
    </row>
    <row r="136">
      <c r="A136" s="2"/>
      <c r="B136" s="48" t="s">
        <v>79</v>
      </c>
      <c r="C136" s="70"/>
      <c r="D136" s="70"/>
      <c r="E136" s="70"/>
      <c r="F136" s="70"/>
      <c r="G136" s="70"/>
      <c r="H136" s="70">
        <f>IF(C134&lt;=0,"n/m",H134/C134-1)</f>
        <v>20.503894080996858</v>
      </c>
      <c r="I136" s="70">
        <f>IF(D134&lt;=0,"n/m",I134/D134-1)</f>
        <v>10.220007232619128</v>
      </c>
      <c r="J136" s="69">
        <f>IF(E134&lt;=0,"n/m",J134/E134-1)</f>
        <v>6.079209308846207</v>
      </c>
      <c r="K136" s="2"/>
      <c r="L136" s="8"/>
    </row>
    <row r="137" ht="19.5">
      <c r="A137" s="2"/>
      <c r="B137" s="100" t="s">
        <v>263</v>
      </c>
      <c r="C137" s="6">
        <f>C85</f>
        <v>0</v>
      </c>
      <c r="D137" s="6">
        <f>D85</f>
        <v>0</v>
      </c>
      <c r="E137" s="163" t="s">
        <v>85</v>
      </c>
      <c r="F137" s="163" t="s">
        <v>85</v>
      </c>
      <c r="G137" s="163" t="s">
        <v>85</v>
      </c>
      <c r="H137" s="6">
        <f>H85</f>
        <v>4.355</v>
      </c>
      <c r="I137" s="6">
        <f>I85</f>
        <v>4.28</v>
      </c>
      <c r="J137" s="7">
        <f>J85</f>
        <v>4.3</v>
      </c>
      <c r="K137" s="2"/>
      <c r="L137" s="8" t="s">
        <v>264</v>
      </c>
    </row>
    <row r="138">
      <c r="A138" s="2"/>
      <c r="B138" s="21" t="s">
        <v>265</v>
      </c>
      <c r="C138" s="6">
        <f>C134+C137</f>
        <v>6.420000000000006</v>
      </c>
      <c r="D138" s="6">
        <f>D134+D137</f>
        <v>22.121999999999968</v>
      </c>
      <c r="E138" s="163" t="s">
        <v>85</v>
      </c>
      <c r="F138" s="163" t="s">
        <v>85</v>
      </c>
      <c r="G138" s="163" t="s">
        <v>85</v>
      </c>
      <c r="H138" s="6">
        <f>H134+H137</f>
        <v>142.40999999999994</v>
      </c>
      <c r="I138" s="6">
        <f>I134+I137</f>
        <v>252.489</v>
      </c>
      <c r="J138" s="7">
        <f>J134+J137</f>
        <v>256.78000000000003</v>
      </c>
      <c r="K138" s="2"/>
      <c r="L138" s="8"/>
    </row>
    <row r="139" ht="19.5">
      <c r="A139" s="2"/>
      <c r="B139" s="18" t="s">
        <v>266</v>
      </c>
      <c r="C139" s="25">
        <f>'Share Count'!C27</f>
        <v>230.21</v>
      </c>
      <c r="D139" s="25">
        <f>'Share Count'!D27</f>
        <v>232.542</v>
      </c>
      <c r="E139" s="25">
        <f>'Share Count'!E27</f>
        <v>312.479</v>
      </c>
      <c r="F139" s="25">
        <f>'Share Count'!F27</f>
        <v>315.088</v>
      </c>
      <c r="G139" s="25">
        <f>'Share Count'!G27</f>
        <v>309.775</v>
      </c>
      <c r="H139" s="25">
        <f>'Share Count'!H27</f>
        <v>319.708</v>
      </c>
      <c r="I139" s="25">
        <f>'Share Count'!I27</f>
        <v>323.331</v>
      </c>
      <c r="J139" s="22">
        <f>'Share Count'!J27</f>
        <v>331.654001</v>
      </c>
      <c r="K139" s="2"/>
      <c r="L139" s="8"/>
    </row>
    <row r="140">
      <c r="A140" s="2"/>
      <c r="B140" s="21" t="s">
        <v>267</v>
      </c>
      <c r="C140" s="43">
        <f>C134/C83</f>
        <v>0.027887580904391668</v>
      </c>
      <c r="D140" s="43">
        <f>D134/D83</f>
        <v>0.09513120210542597</v>
      </c>
      <c r="E140" s="43">
        <f>E134/E83</f>
        <v>0.15181053160289618</v>
      </c>
      <c r="F140" s="43">
        <f>F134/F83</f>
        <v>0.5085161750424859</v>
      </c>
      <c r="G140" s="43">
        <f>G134/G83</f>
        <v>0.8247019575544298</v>
      </c>
      <c r="H140" s="43">
        <f>H134/H83</f>
        <v>0.4900450448851513</v>
      </c>
      <c r="I140" s="43">
        <f>I134/I83</f>
        <v>0.8639727381582245</v>
      </c>
      <c r="J140" s="134">
        <f>J134/J83</f>
        <v>0.8568694100305124</v>
      </c>
      <c r="K140" s="2"/>
      <c r="L140" s="8"/>
    </row>
    <row r="141" ht="19.5">
      <c r="A141" s="2"/>
      <c r="B141" s="47" t="s">
        <v>268</v>
      </c>
      <c r="C141" s="45">
        <f>C138/C139</f>
        <v>0.027887580904391668</v>
      </c>
      <c r="D141" s="45">
        <f>D138/D139</f>
        <v>0.09513120210542597</v>
      </c>
      <c r="E141" s="158" t="s">
        <v>85</v>
      </c>
      <c r="F141" s="158" t="s">
        <v>85</v>
      </c>
      <c r="G141" s="158" t="s">
        <v>85</v>
      </c>
      <c r="H141" s="45">
        <f>H138/H139</f>
        <v>0.44543771191211956</v>
      </c>
      <c r="I141" s="45">
        <f>I138/I139</f>
        <v>0.7808994497898438</v>
      </c>
      <c r="J141" s="139">
        <f>J138/J139</f>
        <v>0.7742406219305644</v>
      </c>
      <c r="K141" s="2"/>
      <c r="L141" s="8" t="s">
        <v>269</v>
      </c>
    </row>
    <row r="142" ht="19.5">
      <c r="A142" s="2"/>
      <c r="B142" s="18" t="s">
        <v>270</v>
      </c>
      <c r="C142" s="50">
        <f>Inputs!E104</f>
        <v>0.03</v>
      </c>
      <c r="D142" s="50">
        <f>Inputs!E105</f>
        <v>0.1</v>
      </c>
      <c r="E142" s="50">
        <f>Inputs!E106</f>
        <v>0.15</v>
      </c>
      <c r="F142" s="50">
        <f>Inputs!E107</f>
        <v>0.45</v>
      </c>
      <c r="G142" s="46">
        <v>0.76</v>
      </c>
      <c r="H142" s="50">
        <f>Inputs!E108</f>
        <v>0.44</v>
      </c>
      <c r="I142" s="50">
        <f>Inputs!E109</f>
        <v>0.78</v>
      </c>
      <c r="J142" s="134"/>
      <c r="K142" s="2"/>
      <c r="L142" s="8" t="s">
        <v>271</v>
      </c>
    </row>
    <row r="143" ht="39">
      <c r="A143" s="2"/>
      <c r="B143" s="73" t="s">
        <v>272</v>
      </c>
      <c r="C143" s="133">
        <f>C141-C142</f>
        <v>-0.002112419095608331</v>
      </c>
      <c r="D143" s="133">
        <f>D141-D142</f>
        <v>-0.004868797894574034</v>
      </c>
      <c r="E143" s="161" t="s">
        <v>85</v>
      </c>
      <c r="F143" s="161" t="s">
        <v>85</v>
      </c>
      <c r="G143" s="161" t="s">
        <v>85</v>
      </c>
      <c r="H143" s="133">
        <f>H141-H142</f>
        <v>0.005437711912119558</v>
      </c>
      <c r="I143" s="133">
        <f>I141-I142</f>
        <v>0.0008994497898437981</v>
      </c>
      <c r="J143" s="137"/>
      <c r="K143" s="2"/>
      <c r="L143" s="8" t="s">
        <v>273</v>
      </c>
    </row>
    <row r="144">
      <c r="A144" s="2"/>
      <c r="B144" s="21" t="s">
        <v>80</v>
      </c>
      <c r="C144" s="43"/>
      <c r="D144" s="43"/>
      <c r="E144" s="43"/>
      <c r="F144" s="43"/>
      <c r="G144" s="43"/>
      <c r="H144" s="43">
        <f>H142-C142</f>
        <v>0.41000000000000003</v>
      </c>
      <c r="I144" s="43">
        <f>I142-D142</f>
        <v>0.68</v>
      </c>
      <c r="J144" s="134">
        <f>J141-E142</f>
        <v>0.6242406219305644</v>
      </c>
      <c r="K144" s="2"/>
      <c r="L144" s="8" t="s">
        <v>274</v>
      </c>
    </row>
    <row r="145">
      <c r="A145" s="2"/>
      <c r="B145" s="21" t="s">
        <v>81</v>
      </c>
      <c r="C145" s="43"/>
      <c r="D145" s="43">
        <f>D142-C142</f>
        <v>0.07</v>
      </c>
      <c r="E145" s="43">
        <f>E142-D142</f>
        <v>0.04999999999999999</v>
      </c>
      <c r="F145" s="43">
        <f>F142-E142</f>
        <v>0.30000000000000004</v>
      </c>
      <c r="G145" s="43"/>
      <c r="H145" s="43">
        <f>H142-F142</f>
        <v>-0.010000000000000009</v>
      </c>
      <c r="I145" s="43">
        <f>I142-H142</f>
        <v>0.34</v>
      </c>
      <c r="J145" s="134">
        <f>J141-I142</f>
        <v>-0.005759378069435606</v>
      </c>
      <c r="K145" s="2"/>
      <c r="L145" s="8" t="s">
        <v>275</v>
      </c>
    </row>
    <row r="146" ht="30">
      <c r="A146" s="2"/>
      <c r="B146" s="73" t="s">
        <v>276</v>
      </c>
      <c r="C146" s="133">
        <f>ROUND(C141-(C134+C85)/C139,9)+ROUND(C88-C86/C84,9)</f>
        <v>0</v>
      </c>
      <c r="D146" s="133">
        <f>ROUND(D141-(D134+D85)/D139,9)+ROUND(D88-D86/D84,9)</f>
        <v>0</v>
      </c>
      <c r="E146" s="133">
        <f>ROUND(E88-E86/E84,9)</f>
        <v>0</v>
      </c>
      <c r="F146" s="133">
        <f>ROUND(F88-F86/F84,9)</f>
        <v>0</v>
      </c>
      <c r="G146" s="133">
        <f>ROUND(G88-G86/G84,9)</f>
        <v>0</v>
      </c>
      <c r="H146" s="133">
        <f>ROUND(H141-(H134+H85)/H139,9)+ROUND(H88-H86/H84,9)</f>
        <v>0</v>
      </c>
      <c r="I146" s="133">
        <f>ROUND(I141-(I134+I85)/I139,9)+ROUND(I88-I86/I84,9)</f>
        <v>0</v>
      </c>
      <c r="J146" s="137">
        <f>ROUND(J141-(J134+J85)/J139,9)+ROUND(J88-J86/J84,9)</f>
        <v>0</v>
      </c>
      <c r="K146" s="2"/>
      <c r="L146" s="8" t="s">
        <v>277</v>
      </c>
    </row>
    <row r="147" ht="19.5">
      <c r="A147" s="2"/>
      <c r="B147" s="153" t="s">
        <v>278</v>
      </c>
      <c r="C147" s="162">
        <v>0.03</v>
      </c>
      <c r="D147" s="162">
        <v>0.1</v>
      </c>
      <c r="E147" s="162">
        <v>0.15</v>
      </c>
      <c r="F147" s="162">
        <v>0.45</v>
      </c>
      <c r="G147" s="162"/>
      <c r="H147" s="162">
        <v>0.44</v>
      </c>
      <c r="I147" s="162">
        <v>0.78</v>
      </c>
      <c r="J147" s="164"/>
      <c r="K147" s="2"/>
      <c r="L147" s="160" t="s">
        <v>279</v>
      </c>
    </row>
    <row r="148" ht="19.5">
      <c r="A148" s="2"/>
      <c r="B148" s="159" t="s">
        <v>280</v>
      </c>
      <c r="C148" s="161">
        <f>C147-C142</f>
        <v>0</v>
      </c>
      <c r="D148" s="161">
        <f>D147-D142</f>
        <v>0</v>
      </c>
      <c r="E148" s="161">
        <f>E147-E142</f>
        <v>0</v>
      </c>
      <c r="F148" s="161">
        <f>F147-F142</f>
        <v>0</v>
      </c>
      <c r="G148" s="161"/>
      <c r="H148" s="161">
        <f>H147-H142</f>
        <v>0</v>
      </c>
      <c r="I148" s="161">
        <f>I147-I142</f>
        <v>0</v>
      </c>
      <c r="J148" s="164"/>
      <c r="K148" s="2"/>
      <c r="L148" s="160" t="s">
        <v>281</v>
      </c>
    </row>
    <row r="150">
      <c r="B150" s="182" t="s">
        <v>282</v>
      </c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</row>
    <row r="151" ht="30">
      <c r="B151" s="171" t="s">
        <v>283</v>
      </c>
      <c r="C151" s="181">
        <f>(C142-0.005)*C139</f>
        <v>5.755249999999999</v>
      </c>
      <c r="D151" s="181">
        <f>(D142-0.005)*D139</f>
        <v>22.09149</v>
      </c>
      <c r="E151" s="181">
        <f>(E142-0.005)*E139</f>
        <v>45.30945499999999</v>
      </c>
      <c r="F151" s="181">
        <f>(F142-0.005)*F139</f>
        <v>140.21416000000002</v>
      </c>
      <c r="G151" s="181">
        <f>(G142-0.005)*G139</f>
        <v>233.880125</v>
      </c>
      <c r="H151" s="181">
        <f>(H142-0.005)*H139</f>
        <v>139.07298</v>
      </c>
      <c r="I151" s="181">
        <f>(I142-0.005)*I139</f>
        <v>250.58152500000003</v>
      </c>
      <c r="J151" s="169"/>
      <c r="K151" s="169"/>
      <c r="L151" s="170" t="s">
        <v>284</v>
      </c>
    </row>
    <row r="152" ht="30">
      <c r="B152" s="171" t="s">
        <v>285</v>
      </c>
      <c r="C152" s="181">
        <f>(C142+0.005)*C139</f>
        <v>8.05735</v>
      </c>
      <c r="D152" s="181">
        <f>(D142+0.005)*D139</f>
        <v>24.41691</v>
      </c>
      <c r="E152" s="181">
        <f>(E142+0.005)*E139</f>
        <v>48.434245</v>
      </c>
      <c r="F152" s="181">
        <f>(F142+0.005)*F139</f>
        <v>143.36504000000002</v>
      </c>
      <c r="G152" s="181">
        <f>(G142+0.005)*G139</f>
        <v>236.97787499999998</v>
      </c>
      <c r="H152" s="181">
        <f>(H142+0.005)*H139</f>
        <v>142.27006</v>
      </c>
      <c r="I152" s="181">
        <f>(I142+0.005)*I139</f>
        <v>253.81483500000002</v>
      </c>
      <c r="J152" s="169"/>
      <c r="K152" s="169"/>
      <c r="L152" s="170"/>
    </row>
    <row r="153" ht="19.5">
      <c r="B153" s="171" t="s">
        <v>286</v>
      </c>
      <c r="C153" s="181" t="str">
        <f>IF(ISNUMBER(C138),IF(AND(C138&gt;=C151,C138&lt;C152),"Inside","Outside"),"n/d")</f>
        <v>Inside</v>
      </c>
      <c r="D153" s="181" t="str">
        <f>IF(ISNUMBER(D138),IF(AND(D138&gt;=D151,D138&lt;D152),"Inside","Outside"),"n/d")</f>
        <v>Inside</v>
      </c>
      <c r="E153" s="181" t="str">
        <f>IF(ISNUMBER(E138),IF(AND(E138&gt;=E151,E138&lt;E152),"Inside","Outside"),"n/d")</f>
        <v>n/d</v>
      </c>
      <c r="F153" s="181" t="str">
        <f>IF(ISNUMBER(F138),IF(AND(F138&gt;=F151,F138&lt;F152),"Inside","Outside"),"n/d")</f>
        <v>n/d</v>
      </c>
      <c r="G153" s="181" t="str">
        <f>IF(ISNUMBER(G138),IF(AND(G138&gt;=G151,G138&lt;G152),"Inside","Outside"),"n/d")</f>
        <v>n/d</v>
      </c>
      <c r="H153" s="181" t="str">
        <f>IF(ISNUMBER(H138),IF(AND(H138&gt;=H151,H138&lt;H152),"Inside","Outside"),"n/d")</f>
        <v>Outside</v>
      </c>
      <c r="I153" s="181" t="str">
        <f>IF(ISNUMBER(I138),IF(AND(I138&gt;=I151,I138&lt;I152),"Inside","Outside"),"n/d")</f>
        <v>Inside</v>
      </c>
      <c r="J153" s="169"/>
      <c r="K153" s="169"/>
      <c r="L153" s="170" t="s">
        <v>287</v>
      </c>
    </row>
    <row r="154" ht="30">
      <c r="B154" s="171" t="s">
        <v>288</v>
      </c>
      <c r="C154" s="181">
        <f>C151-C135</f>
        <v>-0.6647500000000006</v>
      </c>
      <c r="D154" s="181">
        <f>D151-D135</f>
        <v>-0.030509999999999593</v>
      </c>
      <c r="E154" s="181">
        <f>E151-E135</f>
        <v>9.644454999999994</v>
      </c>
      <c r="F154" s="181">
        <f>F151-F135</f>
        <v>6.1621600000000285</v>
      </c>
      <c r="G154" s="181">
        <f>G151-G135</f>
        <v>35.833124999999995</v>
      </c>
      <c r="H154" s="181">
        <f>H151-H135</f>
        <v>1.0179799999999943</v>
      </c>
      <c r="I154" s="181">
        <f>I151-I135</f>
        <v>2.3725250000000244</v>
      </c>
      <c r="J154" s="169"/>
      <c r="K154" s="169"/>
      <c r="L154" s="170" t="s">
        <v>289</v>
      </c>
    </row>
    <row r="155" ht="30">
      <c r="B155" s="171" t="s">
        <v>290</v>
      </c>
      <c r="C155" s="181">
        <f>C152-C135</f>
        <v>1.6373499999999996</v>
      </c>
      <c r="D155" s="181">
        <f>D152-D135</f>
        <v>2.2949100000000016</v>
      </c>
      <c r="E155" s="181">
        <f>E152-E135</f>
        <v>12.769244999999998</v>
      </c>
      <c r="F155" s="181">
        <f>F152-F135</f>
        <v>9.31304000000003</v>
      </c>
      <c r="G155" s="181">
        <f>G152-G135</f>
        <v>38.930874999999986</v>
      </c>
      <c r="H155" s="181">
        <f>H152-H135</f>
        <v>4.215059999999994</v>
      </c>
      <c r="I155" s="181">
        <f>I152-I135</f>
        <v>5.605835000000013</v>
      </c>
      <c r="J155" s="169"/>
      <c r="K155" s="169"/>
      <c r="L155" s="170" t="s">
        <v>291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6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292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293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>
      <c r="A10" s="2"/>
      <c r="B10" s="21" t="s">
        <v>294</v>
      </c>
      <c r="C10" s="11">
        <v>794.751</v>
      </c>
      <c r="D10" s="11">
        <v>574.764</v>
      </c>
      <c r="E10" s="11">
        <v>595.055</v>
      </c>
      <c r="F10" s="11">
        <v>2454.108</v>
      </c>
      <c r="G10" s="6">
        <f>F10</f>
        <v>2454.108</v>
      </c>
      <c r="H10" s="11">
        <v>2491.433</v>
      </c>
      <c r="I10" s="11">
        <v>2666.859</v>
      </c>
      <c r="J10" s="22">
        <f>I10+'Cash Flow Statement'!J58</f>
        <v>2760.5389999999998</v>
      </c>
      <c r="K10" s="2"/>
      <c r="L10" s="8"/>
    </row>
    <row r="11">
      <c r="A11" s="2"/>
      <c r="B11" s="21" t="s">
        <v>295</v>
      </c>
      <c r="C11" s="11">
        <v>6.203</v>
      </c>
      <c r="D11" s="11">
        <v>1.128</v>
      </c>
      <c r="E11" s="11">
        <v>8.474</v>
      </c>
      <c r="F11" s="11">
        <v>1.973</v>
      </c>
      <c r="G11" s="6">
        <f>F11</f>
        <v>1.973</v>
      </c>
      <c r="H11" s="11">
        <v>1.251</v>
      </c>
      <c r="I11" s="11">
        <v>1.05</v>
      </c>
      <c r="J11" s="7">
        <f>I11</f>
        <v>1.05</v>
      </c>
      <c r="K11" s="2"/>
      <c r="L11" s="8"/>
    </row>
    <row r="12">
      <c r="A12" s="2"/>
      <c r="B12" s="21" t="s">
        <v>296</v>
      </c>
      <c r="C12" s="11">
        <v>333.981</v>
      </c>
      <c r="D12" s="11">
        <v>467.038</v>
      </c>
      <c r="E12" s="11">
        <v>411.653</v>
      </c>
      <c r="F12" s="11">
        <v>371.796</v>
      </c>
      <c r="G12" s="6">
        <f>F12</f>
        <v>371.796</v>
      </c>
      <c r="H12" s="11">
        <v>359.406</v>
      </c>
      <c r="I12" s="11">
        <v>458.126</v>
      </c>
      <c r="J12" s="7">
        <f>I12</f>
        <v>458.126</v>
      </c>
      <c r="K12" s="2"/>
      <c r="L12" s="8"/>
    </row>
    <row r="13">
      <c r="A13" s="2"/>
      <c r="B13" s="21" t="s">
        <v>297</v>
      </c>
      <c r="C13" s="11">
        <v>143.619</v>
      </c>
      <c r="D13" s="11">
        <v>129.798</v>
      </c>
      <c r="E13" s="11">
        <v>258.884</v>
      </c>
      <c r="F13" s="11">
        <v>178.928</v>
      </c>
      <c r="G13" s="6">
        <f>F13</f>
        <v>178.928</v>
      </c>
      <c r="H13" s="11">
        <v>242.595</v>
      </c>
      <c r="I13" s="11">
        <v>365.461</v>
      </c>
      <c r="J13" s="7">
        <f>I13</f>
        <v>365.461</v>
      </c>
      <c r="K13" s="2"/>
      <c r="L13" s="8"/>
    </row>
    <row r="14">
      <c r="A14" s="2"/>
      <c r="B14" s="21" t="s">
        <v>298</v>
      </c>
      <c r="C14" s="11">
        <v>612.504</v>
      </c>
      <c r="D14" s="11">
        <v>689.963</v>
      </c>
      <c r="E14" s="11">
        <v>704.996</v>
      </c>
      <c r="F14" s="11">
        <v>643.306</v>
      </c>
      <c r="G14" s="6">
        <f>F14</f>
        <v>643.306</v>
      </c>
      <c r="H14" s="11">
        <v>732.528</v>
      </c>
      <c r="I14" s="11">
        <v>758.188</v>
      </c>
      <c r="J14" s="7">
        <f>I14</f>
        <v>758.188</v>
      </c>
      <c r="K14" s="2"/>
      <c r="L14" s="8"/>
    </row>
    <row r="15">
      <c r="A15" s="2"/>
      <c r="B15" s="21" t="s">
        <v>299</v>
      </c>
      <c r="C15" s="11">
        <v>66.515</v>
      </c>
      <c r="D15" s="11">
        <v>30.525</v>
      </c>
      <c r="E15" s="11">
        <v>24.091</v>
      </c>
      <c r="F15" s="11">
        <v>30.651</v>
      </c>
      <c r="G15" s="6">
        <f>F15</f>
        <v>30.651</v>
      </c>
      <c r="H15" s="11">
        <v>23.363</v>
      </c>
      <c r="I15" s="11">
        <v>67.273</v>
      </c>
      <c r="J15" s="7">
        <f>I15</f>
        <v>67.273</v>
      </c>
      <c r="K15" s="2"/>
      <c r="L15" s="8"/>
    </row>
    <row r="16" ht="19.5">
      <c r="A16" s="2"/>
      <c r="B16" s="18" t="s">
        <v>300</v>
      </c>
      <c r="C16" s="11">
        <v>0</v>
      </c>
      <c r="D16" s="11">
        <v>0</v>
      </c>
      <c r="E16" s="11">
        <v>0</v>
      </c>
      <c r="F16" s="11">
        <v>0</v>
      </c>
      <c r="G16" s="6">
        <f>F16</f>
        <v>0</v>
      </c>
      <c r="H16" s="11">
        <v>0</v>
      </c>
      <c r="I16" s="11">
        <v>90.967</v>
      </c>
      <c r="J16" s="22">
        <f>I16-'Revenue summary'!J11</f>
        <v>80.967</v>
      </c>
      <c r="K16" s="2"/>
      <c r="L16" s="8"/>
    </row>
    <row r="17" ht="19.5">
      <c r="A17" s="2"/>
      <c r="B17" s="18" t="s">
        <v>301</v>
      </c>
      <c r="C17" s="11">
        <v>51.305</v>
      </c>
      <c r="D17" s="11">
        <v>40.07</v>
      </c>
      <c r="E17" s="11">
        <v>44.743</v>
      </c>
      <c r="F17" s="11">
        <v>49.805</v>
      </c>
      <c r="G17" s="6">
        <f>F17</f>
        <v>49.805</v>
      </c>
      <c r="H17" s="11">
        <v>103.96</v>
      </c>
      <c r="I17" s="11">
        <v>182.138</v>
      </c>
      <c r="J17" s="7">
        <f>I17</f>
        <v>182.138</v>
      </c>
      <c r="K17" s="2"/>
      <c r="L17" s="8"/>
    </row>
    <row r="18" ht="19.5">
      <c r="A18" s="2"/>
      <c r="B18" s="18" t="s">
        <v>302</v>
      </c>
      <c r="C18" s="6"/>
      <c r="D18" s="6"/>
      <c r="E18" s="6"/>
      <c r="F18" s="6"/>
      <c r="G18" s="6"/>
      <c r="H18" s="6"/>
      <c r="I18" s="6"/>
      <c r="J18" s="22">
        <f>-('Cash Flow Statement'!J36+'Cash Flow Statement'!J12+'Cash Flow Statement'!J21+'Cash Flow Statement'!J16+'Cash Flow Statement'!J17+'Cash Flow Statement'!J18+'Cash Flow Statement'!J20)</f>
        <v>92</v>
      </c>
      <c r="K18" s="2"/>
      <c r="L18" s="8" t="s">
        <v>303</v>
      </c>
    </row>
    <row r="19">
      <c r="A19" s="2"/>
      <c r="B19" s="17" t="s">
        <v>304</v>
      </c>
      <c r="C19" s="14">
        <f>SUM(C10:C18)</f>
        <v>2008.878</v>
      </c>
      <c r="D19" s="14">
        <f>SUM(D10:D18)</f>
        <v>1933.286</v>
      </c>
      <c r="E19" s="14">
        <f>SUM(E10:E18)</f>
        <v>2047.896</v>
      </c>
      <c r="F19" s="14">
        <f>SUM(F10:F18)</f>
        <v>3730.567</v>
      </c>
      <c r="G19" s="14">
        <f>SUM(G10:G18)</f>
        <v>3730.567</v>
      </c>
      <c r="H19" s="14">
        <f>SUM(H10:H18)</f>
        <v>3954.536</v>
      </c>
      <c r="I19" s="14">
        <f>SUM(I10:I18)</f>
        <v>4590.062</v>
      </c>
      <c r="J19" s="28">
        <f>SUM(J10:J18)</f>
        <v>4765.742</v>
      </c>
      <c r="K19" s="2"/>
      <c r="L19" s="8"/>
    </row>
    <row r="20">
      <c r="A20" s="2"/>
      <c r="B20" s="21" t="s">
        <v>305</v>
      </c>
      <c r="C20" s="11">
        <v>405.879</v>
      </c>
      <c r="D20" s="11">
        <v>402.88</v>
      </c>
      <c r="E20" s="11">
        <v>400.36</v>
      </c>
      <c r="F20" s="11">
        <v>398.507</v>
      </c>
      <c r="G20" s="6">
        <f>F20</f>
        <v>398.507</v>
      </c>
      <c r="H20" s="11">
        <v>401.088</v>
      </c>
      <c r="I20" s="11">
        <v>443.388</v>
      </c>
      <c r="J20" s="22">
        <f>I20-'Cash Flow Statement'!J43-'Cash Flow Statement'!J11-'Cash Flow Statement'!J44</f>
        <v>518.8879999999999</v>
      </c>
      <c r="K20" s="2"/>
      <c r="L20" s="8"/>
    </row>
    <row r="21" ht="19.5">
      <c r="A21" s="2"/>
      <c r="B21" s="18" t="s">
        <v>306</v>
      </c>
      <c r="C21" s="11">
        <v>0</v>
      </c>
      <c r="D21" s="11">
        <v>0</v>
      </c>
      <c r="E21" s="11">
        <v>5.939</v>
      </c>
      <c r="F21" s="11">
        <v>10.037</v>
      </c>
      <c r="G21" s="6">
        <f>F21</f>
        <v>10.037</v>
      </c>
      <c r="H21" s="11">
        <v>23.261</v>
      </c>
      <c r="I21" s="11">
        <v>28.09</v>
      </c>
      <c r="J21" s="22">
        <f>I21-'Cash Flow Statement'!J45-'Cash Flow Statement'!J14</f>
        <v>25.090000000000003</v>
      </c>
      <c r="K21" s="2"/>
      <c r="L21" s="8"/>
    </row>
    <row r="22">
      <c r="A22" s="2"/>
      <c r="B22" s="21" t="s">
        <v>307</v>
      </c>
      <c r="C22" s="11">
        <v>118.292</v>
      </c>
      <c r="D22" s="11">
        <v>117.28</v>
      </c>
      <c r="E22" s="11">
        <v>112.677</v>
      </c>
      <c r="F22" s="11">
        <v>108.541</v>
      </c>
      <c r="G22" s="6">
        <f>F22</f>
        <v>108.541</v>
      </c>
      <c r="H22" s="11">
        <v>109.395</v>
      </c>
      <c r="I22" s="11">
        <v>106.475</v>
      </c>
      <c r="J22" s="7">
        <f>I22</f>
        <v>106.475</v>
      </c>
      <c r="K22" s="2"/>
      <c r="L22" s="8"/>
    </row>
    <row r="23">
      <c r="A23" s="2"/>
      <c r="B23" s="21" t="s">
        <v>308</v>
      </c>
      <c r="C23" s="11">
        <v>30.404</v>
      </c>
      <c r="D23" s="11">
        <v>30.155</v>
      </c>
      <c r="E23" s="11">
        <v>23.486</v>
      </c>
      <c r="F23" s="11">
        <v>25.499</v>
      </c>
      <c r="G23" s="6">
        <f>F23</f>
        <v>25.499</v>
      </c>
      <c r="H23" s="11">
        <v>25.6</v>
      </c>
      <c r="I23" s="11">
        <v>20.599</v>
      </c>
      <c r="J23" s="7">
        <f>I23</f>
        <v>20.599</v>
      </c>
      <c r="K23" s="2"/>
      <c r="L23" s="8"/>
    </row>
    <row r="24">
      <c r="A24" s="2"/>
      <c r="B24" s="21" t="s">
        <v>309</v>
      </c>
      <c r="C24" s="11">
        <v>0</v>
      </c>
      <c r="D24" s="11">
        <v>0</v>
      </c>
      <c r="E24" s="11">
        <v>0</v>
      </c>
      <c r="F24" s="11">
        <v>62.258</v>
      </c>
      <c r="G24" s="6">
        <f>F24</f>
        <v>62.258</v>
      </c>
      <c r="H24" s="11">
        <v>63.281</v>
      </c>
      <c r="I24" s="11">
        <v>62.837</v>
      </c>
      <c r="J24" s="7">
        <f>I24</f>
        <v>62.837</v>
      </c>
      <c r="K24" s="2"/>
      <c r="L24" s="8"/>
    </row>
    <row r="25" ht="19.5">
      <c r="A25" s="2"/>
      <c r="B25" s="18" t="s">
        <v>310</v>
      </c>
      <c r="C25" s="11">
        <v>0.651</v>
      </c>
      <c r="D25" s="11">
        <v>1.511</v>
      </c>
      <c r="E25" s="11">
        <v>3.434</v>
      </c>
      <c r="F25" s="11">
        <v>4.099</v>
      </c>
      <c r="G25" s="6">
        <f>F25</f>
        <v>4.099</v>
      </c>
      <c r="H25" s="11">
        <v>4.269</v>
      </c>
      <c r="I25" s="11">
        <v>7.675</v>
      </c>
      <c r="J25" s="7">
        <f>I25</f>
        <v>7.675</v>
      </c>
      <c r="K25" s="2"/>
      <c r="L25" s="8"/>
    </row>
    <row r="26" ht="19.5">
      <c r="A26" s="2"/>
      <c r="B26" s="18" t="s">
        <v>311</v>
      </c>
      <c r="C26" s="11">
        <v>0</v>
      </c>
      <c r="D26" s="11">
        <v>0</v>
      </c>
      <c r="E26" s="11">
        <v>0</v>
      </c>
      <c r="F26" s="11">
        <v>0</v>
      </c>
      <c r="G26" s="6">
        <f>F26</f>
        <v>0</v>
      </c>
      <c r="H26" s="11">
        <v>0</v>
      </c>
      <c r="I26" s="11">
        <v>215.533</v>
      </c>
      <c r="J26" s="7">
        <f>I26</f>
        <v>215.533</v>
      </c>
      <c r="K26" s="2"/>
      <c r="L26" s="8"/>
    </row>
    <row r="27">
      <c r="A27" s="2"/>
      <c r="B27" s="21" t="s">
        <v>312</v>
      </c>
      <c r="C27" s="11">
        <v>43.88</v>
      </c>
      <c r="D27" s="11">
        <v>45.31</v>
      </c>
      <c r="E27" s="11">
        <v>44.407</v>
      </c>
      <c r="F27" s="11">
        <v>57.203</v>
      </c>
      <c r="G27" s="6">
        <f>F27</f>
        <v>57.203</v>
      </c>
      <c r="H27" s="11">
        <v>83.299</v>
      </c>
      <c r="I27" s="11">
        <v>153.742</v>
      </c>
      <c r="J27" s="7">
        <f>I27</f>
        <v>153.742</v>
      </c>
      <c r="K27" s="2"/>
      <c r="L27" s="8"/>
    </row>
    <row r="28">
      <c r="A28" s="2"/>
      <c r="B28" s="17" t="s">
        <v>313</v>
      </c>
      <c r="C28" s="14">
        <f>C19+SUM(C20:C27)</f>
        <v>2607.984</v>
      </c>
      <c r="D28" s="14">
        <f>D19+SUM(D20:D27)</f>
        <v>2530.422</v>
      </c>
      <c r="E28" s="14">
        <f>E19+SUM(E20:E27)</f>
        <v>2638.199</v>
      </c>
      <c r="F28" s="14">
        <f>F19+SUM(F20:F27)</f>
        <v>4396.711</v>
      </c>
      <c r="G28" s="14">
        <f>G19+SUM(G20:G27)</f>
        <v>4396.711</v>
      </c>
      <c r="H28" s="14">
        <f>H19+SUM(H20:H27)</f>
        <v>4664.729</v>
      </c>
      <c r="I28" s="14">
        <f>I19+SUM(I20:I27)</f>
        <v>5628.401</v>
      </c>
      <c r="J28" s="28">
        <f>J19+SUM(J20:J27)</f>
        <v>5876.581</v>
      </c>
      <c r="K28" s="2"/>
      <c r="L28" s="8"/>
    </row>
    <row r="29">
      <c r="A29" s="2"/>
      <c r="B29" s="21" t="s">
        <v>314</v>
      </c>
      <c r="C29" s="11">
        <v>2607.984</v>
      </c>
      <c r="D29" s="11">
        <v>2530.422</v>
      </c>
      <c r="E29" s="11">
        <v>2638.199</v>
      </c>
      <c r="F29" s="11">
        <v>4396.711</v>
      </c>
      <c r="G29" s="6"/>
      <c r="H29" s="11">
        <v>4664.729</v>
      </c>
      <c r="I29" s="11">
        <v>5628.401</v>
      </c>
      <c r="J29" s="7"/>
      <c r="K29" s="2"/>
      <c r="L29" s="8"/>
    </row>
    <row r="30" ht="19.5">
      <c r="A30" s="2"/>
      <c r="B30" s="73" t="s">
        <v>315</v>
      </c>
      <c r="C30" s="103">
        <f>ROUND(C28-C29,6)</f>
        <v>0</v>
      </c>
      <c r="D30" s="103">
        <f>ROUND(D28-D29,6)</f>
        <v>0</v>
      </c>
      <c r="E30" s="103">
        <f>ROUND(E28-E29,6)</f>
        <v>0</v>
      </c>
      <c r="F30" s="103">
        <f>ROUND(F28-F29,6)</f>
        <v>0</v>
      </c>
      <c r="G30" s="103"/>
      <c r="H30" s="103">
        <f>ROUND(H28-H29,6)</f>
        <v>0</v>
      </c>
      <c r="I30" s="103">
        <f>ROUND(I28-I29,6)</f>
        <v>0</v>
      </c>
      <c r="J30" s="107"/>
      <c r="K30" s="2"/>
      <c r="L30" s="8"/>
    </row>
    <row r="31">
      <c r="A31" s="2"/>
      <c r="B31" s="30" t="s">
        <v>316</v>
      </c>
      <c r="C31" s="16"/>
      <c r="D31" s="16"/>
      <c r="E31" s="16"/>
      <c r="F31" s="16"/>
      <c r="G31" s="16"/>
      <c r="H31" s="16"/>
      <c r="I31" s="16"/>
      <c r="J31" s="4"/>
      <c r="K31" s="2"/>
      <c r="L31" s="8"/>
    </row>
    <row r="32">
      <c r="A32" s="2"/>
      <c r="B32" s="21" t="s">
        <v>317</v>
      </c>
      <c r="C32" s="11">
        <v>144.998</v>
      </c>
      <c r="D32" s="11">
        <v>144.781</v>
      </c>
      <c r="E32" s="11">
        <v>167.382</v>
      </c>
      <c r="F32" s="11">
        <v>203.129</v>
      </c>
      <c r="G32" s="6">
        <f>F32</f>
        <v>203.129</v>
      </c>
      <c r="H32" s="11">
        <v>241.649</v>
      </c>
      <c r="I32" s="11">
        <v>309.929</v>
      </c>
      <c r="J32" s="7">
        <f>I32</f>
        <v>309.929</v>
      </c>
      <c r="K32" s="2"/>
      <c r="L32" s="8"/>
    </row>
    <row r="33">
      <c r="A33" s="2"/>
      <c r="B33" s="21" t="s">
        <v>318</v>
      </c>
      <c r="C33" s="11">
        <v>10.283</v>
      </c>
      <c r="D33" s="11">
        <v>11.993</v>
      </c>
      <c r="E33" s="11">
        <v>14.682</v>
      </c>
      <c r="F33" s="11">
        <v>20.013</v>
      </c>
      <c r="G33" s="6">
        <f>F33</f>
        <v>20.013</v>
      </c>
      <c r="H33" s="11">
        <v>38.365</v>
      </c>
      <c r="I33" s="11">
        <v>77.797</v>
      </c>
      <c r="J33" s="7">
        <f>I33</f>
        <v>77.797</v>
      </c>
      <c r="K33" s="2"/>
      <c r="L33" s="8"/>
    </row>
    <row r="34" ht="19.5">
      <c r="A34" s="2"/>
      <c r="B34" s="18" t="s">
        <v>319</v>
      </c>
      <c r="C34" s="11">
        <v>104.296</v>
      </c>
      <c r="D34" s="11">
        <v>116.619</v>
      </c>
      <c r="E34" s="11">
        <v>168.404</v>
      </c>
      <c r="F34" s="11">
        <v>222.254</v>
      </c>
      <c r="G34" s="6">
        <f>F34</f>
        <v>222.254</v>
      </c>
      <c r="H34" s="11">
        <v>223.653</v>
      </c>
      <c r="I34" s="11">
        <v>315.919</v>
      </c>
      <c r="J34" s="7">
        <f>I34</f>
        <v>315.919</v>
      </c>
      <c r="K34" s="2"/>
      <c r="L34" s="8"/>
    </row>
    <row r="35" ht="19.5">
      <c r="A35" s="2"/>
      <c r="B35" s="18" t="s">
        <v>320</v>
      </c>
      <c r="C35" s="11">
        <v>168.444</v>
      </c>
      <c r="D35" s="11">
        <v>59.964</v>
      </c>
      <c r="E35" s="11">
        <v>56.065</v>
      </c>
      <c r="F35" s="11">
        <v>100.975</v>
      </c>
      <c r="G35" s="6">
        <f>F35</f>
        <v>100.975</v>
      </c>
      <c r="H35" s="11">
        <v>194.094</v>
      </c>
      <c r="I35" s="11">
        <v>327.145</v>
      </c>
      <c r="J35" s="7">
        <f>I35</f>
        <v>327.145</v>
      </c>
      <c r="K35" s="2"/>
      <c r="L35" s="8"/>
    </row>
    <row r="36" ht="19.5">
      <c r="A36" s="2"/>
      <c r="B36" s="18" t="s">
        <v>321</v>
      </c>
      <c r="C36" s="11">
        <v>20.214</v>
      </c>
      <c r="D36" s="11">
        <v>21.201</v>
      </c>
      <c r="E36" s="11">
        <v>21.438</v>
      </c>
      <c r="F36" s="11">
        <v>22</v>
      </c>
      <c r="G36" s="6">
        <f>F36</f>
        <v>22</v>
      </c>
      <c r="H36" s="11">
        <v>21.933</v>
      </c>
      <c r="I36" s="11">
        <v>23.094</v>
      </c>
      <c r="J36" s="7">
        <f>I36</f>
        <v>23.094</v>
      </c>
      <c r="K36" s="2"/>
      <c r="L36" s="8"/>
    </row>
    <row r="37">
      <c r="A37" s="2"/>
      <c r="B37" s="21" t="s">
        <v>322</v>
      </c>
      <c r="C37" s="11">
        <v>21.553</v>
      </c>
      <c r="D37" s="11">
        <v>29.074</v>
      </c>
      <c r="E37" s="11">
        <v>36.556</v>
      </c>
      <c r="F37" s="11">
        <v>51.308</v>
      </c>
      <c r="G37" s="6">
        <f>F37</f>
        <v>51.308</v>
      </c>
      <c r="H37" s="11">
        <v>63.151</v>
      </c>
      <c r="I37" s="11">
        <v>62.034</v>
      </c>
      <c r="J37" s="7">
        <f>I37</f>
        <v>62.034</v>
      </c>
      <c r="K37" s="2"/>
      <c r="L37" s="8"/>
    </row>
    <row r="38">
      <c r="A38" s="2"/>
      <c r="B38" s="21" t="s">
        <v>323</v>
      </c>
      <c r="C38" s="11">
        <v>114.631</v>
      </c>
      <c r="D38" s="11">
        <v>2.229</v>
      </c>
      <c r="E38" s="11">
        <v>0</v>
      </c>
      <c r="F38" s="11">
        <v>0</v>
      </c>
      <c r="G38" s="6">
        <f>F38</f>
        <v>0</v>
      </c>
      <c r="H38" s="11">
        <v>0</v>
      </c>
      <c r="I38" s="11">
        <v>4.686</v>
      </c>
      <c r="J38" s="7">
        <f>I38</f>
        <v>4.686</v>
      </c>
      <c r="K38" s="2"/>
      <c r="L38" s="8"/>
    </row>
    <row r="39">
      <c r="A39" s="2"/>
      <c r="B39" s="21" t="s">
        <v>324</v>
      </c>
      <c r="C39" s="11">
        <v>0</v>
      </c>
      <c r="D39" s="11">
        <v>1.478</v>
      </c>
      <c r="E39" s="11">
        <v>1.424</v>
      </c>
      <c r="F39" s="11">
        <v>4.153</v>
      </c>
      <c r="G39" s="6">
        <f>F39</f>
        <v>4.153</v>
      </c>
      <c r="H39" s="11">
        <v>3.959</v>
      </c>
      <c r="I39" s="11">
        <v>2.583</v>
      </c>
      <c r="J39" s="7">
        <f>I39</f>
        <v>2.583</v>
      </c>
      <c r="K39" s="2"/>
      <c r="L39" s="8"/>
    </row>
    <row r="40">
      <c r="A40" s="2"/>
      <c r="B40" s="17" t="s">
        <v>325</v>
      </c>
      <c r="C40" s="14">
        <f>SUM(C32:C39)</f>
        <v>584.419</v>
      </c>
      <c r="D40" s="14">
        <f>SUM(D32:D39)</f>
        <v>387.339</v>
      </c>
      <c r="E40" s="14">
        <f>SUM(E32:E39)</f>
        <v>465.95099999999996</v>
      </c>
      <c r="F40" s="14">
        <f>SUM(F32:F39)</f>
        <v>623.832</v>
      </c>
      <c r="G40" s="14">
        <f>SUM(G32:G39)</f>
        <v>623.832</v>
      </c>
      <c r="H40" s="14">
        <f>SUM(H32:H39)</f>
        <v>786.804</v>
      </c>
      <c r="I40" s="14">
        <f>SUM(I32:I39)</f>
        <v>1123.187</v>
      </c>
      <c r="J40" s="28">
        <f>SUM(J32:J39)</f>
        <v>1123.187</v>
      </c>
      <c r="K40" s="2"/>
      <c r="L40" s="8"/>
    </row>
    <row r="41" ht="19.5">
      <c r="A41" s="2"/>
      <c r="B41" s="18" t="s">
        <v>326</v>
      </c>
      <c r="C41" s="11">
        <v>47.173</v>
      </c>
      <c r="D41" s="11">
        <v>47.649</v>
      </c>
      <c r="E41" s="11">
        <v>32.254</v>
      </c>
      <c r="F41" s="11">
        <v>42.84</v>
      </c>
      <c r="G41" s="6">
        <f>F41</f>
        <v>42.84</v>
      </c>
      <c r="H41" s="11">
        <v>39.26</v>
      </c>
      <c r="I41" s="11">
        <v>117.901</v>
      </c>
      <c r="J41" s="7">
        <f>I41</f>
        <v>117.901</v>
      </c>
      <c r="K41" s="2"/>
      <c r="L41" s="8"/>
    </row>
    <row r="42" ht="19.5">
      <c r="A42" s="2"/>
      <c r="B42" s="18" t="s">
        <v>327</v>
      </c>
      <c r="C42" s="11">
        <v>119.487</v>
      </c>
      <c r="D42" s="11">
        <v>117.452</v>
      </c>
      <c r="E42" s="11">
        <v>112.188</v>
      </c>
      <c r="F42" s="11">
        <v>106.935</v>
      </c>
      <c r="G42" s="6">
        <f>F42</f>
        <v>106.935</v>
      </c>
      <c r="H42" s="11">
        <v>107.216</v>
      </c>
      <c r="I42" s="11">
        <v>102.73</v>
      </c>
      <c r="J42" s="7">
        <f>I42</f>
        <v>102.73</v>
      </c>
      <c r="K42" s="2"/>
      <c r="L42" s="8"/>
    </row>
    <row r="43">
      <c r="A43" s="2"/>
      <c r="B43" s="21" t="s">
        <v>328</v>
      </c>
      <c r="C43" s="11">
        <v>229.872</v>
      </c>
      <c r="D43" s="11">
        <v>219.894</v>
      </c>
      <c r="E43" s="11">
        <v>209.768</v>
      </c>
      <c r="F43" s="11">
        <v>192.46</v>
      </c>
      <c r="G43" s="6">
        <f>F43</f>
        <v>192.46</v>
      </c>
      <c r="H43" s="11">
        <v>152.834</v>
      </c>
      <c r="I43" s="11">
        <v>144.446</v>
      </c>
      <c r="J43" s="22">
        <f>I43+'Cash Flow Statement'!J51+'Cash Flow Statement'!J52</f>
        <v>139.446</v>
      </c>
      <c r="K43" s="2"/>
      <c r="L43" s="8"/>
    </row>
    <row r="44">
      <c r="A44" s="2"/>
      <c r="B44" s="21" t="s">
        <v>329</v>
      </c>
      <c r="C44" s="11">
        <v>1012.113</v>
      </c>
      <c r="D44" s="11">
        <v>1126.234</v>
      </c>
      <c r="E44" s="11">
        <v>1128.043</v>
      </c>
      <c r="F44" s="11">
        <v>2613.726</v>
      </c>
      <c r="G44" s="6">
        <f>F44</f>
        <v>2613.726</v>
      </c>
      <c r="H44" s="11">
        <v>2598.676</v>
      </c>
      <c r="I44" s="11">
        <v>2470.704</v>
      </c>
      <c r="J44" s="22">
        <f>I44+'Cash Flow Statement'!J15+'Cash Flow Statement'!J48+'Cash Flow Statement'!J49+'Cash Flow Statement'!J50</f>
        <v>2474.1040000000003</v>
      </c>
      <c r="K44" s="2"/>
      <c r="L44" s="8"/>
    </row>
    <row r="45">
      <c r="A45" s="2"/>
      <c r="B45" s="21" t="s">
        <v>330</v>
      </c>
      <c r="C45" s="11">
        <v>4.069</v>
      </c>
      <c r="D45" s="11">
        <v>2.956</v>
      </c>
      <c r="E45" s="11">
        <v>2.849</v>
      </c>
      <c r="F45" s="11">
        <v>0</v>
      </c>
      <c r="G45" s="6">
        <f>F45</f>
        <v>0</v>
      </c>
      <c r="H45" s="11">
        <v>0</v>
      </c>
      <c r="I45" s="11">
        <v>0</v>
      </c>
      <c r="J45" s="7">
        <f>I45</f>
        <v>0</v>
      </c>
      <c r="K45" s="2"/>
      <c r="L45" s="8"/>
    </row>
    <row r="46" ht="19.5">
      <c r="A46" s="2"/>
      <c r="B46" s="18" t="s">
        <v>331</v>
      </c>
      <c r="C46" s="11">
        <v>0</v>
      </c>
      <c r="D46" s="11">
        <v>0</v>
      </c>
      <c r="E46" s="11">
        <v>0</v>
      </c>
      <c r="F46" s="11">
        <v>13.928</v>
      </c>
      <c r="G46" s="6">
        <f>F46</f>
        <v>13.928</v>
      </c>
      <c r="H46" s="11">
        <v>22.774</v>
      </c>
      <c r="I46" s="11">
        <v>19.56</v>
      </c>
      <c r="J46" s="7">
        <f>I46</f>
        <v>19.56</v>
      </c>
      <c r="K46" s="2"/>
      <c r="L46" s="8"/>
    </row>
    <row r="47">
      <c r="A47" s="2"/>
      <c r="B47" s="21" t="s">
        <v>332</v>
      </c>
      <c r="C47" s="11">
        <v>9.396</v>
      </c>
      <c r="D47" s="11">
        <v>9.468</v>
      </c>
      <c r="E47" s="11">
        <v>9.667</v>
      </c>
      <c r="F47" s="11">
        <v>10.027</v>
      </c>
      <c r="G47" s="6">
        <f>F47</f>
        <v>10.027</v>
      </c>
      <c r="H47" s="11">
        <v>9.157</v>
      </c>
      <c r="I47" s="11">
        <v>9.202</v>
      </c>
      <c r="J47" s="7">
        <f>I47</f>
        <v>9.202</v>
      </c>
      <c r="K47" s="2"/>
      <c r="L47" s="8"/>
    </row>
    <row r="48">
      <c r="A48" s="2"/>
      <c r="B48" s="17" t="s">
        <v>333</v>
      </c>
      <c r="C48" s="14">
        <f>C40+SUM(C41:C47)</f>
        <v>2006.529</v>
      </c>
      <c r="D48" s="14">
        <f>D40+SUM(D41:D47)</f>
        <v>1910.9919999999997</v>
      </c>
      <c r="E48" s="14">
        <f>E40+SUM(E41:E47)</f>
        <v>1960.72</v>
      </c>
      <c r="F48" s="14">
        <f>F40+SUM(F41:F47)</f>
        <v>3603.748</v>
      </c>
      <c r="G48" s="14">
        <f>G40+SUM(G41:G47)</f>
        <v>3603.748</v>
      </c>
      <c r="H48" s="14">
        <f>H40+SUM(H41:H47)</f>
        <v>3716.721</v>
      </c>
      <c r="I48" s="14">
        <f>I40+SUM(I41:I47)</f>
        <v>3987.7300000000005</v>
      </c>
      <c r="J48" s="28">
        <f>J40+SUM(J41:J47)</f>
        <v>3986.1300000000006</v>
      </c>
      <c r="K48" s="2"/>
      <c r="L48" s="8"/>
    </row>
    <row r="49">
      <c r="A49" s="2"/>
      <c r="B49" s="30" t="s">
        <v>334</v>
      </c>
      <c r="C49" s="16"/>
      <c r="D49" s="16"/>
      <c r="E49" s="16"/>
      <c r="F49" s="16"/>
      <c r="G49" s="16"/>
      <c r="H49" s="16"/>
      <c r="I49" s="16"/>
      <c r="J49" s="4"/>
      <c r="K49" s="2"/>
      <c r="L49" s="8"/>
    </row>
    <row r="50">
      <c r="A50" s="2"/>
      <c r="B50" s="21" t="s">
        <v>335</v>
      </c>
      <c r="C50" s="11">
        <v>0.023</v>
      </c>
      <c r="D50" s="11">
        <v>0.023</v>
      </c>
      <c r="E50" s="11">
        <v>0.024</v>
      </c>
      <c r="F50" s="11">
        <v>0.028</v>
      </c>
      <c r="G50" s="6">
        <f>F50</f>
        <v>0.028</v>
      </c>
      <c r="H50" s="11">
        <v>0.028</v>
      </c>
      <c r="I50" s="11">
        <v>0.029</v>
      </c>
      <c r="J50" s="7">
        <f>I50</f>
        <v>0.029</v>
      </c>
      <c r="K50" s="2"/>
      <c r="L50" s="8"/>
    </row>
    <row r="51">
      <c r="A51" s="2"/>
      <c r="B51" s="21" t="s">
        <v>336</v>
      </c>
      <c r="C51" s="11">
        <v>4502.881</v>
      </c>
      <c r="D51" s="11">
        <v>4560.346</v>
      </c>
      <c r="E51" s="11">
        <v>4642.3</v>
      </c>
      <c r="F51" s="11">
        <v>4755.965</v>
      </c>
      <c r="G51" s="6">
        <f>F51</f>
        <v>4755.965</v>
      </c>
      <c r="H51" s="11">
        <v>4835.729</v>
      </c>
      <c r="I51" s="11">
        <v>5332.587</v>
      </c>
      <c r="J51" s="22">
        <f>I51+'Cash Flow Statement'!J13+'Cash Flow Statement'!J53+'Cash Flow Statement'!J55</f>
        <v>5395.587</v>
      </c>
      <c r="K51" s="2"/>
      <c r="L51" s="8"/>
    </row>
    <row r="52" ht="19.5">
      <c r="A52" s="2"/>
      <c r="B52" s="18" t="s">
        <v>337</v>
      </c>
      <c r="C52" s="11">
        <v>-2.27</v>
      </c>
      <c r="D52" s="11">
        <v>-0.806</v>
      </c>
      <c r="E52" s="11">
        <v>-1.179</v>
      </c>
      <c r="F52" s="11">
        <v>-0.369</v>
      </c>
      <c r="G52" s="6">
        <f>F52</f>
        <v>-0.369</v>
      </c>
      <c r="H52" s="11">
        <v>2.967</v>
      </c>
      <c r="I52" s="11">
        <v>0.347</v>
      </c>
      <c r="J52" s="22">
        <f>I52+'Cash Flow Statement'!J57</f>
        <v>0.347</v>
      </c>
      <c r="K52" s="2"/>
      <c r="L52" s="8"/>
    </row>
    <row r="53">
      <c r="A53" s="2"/>
      <c r="B53" s="21" t="s">
        <v>338</v>
      </c>
      <c r="C53" s="11">
        <v>-3922.363</v>
      </c>
      <c r="D53" s="11">
        <v>-3964.982</v>
      </c>
      <c r="E53" s="11">
        <v>-3988.075</v>
      </c>
      <c r="F53" s="11">
        <v>-3986.983</v>
      </c>
      <c r="G53" s="6">
        <f>F53</f>
        <v>-3986.983</v>
      </c>
      <c r="H53" s="11">
        <v>-3917.255</v>
      </c>
      <c r="I53" s="11">
        <v>-3720.965</v>
      </c>
      <c r="J53" s="22">
        <f>I53+'Income Statement'!J78</f>
        <v>-3536.685</v>
      </c>
      <c r="K53" s="2"/>
      <c r="L53" s="8"/>
    </row>
    <row r="54" ht="19.5">
      <c r="A54" s="2"/>
      <c r="B54" s="47" t="s">
        <v>339</v>
      </c>
      <c r="C54" s="14">
        <f>SUM(C50:C53)</f>
        <v>578.2710000000006</v>
      </c>
      <c r="D54" s="14">
        <f>SUM(D50:D53)</f>
        <v>594.5809999999997</v>
      </c>
      <c r="E54" s="14">
        <f>SUM(E50:E53)</f>
        <v>653.0700000000006</v>
      </c>
      <c r="F54" s="14">
        <f>SUM(F50:F53)</f>
        <v>768.6410000000001</v>
      </c>
      <c r="G54" s="14">
        <f>SUM(G50:G53)</f>
        <v>768.6410000000001</v>
      </c>
      <c r="H54" s="14">
        <f>SUM(H50:H53)</f>
        <v>921.4690000000005</v>
      </c>
      <c r="I54" s="14">
        <f>SUM(I50:I53)</f>
        <v>1611.998000000001</v>
      </c>
      <c r="J54" s="28">
        <f>SUM(J50:J53)</f>
        <v>1859.2780000000012</v>
      </c>
      <c r="K54" s="2"/>
      <c r="L54" s="8"/>
    </row>
    <row r="55">
      <c r="A55" s="2"/>
      <c r="B55" s="21" t="s">
        <v>340</v>
      </c>
      <c r="C55" s="11">
        <v>23.184</v>
      </c>
      <c r="D55" s="11">
        <v>24.849</v>
      </c>
      <c r="E55" s="11">
        <v>24.409</v>
      </c>
      <c r="F55" s="11">
        <v>24.322</v>
      </c>
      <c r="G55" s="6">
        <f>F55</f>
        <v>24.322</v>
      </c>
      <c r="H55" s="11">
        <v>26.539</v>
      </c>
      <c r="I55" s="11">
        <v>28.673</v>
      </c>
      <c r="J55" s="22">
        <f>I55+'Income Statement'!J77+'Cash Flow Statement'!J54</f>
        <v>31.173</v>
      </c>
      <c r="K55" s="2"/>
      <c r="L55" s="8"/>
    </row>
    <row r="56">
      <c r="A56" s="2"/>
      <c r="B56" s="17" t="s">
        <v>341</v>
      </c>
      <c r="C56" s="14">
        <f>C54+C55</f>
        <v>601.4550000000006</v>
      </c>
      <c r="D56" s="14">
        <f>D54+D55</f>
        <v>619.4299999999997</v>
      </c>
      <c r="E56" s="14">
        <f>E54+E55</f>
        <v>677.4790000000006</v>
      </c>
      <c r="F56" s="14">
        <f>F54+F55</f>
        <v>792.9630000000001</v>
      </c>
      <c r="G56" s="14">
        <f>G54+G55</f>
        <v>792.9630000000001</v>
      </c>
      <c r="H56" s="14">
        <f>H54+H55</f>
        <v>948.0080000000005</v>
      </c>
      <c r="I56" s="14">
        <f>I54+I55</f>
        <v>1640.671000000001</v>
      </c>
      <c r="J56" s="28">
        <f>J54+J55</f>
        <v>1890.4510000000012</v>
      </c>
      <c r="K56" s="2"/>
      <c r="L56" s="8"/>
    </row>
    <row r="57" ht="19.5">
      <c r="A57" s="2"/>
      <c r="B57" s="47" t="s">
        <v>342</v>
      </c>
      <c r="C57" s="14">
        <f>C48+C56</f>
        <v>2607.9840000000004</v>
      </c>
      <c r="D57" s="14">
        <f>D48+D56</f>
        <v>2530.4219999999996</v>
      </c>
      <c r="E57" s="14">
        <f>E48+E56</f>
        <v>2638.1990000000005</v>
      </c>
      <c r="F57" s="14">
        <f>F48+F56</f>
        <v>4396.711</v>
      </c>
      <c r="G57" s="14">
        <f>G48+G56</f>
        <v>4396.711</v>
      </c>
      <c r="H57" s="14">
        <f>H48+H56</f>
        <v>4664.729</v>
      </c>
      <c r="I57" s="14">
        <f>I48+I56</f>
        <v>5628.401000000002</v>
      </c>
      <c r="J57" s="28">
        <f>J48+J56</f>
        <v>5876.581000000002</v>
      </c>
      <c r="K57" s="2"/>
      <c r="L57" s="8"/>
    </row>
    <row r="58" ht="19.5">
      <c r="A58" s="2"/>
      <c r="B58" s="102" t="s">
        <v>343</v>
      </c>
      <c r="C58" s="72">
        <f>ROUND(C28-C48-C56,6)</f>
        <v>0</v>
      </c>
      <c r="D58" s="72">
        <f>ROUND(D28-D48-D56,6)</f>
        <v>0</v>
      </c>
      <c r="E58" s="72">
        <f>ROUND(E28-E48-E56,6)</f>
        <v>0</v>
      </c>
      <c r="F58" s="72">
        <f>ROUND(F28-F48-F56,6)</f>
        <v>0</v>
      </c>
      <c r="G58" s="72">
        <f>ROUND(G28-G48-G56,6)</f>
        <v>0</v>
      </c>
      <c r="H58" s="72">
        <f>ROUND(H28-H48-H56,6)</f>
        <v>0</v>
      </c>
      <c r="I58" s="72">
        <f>ROUND(I28-I48-I56,6)</f>
        <v>0</v>
      </c>
      <c r="J58" s="106">
        <f>ROUND(J28-J48-J56,6)</f>
        <v>0</v>
      </c>
      <c r="K58" s="2"/>
      <c r="L58" s="8" t="s">
        <v>344</v>
      </c>
    </row>
    <row r="59">
      <c r="A59" s="2"/>
      <c r="B59" s="2"/>
      <c r="C59" s="23"/>
      <c r="D59" s="23"/>
      <c r="E59" s="23"/>
      <c r="F59" s="23"/>
      <c r="G59" s="23"/>
      <c r="H59" s="23"/>
      <c r="I59" s="23"/>
      <c r="J59" s="42"/>
      <c r="K59" s="2"/>
      <c r="L59" s="8"/>
    </row>
    <row r="60">
      <c r="A60" s="2"/>
      <c r="B60" s="30" t="s">
        <v>345</v>
      </c>
      <c r="C60" s="16"/>
      <c r="D60" s="16"/>
      <c r="E60" s="16"/>
      <c r="F60" s="16"/>
      <c r="G60" s="16"/>
      <c r="H60" s="16"/>
      <c r="I60" s="16"/>
      <c r="J60" s="4"/>
      <c r="K60" s="2"/>
      <c r="L60" s="8"/>
    </row>
    <row r="61" ht="19.5">
      <c r="A61" s="2"/>
      <c r="B61" s="18" t="s">
        <v>346</v>
      </c>
      <c r="C61" s="6">
        <f>C10+C11+C23</f>
        <v>831.358</v>
      </c>
      <c r="D61" s="6">
        <f>D10+D11+D23</f>
        <v>606.047</v>
      </c>
      <c r="E61" s="6">
        <f>E10+E11+E23</f>
        <v>627.015</v>
      </c>
      <c r="F61" s="6">
        <f>F10+F11+F23</f>
        <v>2481.58</v>
      </c>
      <c r="G61" s="6">
        <f>G10+G11+G23</f>
        <v>2481.58</v>
      </c>
      <c r="H61" s="6">
        <f>H10+H11+H23</f>
        <v>2518.284</v>
      </c>
      <c r="I61" s="6">
        <f>I10+I11+I23</f>
        <v>2688.5080000000003</v>
      </c>
      <c r="J61" s="7">
        <f>J10+J11+J23</f>
        <v>2782.188</v>
      </c>
      <c r="K61" s="2"/>
      <c r="L61" s="8"/>
    </row>
    <row r="62">
      <c r="A62" s="2"/>
      <c r="B62" s="21" t="s">
        <v>347</v>
      </c>
      <c r="C62" s="6">
        <f>C38+C39+C44+C45</f>
        <v>1130.813</v>
      </c>
      <c r="D62" s="6">
        <f>D38+D39+D44+D45</f>
        <v>1132.897</v>
      </c>
      <c r="E62" s="6">
        <f>E38+E39+E44+E45</f>
        <v>1132.3159999999998</v>
      </c>
      <c r="F62" s="6">
        <f>F38+F39+F44+F45</f>
        <v>2617.879</v>
      </c>
      <c r="G62" s="6">
        <f>G38+G39+G44+G45</f>
        <v>2617.879</v>
      </c>
      <c r="H62" s="6">
        <f>H38+H39+H44+H45</f>
        <v>2602.6349999999998</v>
      </c>
      <c r="I62" s="6">
        <f>I38+I39+I44+I45</f>
        <v>2477.973</v>
      </c>
      <c r="J62" s="7">
        <f>J38+J39+J44+J45</f>
        <v>2481.373</v>
      </c>
      <c r="K62" s="2"/>
      <c r="L62" s="8"/>
    </row>
    <row r="63" ht="19.5">
      <c r="A63" s="2"/>
      <c r="B63" s="18" t="s">
        <v>348</v>
      </c>
      <c r="C63" s="6">
        <f>C10-C62</f>
        <v>-336.0620000000001</v>
      </c>
      <c r="D63" s="6">
        <f>D10-D62</f>
        <v>-558.1329999999999</v>
      </c>
      <c r="E63" s="6">
        <f>E10-E62</f>
        <v>-537.2609999999999</v>
      </c>
      <c r="F63" s="6">
        <f>F10-F62</f>
        <v>-163.77099999999973</v>
      </c>
      <c r="G63" s="6">
        <f>G10-G62</f>
        <v>-163.77099999999973</v>
      </c>
      <c r="H63" s="6">
        <f>H10-H62</f>
        <v>-111.20199999999977</v>
      </c>
      <c r="I63" s="6">
        <f>I10-I62</f>
        <v>188.88599999999997</v>
      </c>
      <c r="J63" s="7">
        <f>J10-J62</f>
        <v>279.1659999999997</v>
      </c>
      <c r="K63" s="2"/>
      <c r="L63" s="8"/>
    </row>
    <row r="64">
      <c r="A64" s="2"/>
      <c r="B64" s="9" t="s">
        <v>81</v>
      </c>
      <c r="C64" s="6"/>
      <c r="D64" s="6">
        <f>D63-C63</f>
        <v>-222.0709999999998</v>
      </c>
      <c r="E64" s="6">
        <f>E63-D63</f>
        <v>20.87200000000007</v>
      </c>
      <c r="F64" s="6">
        <f>F63-E63</f>
        <v>373.4900000000001</v>
      </c>
      <c r="G64" s="6"/>
      <c r="H64" s="6">
        <f>H63-F63</f>
        <v>52.56899999999996</v>
      </c>
      <c r="I64" s="6">
        <f>I63-H63</f>
        <v>300.08799999999974</v>
      </c>
      <c r="J64" s="7">
        <f>J63-I63</f>
        <v>90.27999999999975</v>
      </c>
      <c r="K64" s="2"/>
      <c r="L64" s="8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8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8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7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349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350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 ht="19.5">
      <c r="A10" s="2"/>
      <c r="B10" s="18" t="s">
        <v>351</v>
      </c>
      <c r="C10" s="25">
        <f>'Income Statement'!C76</f>
        <v>-23.413999999999994</v>
      </c>
      <c r="D10" s="25">
        <f>'Income Statement'!D76</f>
        <v>-42.192000000000036</v>
      </c>
      <c r="E10" s="25">
        <f>'Income Statement'!E76</f>
        <v>-22.959999999999994</v>
      </c>
      <c r="F10" s="25">
        <f>'Income Statement'!F76</f>
        <v>1.424999999999967</v>
      </c>
      <c r="G10" s="25">
        <f>'Income Statement'!G76</f>
        <v>-87.14099999999998</v>
      </c>
      <c r="H10" s="25">
        <f>'Income Statement'!H76</f>
        <v>73.69099999999995</v>
      </c>
      <c r="I10" s="25">
        <f>'Income Statement'!I76</f>
        <v>198.856</v>
      </c>
      <c r="J10" s="22">
        <f>'Income Statement'!J76</f>
        <v>186.78000000000003</v>
      </c>
      <c r="K10" s="2"/>
      <c r="L10" s="8"/>
    </row>
    <row r="11">
      <c r="A11" s="2"/>
      <c r="B11" s="21" t="s">
        <v>352</v>
      </c>
      <c r="C11" s="11">
        <v>11.986</v>
      </c>
      <c r="D11" s="11">
        <v>12.596</v>
      </c>
      <c r="E11" s="11">
        <v>12.8</v>
      </c>
      <c r="F11" s="11">
        <v>13.184</v>
      </c>
      <c r="G11" s="6">
        <f>SUM(C11:F11)</f>
        <v>50.566</v>
      </c>
      <c r="H11" s="11">
        <v>13.279</v>
      </c>
      <c r="I11" s="11">
        <v>13.746</v>
      </c>
      <c r="J11" s="24">
        <v>14.5</v>
      </c>
      <c r="K11" s="2"/>
      <c r="L11" s="8" t="s">
        <v>353</v>
      </c>
    </row>
    <row r="12">
      <c r="A12" s="2"/>
      <c r="B12" s="21" t="s">
        <v>354</v>
      </c>
      <c r="C12" s="11">
        <v>8.068</v>
      </c>
      <c r="D12" s="11">
        <v>8.384</v>
      </c>
      <c r="E12" s="11">
        <v>8.057</v>
      </c>
      <c r="F12" s="11">
        <v>8.011</v>
      </c>
      <c r="G12" s="6">
        <f>SUM(C12:F12)</f>
        <v>32.519999999999996</v>
      </c>
      <c r="H12" s="11">
        <v>8.002</v>
      </c>
      <c r="I12" s="11">
        <v>8.024</v>
      </c>
      <c r="J12" s="24">
        <v>8</v>
      </c>
      <c r="K12" s="2"/>
      <c r="L12" s="8"/>
    </row>
    <row r="13">
      <c r="A13" s="2"/>
      <c r="B13" s="21" t="s">
        <v>355</v>
      </c>
      <c r="C13" s="11">
        <v>30.054</v>
      </c>
      <c r="D13" s="11">
        <v>29.284</v>
      </c>
      <c r="E13" s="11">
        <v>37.255</v>
      </c>
      <c r="F13" s="11">
        <v>42.813</v>
      </c>
      <c r="G13" s="6">
        <f>SUM(C13:F13)</f>
        <v>139.406</v>
      </c>
      <c r="H13" s="11">
        <v>48.215</v>
      </c>
      <c r="I13" s="11">
        <v>52.217</v>
      </c>
      <c r="J13" s="24">
        <v>53</v>
      </c>
      <c r="K13" s="2"/>
      <c r="L13" s="8" t="s">
        <v>356</v>
      </c>
    </row>
    <row r="14" ht="19.5">
      <c r="A14" s="2"/>
      <c r="B14" s="18" t="s">
        <v>357</v>
      </c>
      <c r="C14" s="11">
        <v>0</v>
      </c>
      <c r="D14" s="11">
        <v>0</v>
      </c>
      <c r="E14" s="11">
        <v>19.599</v>
      </c>
      <c r="F14" s="11">
        <v>20.822</v>
      </c>
      <c r="G14" s="6">
        <f>SUM(C14:F14)</f>
        <v>40.421</v>
      </c>
      <c r="H14" s="11">
        <v>17.002</v>
      </c>
      <c r="I14" s="11">
        <v>-4.346</v>
      </c>
      <c r="J14" s="22">
        <f>-'Income Statement'!J66</f>
        <v>8</v>
      </c>
      <c r="K14" s="2"/>
      <c r="L14" s="8"/>
    </row>
    <row r="15">
      <c r="A15" s="2"/>
      <c r="B15" s="21" t="s">
        <v>358</v>
      </c>
      <c r="C15" s="11">
        <v>1.859</v>
      </c>
      <c r="D15" s="11">
        <v>1.864</v>
      </c>
      <c r="E15" s="11">
        <v>1.814</v>
      </c>
      <c r="F15" s="11">
        <v>2.711</v>
      </c>
      <c r="G15" s="6">
        <f>SUM(C15:F15)</f>
        <v>8.248000000000001</v>
      </c>
      <c r="H15" s="11">
        <v>3.426</v>
      </c>
      <c r="I15" s="11">
        <v>3.372</v>
      </c>
      <c r="J15" s="24">
        <v>3.4</v>
      </c>
      <c r="K15" s="2"/>
      <c r="L15" s="8" t="s">
        <v>359</v>
      </c>
    </row>
    <row r="16">
      <c r="A16" s="2"/>
      <c r="B16" s="21" t="s">
        <v>198</v>
      </c>
      <c r="C16" s="11">
        <v>0</v>
      </c>
      <c r="D16" s="11">
        <v>32.34</v>
      </c>
      <c r="E16" s="11">
        <v>0</v>
      </c>
      <c r="F16" s="11">
        <v>0</v>
      </c>
      <c r="G16" s="6">
        <f>SUM(C16:F16)</f>
        <v>32.34</v>
      </c>
      <c r="H16" s="11">
        <v>0</v>
      </c>
      <c r="I16" s="11">
        <v>0</v>
      </c>
      <c r="J16" s="22">
        <f>-'Income Statement'!J68</f>
        <v>0</v>
      </c>
      <c r="K16" s="2"/>
      <c r="L16" s="8"/>
    </row>
    <row r="17">
      <c r="A17" s="2"/>
      <c r="B17" s="21" t="s">
        <v>199</v>
      </c>
      <c r="C17" s="11">
        <v>0</v>
      </c>
      <c r="D17" s="11">
        <v>0</v>
      </c>
      <c r="E17" s="11">
        <v>0</v>
      </c>
      <c r="F17" s="11">
        <v>66.241</v>
      </c>
      <c r="G17" s="6">
        <f>SUM(C17:F17)</f>
        <v>66.241</v>
      </c>
      <c r="H17" s="11">
        <v>0</v>
      </c>
      <c r="I17" s="11">
        <v>0</v>
      </c>
      <c r="J17" s="22">
        <f>-'Income Statement'!J69</f>
        <v>0</v>
      </c>
      <c r="K17" s="2"/>
      <c r="L17" s="8"/>
    </row>
    <row r="18" ht="19.5">
      <c r="A18" s="2"/>
      <c r="B18" s="18" t="s">
        <v>360</v>
      </c>
      <c r="C18" s="11">
        <v>-0.767</v>
      </c>
      <c r="D18" s="11">
        <v>-0.06</v>
      </c>
      <c r="E18" s="11">
        <v>0</v>
      </c>
      <c r="F18" s="11">
        <v>0</v>
      </c>
      <c r="G18" s="6">
        <f>SUM(C18:F18)</f>
        <v>-0.827</v>
      </c>
      <c r="H18" s="11">
        <v>-9.405</v>
      </c>
      <c r="I18" s="11">
        <v>-4.122</v>
      </c>
      <c r="J18" s="22">
        <f>'Income Statement'!J132</f>
        <v>0</v>
      </c>
      <c r="K18" s="2"/>
      <c r="L18" s="8"/>
    </row>
    <row r="19" ht="19.5">
      <c r="A19" s="2"/>
      <c r="B19" s="18" t="s">
        <v>361</v>
      </c>
      <c r="C19" s="11">
        <v>0</v>
      </c>
      <c r="D19" s="11">
        <v>0</v>
      </c>
      <c r="E19" s="11">
        <v>0</v>
      </c>
      <c r="F19" s="11">
        <v>15.947</v>
      </c>
      <c r="G19" s="6">
        <f>SUM(C19:F19)</f>
        <v>15.947</v>
      </c>
      <c r="H19" s="11">
        <v>-3.09</v>
      </c>
      <c r="I19" s="11">
        <v>5.012</v>
      </c>
      <c r="J19" s="22">
        <f>'Revenue summary'!J11</f>
        <v>10</v>
      </c>
      <c r="K19" s="2"/>
      <c r="L19" s="8"/>
    </row>
    <row r="20" ht="19.5">
      <c r="A20" s="2"/>
      <c r="B20" s="18" t="s">
        <v>362</v>
      </c>
      <c r="C20" s="11">
        <v>0</v>
      </c>
      <c r="D20" s="11">
        <v>0</v>
      </c>
      <c r="E20" s="11">
        <v>21.846</v>
      </c>
      <c r="F20" s="11">
        <v>12.7</v>
      </c>
      <c r="G20" s="6">
        <f>SUM(C20:F20)</f>
        <v>34.546</v>
      </c>
      <c r="H20" s="11">
        <v>0</v>
      </c>
      <c r="I20" s="11">
        <v>0</v>
      </c>
      <c r="J20" s="24">
        <v>0</v>
      </c>
      <c r="K20" s="2"/>
      <c r="L20" s="8" t="s">
        <v>363</v>
      </c>
    </row>
    <row r="21" ht="29.25">
      <c r="A21" s="2"/>
      <c r="B21" s="18" t="s">
        <v>364</v>
      </c>
      <c r="C21" s="11">
        <v>-2.029</v>
      </c>
      <c r="D21" s="11">
        <v>-2.721</v>
      </c>
      <c r="E21" s="11">
        <v>3.45</v>
      </c>
      <c r="F21" s="11">
        <v>0.267</v>
      </c>
      <c r="G21" s="6">
        <f>SUM(C21:F21)</f>
        <v>-1.033</v>
      </c>
      <c r="H21" s="11">
        <v>2.045</v>
      </c>
      <c r="I21" s="11">
        <v>3.596</v>
      </c>
      <c r="J21" s="24">
        <v>0</v>
      </c>
      <c r="K21" s="2"/>
      <c r="L21" s="8" t="s">
        <v>365</v>
      </c>
    </row>
    <row r="22" ht="19.5">
      <c r="A22" s="2"/>
      <c r="B22" s="18" t="s">
        <v>366</v>
      </c>
      <c r="C22" s="23"/>
      <c r="D22" s="23"/>
      <c r="E22" s="23"/>
      <c r="F22" s="23"/>
      <c r="G22" s="23"/>
      <c r="H22" s="23"/>
      <c r="I22" s="23"/>
      <c r="J22" s="42"/>
      <c r="K22" s="2"/>
      <c r="L22" s="8"/>
    </row>
    <row r="23">
      <c r="A23" s="2"/>
      <c r="B23" s="9" t="s">
        <v>367</v>
      </c>
      <c r="C23" s="11">
        <v>2.257</v>
      </c>
      <c r="D23" s="11">
        <v>-132.161</v>
      </c>
      <c r="E23" s="11">
        <v>54.223</v>
      </c>
      <c r="F23" s="11">
        <v>40.156</v>
      </c>
      <c r="G23" s="6">
        <f>SUM(C23:F23)</f>
        <v>-35.525</v>
      </c>
      <c r="H23" s="11">
        <v>11.782</v>
      </c>
      <c r="I23" s="11">
        <v>-101.372</v>
      </c>
      <c r="J23" s="7"/>
      <c r="K23" s="2"/>
      <c r="L23" s="8" t="s">
        <v>368</v>
      </c>
    </row>
    <row r="24">
      <c r="A24" s="2"/>
      <c r="B24" s="9" t="s">
        <v>369</v>
      </c>
      <c r="C24" s="11">
        <v>1.543</v>
      </c>
      <c r="D24" s="11">
        <v>13.821</v>
      </c>
      <c r="E24" s="11">
        <v>-129.086</v>
      </c>
      <c r="F24" s="11">
        <v>17.698</v>
      </c>
      <c r="G24" s="6">
        <f>SUM(C24:F24)</f>
        <v>-96.024</v>
      </c>
      <c r="H24" s="11">
        <v>-64.69</v>
      </c>
      <c r="I24" s="11">
        <v>-122.964</v>
      </c>
      <c r="J24" s="7"/>
      <c r="K24" s="2"/>
      <c r="L24" s="8"/>
    </row>
    <row r="25">
      <c r="A25" s="2"/>
      <c r="B25" s="9" t="s">
        <v>298</v>
      </c>
      <c r="C25" s="11">
        <v>-65.575</v>
      </c>
      <c r="D25" s="11">
        <v>-77.025</v>
      </c>
      <c r="E25" s="11">
        <v>-36.562</v>
      </c>
      <c r="F25" s="11">
        <v>59.95</v>
      </c>
      <c r="G25" s="6">
        <f>SUM(C25:F25)</f>
        <v>-119.212</v>
      </c>
      <c r="H25" s="11">
        <v>-88.584</v>
      </c>
      <c r="I25" s="11">
        <v>-26.473</v>
      </c>
      <c r="J25" s="7"/>
      <c r="K25" s="2"/>
      <c r="L25" s="8"/>
    </row>
    <row r="26">
      <c r="A26" s="2"/>
      <c r="B26" s="9" t="s">
        <v>370</v>
      </c>
      <c r="C26" s="11">
        <v>-4.501</v>
      </c>
      <c r="D26" s="11">
        <v>34.6</v>
      </c>
      <c r="E26" s="11">
        <v>4.31</v>
      </c>
      <c r="F26" s="11">
        <v>-7.237</v>
      </c>
      <c r="G26" s="6">
        <f>SUM(C26:F26)</f>
        <v>27.172</v>
      </c>
      <c r="H26" s="11">
        <v>7.122</v>
      </c>
      <c r="I26" s="11">
        <v>-47.168</v>
      </c>
      <c r="J26" s="7"/>
      <c r="K26" s="2"/>
      <c r="L26" s="8"/>
    </row>
    <row r="27" ht="19.5">
      <c r="A27" s="2"/>
      <c r="B27" s="100" t="s">
        <v>301</v>
      </c>
      <c r="C27" s="11">
        <v>-5.102</v>
      </c>
      <c r="D27" s="11">
        <v>11.236</v>
      </c>
      <c r="E27" s="11">
        <v>-4.673</v>
      </c>
      <c r="F27" s="11">
        <v>-5.062</v>
      </c>
      <c r="G27" s="6">
        <f>SUM(C27:F27)</f>
        <v>-3.601</v>
      </c>
      <c r="H27" s="11">
        <v>-54.155</v>
      </c>
      <c r="I27" s="11">
        <v>-78.178</v>
      </c>
      <c r="J27" s="7"/>
      <c r="K27" s="2"/>
      <c r="L27" s="8"/>
    </row>
    <row r="28">
      <c r="A28" s="2"/>
      <c r="B28" s="9" t="s">
        <v>312</v>
      </c>
      <c r="C28" s="11">
        <v>2.256</v>
      </c>
      <c r="D28" s="11">
        <v>-1.43</v>
      </c>
      <c r="E28" s="11">
        <v>0.902</v>
      </c>
      <c r="F28" s="11">
        <v>-12.82</v>
      </c>
      <c r="G28" s="6">
        <f>SUM(C28:F28)</f>
        <v>-11.092</v>
      </c>
      <c r="H28" s="11">
        <v>-25.993</v>
      </c>
      <c r="I28" s="11">
        <v>-70.647</v>
      </c>
      <c r="J28" s="7"/>
      <c r="K28" s="2"/>
      <c r="L28" s="8"/>
    </row>
    <row r="29" ht="19.5">
      <c r="A29" s="2"/>
      <c r="B29" s="100" t="s">
        <v>371</v>
      </c>
      <c r="C29" s="11">
        <v>-8.335</v>
      </c>
      <c r="D29" s="11">
        <v>-8.419</v>
      </c>
      <c r="E29" s="11">
        <v>-8.481</v>
      </c>
      <c r="F29" s="11">
        <v>-8.212</v>
      </c>
      <c r="G29" s="6">
        <f>SUM(C29:F29)</f>
        <v>-33.447</v>
      </c>
      <c r="H29" s="11">
        <v>-8.526</v>
      </c>
      <c r="I29" s="11">
        <v>-8.545</v>
      </c>
      <c r="J29" s="7"/>
      <c r="K29" s="2"/>
      <c r="L29" s="8"/>
    </row>
    <row r="30">
      <c r="A30" s="2"/>
      <c r="B30" s="9" t="s">
        <v>372</v>
      </c>
      <c r="C30" s="11">
        <v>0.451</v>
      </c>
      <c r="D30" s="11">
        <v>0.531</v>
      </c>
      <c r="E30" s="11">
        <v>0.206</v>
      </c>
      <c r="F30" s="11">
        <v>1.41</v>
      </c>
      <c r="G30" s="6">
        <f>SUM(C30:F30)</f>
        <v>2.598</v>
      </c>
      <c r="H30" s="11">
        <v>0.089</v>
      </c>
      <c r="I30" s="11">
        <v>0.166</v>
      </c>
      <c r="J30" s="7"/>
      <c r="K30" s="2"/>
      <c r="L30" s="8"/>
    </row>
    <row r="31">
      <c r="A31" s="2"/>
      <c r="B31" s="9" t="s">
        <v>317</v>
      </c>
      <c r="C31" s="11">
        <v>52.564</v>
      </c>
      <c r="D31" s="11">
        <v>0.226</v>
      </c>
      <c r="E31" s="11">
        <v>23.385</v>
      </c>
      <c r="F31" s="11">
        <v>34.736</v>
      </c>
      <c r="G31" s="6">
        <f>SUM(C31:F31)</f>
        <v>110.911</v>
      </c>
      <c r="H31" s="11">
        <v>36.962</v>
      </c>
      <c r="I31" s="11">
        <v>63.46</v>
      </c>
      <c r="J31" s="7"/>
      <c r="K31" s="2"/>
      <c r="L31" s="8"/>
    </row>
    <row r="32">
      <c r="A32" s="2"/>
      <c r="B32" s="9" t="s">
        <v>318</v>
      </c>
      <c r="C32" s="11">
        <v>-6.276</v>
      </c>
      <c r="D32" s="11">
        <v>1.71</v>
      </c>
      <c r="E32" s="11">
        <v>2.689</v>
      </c>
      <c r="F32" s="11">
        <v>5.331</v>
      </c>
      <c r="G32" s="6">
        <f>SUM(C32:F32)</f>
        <v>3.4540000000000006</v>
      </c>
      <c r="H32" s="11">
        <v>18.352</v>
      </c>
      <c r="I32" s="11">
        <v>39.432</v>
      </c>
      <c r="J32" s="7"/>
      <c r="K32" s="2"/>
      <c r="L32" s="8"/>
    </row>
    <row r="33" ht="19.5">
      <c r="A33" s="2"/>
      <c r="B33" s="100" t="s">
        <v>319</v>
      </c>
      <c r="C33" s="11">
        <v>-34.881</v>
      </c>
      <c r="D33" s="11">
        <v>12.295</v>
      </c>
      <c r="E33" s="11">
        <v>50.309</v>
      </c>
      <c r="F33" s="11">
        <v>52.614</v>
      </c>
      <c r="G33" s="6">
        <f>SUM(C33:F33)</f>
        <v>80.33699999999999</v>
      </c>
      <c r="H33" s="11">
        <v>-1.367</v>
      </c>
      <c r="I33" s="11">
        <v>90.758</v>
      </c>
      <c r="J33" s="7"/>
      <c r="K33" s="2"/>
      <c r="L33" s="8"/>
    </row>
    <row r="34" ht="19.5">
      <c r="A34" s="2"/>
      <c r="B34" s="100" t="s">
        <v>373</v>
      </c>
      <c r="C34" s="11">
        <v>-70.802</v>
      </c>
      <c r="D34" s="11">
        <v>-108.005</v>
      </c>
      <c r="E34" s="11">
        <v>-19.293</v>
      </c>
      <c r="F34" s="11">
        <v>55.495</v>
      </c>
      <c r="G34" s="6">
        <f>SUM(C34:F34)</f>
        <v>-142.60500000000002</v>
      </c>
      <c r="H34" s="11">
        <v>89.539</v>
      </c>
      <c r="I34" s="11">
        <v>211.693</v>
      </c>
      <c r="J34" s="7"/>
      <c r="K34" s="2"/>
      <c r="L34" s="8"/>
    </row>
    <row r="35" ht="19.5">
      <c r="A35" s="2"/>
      <c r="B35" s="100" t="s">
        <v>374</v>
      </c>
      <c r="C35" s="11">
        <v>-0.038</v>
      </c>
      <c r="D35" s="11">
        <v>0.015</v>
      </c>
      <c r="E35" s="11">
        <v>-0.121</v>
      </c>
      <c r="F35" s="11">
        <v>-0.107</v>
      </c>
      <c r="G35" s="6">
        <f>SUM(C35:F35)</f>
        <v>-0.251</v>
      </c>
      <c r="H35" s="11">
        <v>-0.086</v>
      </c>
      <c r="I35" s="11">
        <v>-0.085</v>
      </c>
      <c r="J35" s="7"/>
      <c r="K35" s="2"/>
      <c r="L35" s="8"/>
    </row>
    <row r="36" ht="19.5">
      <c r="A36" s="2"/>
      <c r="B36" s="110" t="s">
        <v>375</v>
      </c>
      <c r="C36" s="14">
        <f>SUM(C23:C35)</f>
        <v>-136.43900000000002</v>
      </c>
      <c r="D36" s="14">
        <f>SUM(D23:D35)</f>
        <v>-252.60600000000002</v>
      </c>
      <c r="E36" s="14">
        <f>SUM(E23:E35)</f>
        <v>-62.192000000000014</v>
      </c>
      <c r="F36" s="14">
        <f>SUM(F23:F35)</f>
        <v>233.952</v>
      </c>
      <c r="G36" s="14">
        <f>SUM(G23:G35)</f>
        <v>-217.28500000000005</v>
      </c>
      <c r="H36" s="14">
        <f>SUM(H23:H35)</f>
        <v>-79.55499999999999</v>
      </c>
      <c r="I36" s="14">
        <f>SUM(I23:I35)</f>
        <v>-49.922999999999995</v>
      </c>
      <c r="J36" s="109">
        <v>-100</v>
      </c>
      <c r="K36" s="2"/>
      <c r="L36" s="8" t="s">
        <v>376</v>
      </c>
    </row>
    <row r="37" ht="19.5">
      <c r="A37" s="2"/>
      <c r="B37" s="47" t="s">
        <v>377</v>
      </c>
      <c r="C37" s="14">
        <f>C10+SUM(C11:C21)+C36</f>
        <v>-110.68200000000002</v>
      </c>
      <c r="D37" s="14">
        <f>D10+SUM(D11:D21)+D36</f>
        <v>-213.11100000000005</v>
      </c>
      <c r="E37" s="14">
        <f>E10+SUM(E11:E21)+E36</f>
        <v>19.66899999999999</v>
      </c>
      <c r="F37" s="14">
        <f>F10+SUM(F11:F21)+F36</f>
        <v>418.073</v>
      </c>
      <c r="G37" s="14">
        <f>G10+SUM(G11:G21)+G36</f>
        <v>113.94899999999998</v>
      </c>
      <c r="H37" s="14">
        <f>H10+SUM(H11:H21)+H36</f>
        <v>73.60999999999997</v>
      </c>
      <c r="I37" s="14">
        <f>I10+SUM(I11:I21)+I36</f>
        <v>226.43200000000002</v>
      </c>
      <c r="J37" s="28">
        <f>J10+SUM(J11:J21)+J36</f>
        <v>183.68000000000006</v>
      </c>
      <c r="K37" s="2"/>
      <c r="L37" s="8"/>
    </row>
    <row r="38" ht="19.5">
      <c r="A38" s="2"/>
      <c r="B38" s="18" t="s">
        <v>378</v>
      </c>
      <c r="C38" s="11">
        <v>-110.682</v>
      </c>
      <c r="D38" s="11">
        <v>-213.111</v>
      </c>
      <c r="E38" s="11">
        <v>19.669</v>
      </c>
      <c r="F38" s="11">
        <v>418.073</v>
      </c>
      <c r="G38" s="6"/>
      <c r="H38" s="11">
        <v>73.61</v>
      </c>
      <c r="I38" s="11">
        <v>226.432</v>
      </c>
      <c r="J38" s="7"/>
      <c r="K38" s="2"/>
      <c r="L38" s="8"/>
    </row>
    <row r="39" ht="19.5">
      <c r="A39" s="2"/>
      <c r="B39" s="73" t="s">
        <v>379</v>
      </c>
      <c r="C39" s="103">
        <f>ROUND(C37-C38,3)</f>
        <v>0</v>
      </c>
      <c r="D39" s="103">
        <f>ROUND(D37-D38,3)</f>
        <v>0</v>
      </c>
      <c r="E39" s="103">
        <f>ROUND(E37-E38,3)</f>
        <v>0</v>
      </c>
      <c r="F39" s="103">
        <f>ROUND(F37-F38,3)</f>
        <v>0</v>
      </c>
      <c r="G39" s="103"/>
      <c r="H39" s="103">
        <f>ROUND(H37-H38,3)</f>
        <v>0</v>
      </c>
      <c r="I39" s="103">
        <f>ROUND(I37-I38,3)</f>
        <v>0</v>
      </c>
      <c r="J39" s="107"/>
      <c r="K39" s="2"/>
      <c r="L39" s="8"/>
    </row>
    <row r="40">
      <c r="A40" s="2"/>
      <c r="B40" s="9" t="s">
        <v>80</v>
      </c>
      <c r="C40" s="6"/>
      <c r="D40" s="6"/>
      <c r="E40" s="6"/>
      <c r="F40" s="6"/>
      <c r="G40" s="6"/>
      <c r="H40" s="6">
        <f>H37-C37</f>
        <v>184.29199999999997</v>
      </c>
      <c r="I40" s="6">
        <f>I37-D37</f>
        <v>439.54300000000006</v>
      </c>
      <c r="J40" s="7">
        <f>J37-E37</f>
        <v>164.01100000000008</v>
      </c>
      <c r="K40" s="2"/>
      <c r="L40" s="8"/>
    </row>
    <row r="41">
      <c r="A41" s="2"/>
      <c r="B41" s="9" t="s">
        <v>81</v>
      </c>
      <c r="C41" s="6"/>
      <c r="D41" s="6">
        <f>D37-C37</f>
        <v>-102.42900000000003</v>
      </c>
      <c r="E41" s="6">
        <f>E37-D37</f>
        <v>232.78000000000003</v>
      </c>
      <c r="F41" s="6">
        <f>F37-E37</f>
        <v>398.404</v>
      </c>
      <c r="G41" s="6"/>
      <c r="H41" s="6">
        <f>H37-F37</f>
        <v>-344.463</v>
      </c>
      <c r="I41" s="6">
        <f>I37-H37</f>
        <v>152.82200000000006</v>
      </c>
      <c r="J41" s="7">
        <f>J37-I37</f>
        <v>-42.75199999999995</v>
      </c>
      <c r="K41" s="2"/>
      <c r="L41" s="8"/>
    </row>
    <row r="42">
      <c r="A42" s="2"/>
      <c r="B42" s="30" t="s">
        <v>380</v>
      </c>
      <c r="C42" s="16"/>
      <c r="D42" s="16"/>
      <c r="E42" s="16"/>
      <c r="F42" s="16"/>
      <c r="G42" s="16"/>
      <c r="H42" s="16"/>
      <c r="I42" s="16"/>
      <c r="J42" s="4"/>
      <c r="K42" s="2"/>
      <c r="L42" s="8"/>
    </row>
    <row r="43" ht="19.5">
      <c r="A43" s="2"/>
      <c r="B43" s="18" t="s">
        <v>381</v>
      </c>
      <c r="C43" s="11">
        <v>-14.259</v>
      </c>
      <c r="D43" s="11">
        <v>-7.245</v>
      </c>
      <c r="E43" s="11">
        <v>-12.301</v>
      </c>
      <c r="F43" s="11">
        <v>-22.954</v>
      </c>
      <c r="G43" s="6">
        <f>SUM(C43:F43)</f>
        <v>-56.759</v>
      </c>
      <c r="H43" s="11">
        <v>-26.182</v>
      </c>
      <c r="I43" s="11">
        <v>-51.641</v>
      </c>
      <c r="J43" s="24">
        <v>-90</v>
      </c>
      <c r="K43" s="2"/>
      <c r="L43" s="8" t="s">
        <v>382</v>
      </c>
    </row>
    <row r="44" ht="19.5">
      <c r="A44" s="2"/>
      <c r="B44" s="18" t="s">
        <v>383</v>
      </c>
      <c r="C44" s="11">
        <v>0.043</v>
      </c>
      <c r="D44" s="11">
        <v>0.033</v>
      </c>
      <c r="E44" s="11">
        <v>0</v>
      </c>
      <c r="F44" s="11">
        <v>0.055</v>
      </c>
      <c r="G44" s="6">
        <f>SUM(C44:F44)</f>
        <v>0.131</v>
      </c>
      <c r="H44" s="11">
        <v>0.091</v>
      </c>
      <c r="I44" s="11">
        <v>0.036</v>
      </c>
      <c r="J44" s="24">
        <v>0</v>
      </c>
      <c r="K44" s="2"/>
      <c r="L44" s="8"/>
    </row>
    <row r="45" ht="19.5">
      <c r="A45" s="2"/>
      <c r="B45" s="18" t="s">
        <v>306</v>
      </c>
      <c r="C45" s="11">
        <v>0</v>
      </c>
      <c r="D45" s="11">
        <v>0</v>
      </c>
      <c r="E45" s="11">
        <v>-24.57</v>
      </c>
      <c r="F45" s="11">
        <v>-11.921</v>
      </c>
      <c r="G45" s="6">
        <f>SUM(C45:F45)</f>
        <v>-36.491</v>
      </c>
      <c r="H45" s="11">
        <v>-19.848</v>
      </c>
      <c r="I45" s="11">
        <v>-2.948</v>
      </c>
      <c r="J45" s="24">
        <v>-5</v>
      </c>
      <c r="K45" s="2"/>
      <c r="L45" s="8" t="s">
        <v>384</v>
      </c>
    </row>
    <row r="46">
      <c r="A46" s="2"/>
      <c r="B46" s="17" t="s">
        <v>385</v>
      </c>
      <c r="C46" s="14">
        <f>SUM(C43:C45)</f>
        <v>-14.216000000000001</v>
      </c>
      <c r="D46" s="14">
        <f>SUM(D43:D45)</f>
        <v>-7.212</v>
      </c>
      <c r="E46" s="14">
        <f>SUM(E43:E45)</f>
        <v>-36.871</v>
      </c>
      <c r="F46" s="14">
        <f>SUM(F43:F45)</f>
        <v>-34.82</v>
      </c>
      <c r="G46" s="14">
        <f>SUM(G43:G45)</f>
        <v>-93.119</v>
      </c>
      <c r="H46" s="14">
        <f>SUM(H43:H45)</f>
        <v>-45.93899999999999</v>
      </c>
      <c r="I46" s="14">
        <f>SUM(I43:I45)</f>
        <v>-54.553</v>
      </c>
      <c r="J46" s="28">
        <f>SUM(J43:J45)</f>
        <v>-95</v>
      </c>
      <c r="K46" s="2"/>
      <c r="L46" s="8"/>
    </row>
    <row r="47">
      <c r="A47" s="2"/>
      <c r="B47" s="30" t="s">
        <v>386</v>
      </c>
      <c r="C47" s="16"/>
      <c r="D47" s="16"/>
      <c r="E47" s="16"/>
      <c r="F47" s="16"/>
      <c r="G47" s="16"/>
      <c r="H47" s="16"/>
      <c r="I47" s="16"/>
      <c r="J47" s="4"/>
      <c r="K47" s="2"/>
      <c r="L47" s="8"/>
    </row>
    <row r="48">
      <c r="A48" s="2"/>
      <c r="B48" s="21" t="s">
        <v>387</v>
      </c>
      <c r="C48" s="11">
        <v>0</v>
      </c>
      <c r="D48" s="11">
        <v>0</v>
      </c>
      <c r="E48" s="11">
        <v>0</v>
      </c>
      <c r="F48" s="11">
        <v>2500</v>
      </c>
      <c r="G48" s="6">
        <f>SUM(C48:F48)</f>
        <v>2500</v>
      </c>
      <c r="H48" s="11">
        <v>0</v>
      </c>
      <c r="I48" s="11">
        <v>0</v>
      </c>
      <c r="J48" s="24">
        <v>0</v>
      </c>
      <c r="K48" s="2"/>
      <c r="L48" s="8"/>
    </row>
    <row r="49">
      <c r="A49" s="2"/>
      <c r="B49" s="21" t="s">
        <v>388</v>
      </c>
      <c r="C49" s="11">
        <v>0</v>
      </c>
      <c r="D49" s="11">
        <v>-3.348</v>
      </c>
      <c r="E49" s="11">
        <v>0</v>
      </c>
      <c r="F49" s="11">
        <v>-59.364</v>
      </c>
      <c r="G49" s="6">
        <f>SUM(C49:F49)</f>
        <v>-62.711999999999996</v>
      </c>
      <c r="H49" s="11">
        <v>-0.806</v>
      </c>
      <c r="I49" s="11">
        <v>0.019</v>
      </c>
      <c r="J49" s="24">
        <v>0</v>
      </c>
      <c r="K49" s="2"/>
      <c r="L49" s="8"/>
    </row>
    <row r="50">
      <c r="A50" s="2"/>
      <c r="B50" s="21" t="s">
        <v>389</v>
      </c>
      <c r="C50" s="11">
        <v>0</v>
      </c>
      <c r="D50" s="11">
        <v>0</v>
      </c>
      <c r="E50" s="11">
        <v>0</v>
      </c>
      <c r="F50" s="11">
        <v>-975.945</v>
      </c>
      <c r="G50" s="6">
        <f>SUM(C50:F50)</f>
        <v>-975.945</v>
      </c>
      <c r="H50" s="11">
        <v>0</v>
      </c>
      <c r="I50" s="11">
        <v>-1.347</v>
      </c>
      <c r="J50" s="24">
        <v>0</v>
      </c>
      <c r="K50" s="2"/>
      <c r="L50" s="8"/>
    </row>
    <row r="51">
      <c r="A51" s="2"/>
      <c r="B51" s="21" t="s">
        <v>390</v>
      </c>
      <c r="C51" s="11">
        <v>0</v>
      </c>
      <c r="D51" s="11">
        <v>0</v>
      </c>
      <c r="E51" s="11">
        <v>0</v>
      </c>
      <c r="F51" s="11">
        <v>0</v>
      </c>
      <c r="G51" s="6">
        <f>SUM(C51:F51)</f>
        <v>0</v>
      </c>
      <c r="H51" s="11">
        <v>0</v>
      </c>
      <c r="I51" s="11">
        <v>0.004</v>
      </c>
      <c r="J51" s="24">
        <v>0</v>
      </c>
      <c r="K51" s="2"/>
      <c r="L51" s="8"/>
    </row>
    <row r="52">
      <c r="A52" s="2"/>
      <c r="B52" s="21" t="s">
        <v>391</v>
      </c>
      <c r="C52" s="11">
        <v>-2.671</v>
      </c>
      <c r="D52" s="11">
        <v>-2.794</v>
      </c>
      <c r="E52" s="11">
        <v>-2.939</v>
      </c>
      <c r="F52" s="11">
        <v>-2.863</v>
      </c>
      <c r="G52" s="6">
        <f>SUM(C52:F52)</f>
        <v>-11.267</v>
      </c>
      <c r="H52" s="11">
        <v>-7.972</v>
      </c>
      <c r="I52" s="11">
        <v>-3.844</v>
      </c>
      <c r="J52" s="24">
        <v>-5</v>
      </c>
      <c r="K52" s="2"/>
      <c r="L52" s="8"/>
    </row>
    <row r="53" ht="19.5">
      <c r="A53" s="2"/>
      <c r="B53" s="18" t="s">
        <v>392</v>
      </c>
      <c r="C53" s="11">
        <v>7.651</v>
      </c>
      <c r="D53" s="11">
        <v>0.03</v>
      </c>
      <c r="E53" s="11">
        <v>42.354</v>
      </c>
      <c r="F53" s="11">
        <v>9.088</v>
      </c>
      <c r="G53" s="6">
        <f>SUM(C53:F53)</f>
        <v>59.123</v>
      </c>
      <c r="H53" s="11">
        <v>15.835</v>
      </c>
      <c r="I53" s="11">
        <v>7.324</v>
      </c>
      <c r="J53" s="24">
        <v>10</v>
      </c>
      <c r="K53" s="2"/>
      <c r="L53" s="8"/>
    </row>
    <row r="54" ht="19.5">
      <c r="A54" s="2"/>
      <c r="B54" s="18" t="s">
        <v>393</v>
      </c>
      <c r="C54" s="11">
        <v>0</v>
      </c>
      <c r="D54" s="11">
        <v>-0.947</v>
      </c>
      <c r="E54" s="11">
        <v>0</v>
      </c>
      <c r="F54" s="11">
        <v>0</v>
      </c>
      <c r="G54" s="6">
        <f>SUM(C54:F54)</f>
        <v>-0.947</v>
      </c>
      <c r="H54" s="11">
        <v>0</v>
      </c>
      <c r="I54" s="11">
        <v>-0.925</v>
      </c>
      <c r="J54" s="24">
        <v>0</v>
      </c>
      <c r="K54" s="2"/>
      <c r="L54" s="8"/>
    </row>
    <row r="55">
      <c r="A55" s="2"/>
      <c r="B55" s="21" t="s">
        <v>394</v>
      </c>
      <c r="C55" s="11">
        <v>0.15</v>
      </c>
      <c r="D55" s="11">
        <v>0</v>
      </c>
      <c r="E55" s="11">
        <v>0</v>
      </c>
      <c r="F55" s="11">
        <v>0</v>
      </c>
      <c r="G55" s="6">
        <f>SUM(C55:F55)</f>
        <v>0.15</v>
      </c>
      <c r="H55" s="11">
        <v>0</v>
      </c>
      <c r="I55" s="11">
        <v>-0.005</v>
      </c>
      <c r="J55" s="24">
        <v>0</v>
      </c>
      <c r="K55" s="2"/>
      <c r="L55" s="8"/>
    </row>
    <row r="56" ht="19.5">
      <c r="A56" s="2"/>
      <c r="B56" s="47" t="s">
        <v>395</v>
      </c>
      <c r="C56" s="14">
        <f>SUM(C48:C55)</f>
        <v>5.130000000000001</v>
      </c>
      <c r="D56" s="14">
        <f>SUM(D48:D55)</f>
        <v>-7.059</v>
      </c>
      <c r="E56" s="14">
        <f>SUM(E48:E55)</f>
        <v>39.415</v>
      </c>
      <c r="F56" s="14">
        <f>SUM(F48:F55)</f>
        <v>1470.916</v>
      </c>
      <c r="G56" s="14">
        <f>SUM(G48:G55)</f>
        <v>1508.402</v>
      </c>
      <c r="H56" s="14">
        <f>SUM(H48:H55)</f>
        <v>7.057</v>
      </c>
      <c r="I56" s="14">
        <f>SUM(I48:I55)</f>
        <v>1.2259999999999998</v>
      </c>
      <c r="J56" s="28">
        <f>SUM(J48:J55)</f>
        <v>5</v>
      </c>
      <c r="K56" s="2"/>
      <c r="L56" s="8"/>
    </row>
    <row r="57" ht="19.5">
      <c r="A57" s="2"/>
      <c r="B57" s="18" t="s">
        <v>396</v>
      </c>
      <c r="C57" s="11">
        <v>0.155</v>
      </c>
      <c r="D57" s="11">
        <v>2.071</v>
      </c>
      <c r="E57" s="11">
        <v>-1.245</v>
      </c>
      <c r="F57" s="11">
        <v>0.396</v>
      </c>
      <c r="G57" s="6">
        <f>SUM(C57:F57)</f>
        <v>1.3769999999999998</v>
      </c>
      <c r="H57" s="11">
        <v>1.976</v>
      </c>
      <c r="I57" s="11">
        <v>-2.881</v>
      </c>
      <c r="J57" s="24">
        <v>0</v>
      </c>
      <c r="K57" s="2"/>
      <c r="L57" s="8"/>
    </row>
    <row r="58" ht="19.5">
      <c r="A58" s="2"/>
      <c r="B58" s="47" t="s">
        <v>397</v>
      </c>
      <c r="C58" s="14">
        <f>C37+C46+C56+C57</f>
        <v>-119.61300000000003</v>
      </c>
      <c r="D58" s="14">
        <f>D37+D46+D56+D57</f>
        <v>-225.31100000000004</v>
      </c>
      <c r="E58" s="14">
        <f>E37+E46+E56+E57</f>
        <v>20.967999999999986</v>
      </c>
      <c r="F58" s="14">
        <f>F37+F46+F56+F57</f>
        <v>1854.5649999999998</v>
      </c>
      <c r="G58" s="14">
        <f>G37+G46+G56+G57</f>
        <v>1530.609</v>
      </c>
      <c r="H58" s="14">
        <f>H37+H46+H56+H57</f>
        <v>36.70399999999998</v>
      </c>
      <c r="I58" s="14">
        <f>I37+I46+I56+I57</f>
        <v>170.22400000000002</v>
      </c>
      <c r="J58" s="28">
        <f>J37+J46+J56+J57</f>
        <v>93.68000000000006</v>
      </c>
      <c r="K58" s="2"/>
      <c r="L58" s="8"/>
    </row>
    <row r="59" ht="19.5">
      <c r="A59" s="2"/>
      <c r="B59" s="18" t="s">
        <v>398</v>
      </c>
      <c r="C59" s="11">
        <v>950.971</v>
      </c>
      <c r="D59" s="6">
        <f>C60</f>
        <v>831.358</v>
      </c>
      <c r="E59" s="6">
        <f>D60</f>
        <v>606.0469999999999</v>
      </c>
      <c r="F59" s="6">
        <f>E60</f>
        <v>627.0149999999999</v>
      </c>
      <c r="G59" s="6">
        <f>C59</f>
        <v>950.971</v>
      </c>
      <c r="H59" s="6">
        <f>F60</f>
        <v>2481.58</v>
      </c>
      <c r="I59" s="6">
        <f>H60</f>
        <v>2518.284</v>
      </c>
      <c r="J59" s="7">
        <f>I60</f>
        <v>2688.5080000000003</v>
      </c>
      <c r="K59" s="2"/>
      <c r="L59" s="8"/>
    </row>
    <row r="60" ht="19.5">
      <c r="A60" s="2"/>
      <c r="B60" s="47" t="s">
        <v>399</v>
      </c>
      <c r="C60" s="14">
        <f>C59+C58</f>
        <v>831.358</v>
      </c>
      <c r="D60" s="14">
        <f>D59+D58</f>
        <v>606.0469999999999</v>
      </c>
      <c r="E60" s="14">
        <f>E59+E58</f>
        <v>627.0149999999999</v>
      </c>
      <c r="F60" s="14">
        <f>F59+F58</f>
        <v>2481.58</v>
      </c>
      <c r="G60" s="14">
        <f>G59+G58</f>
        <v>2481.58</v>
      </c>
      <c r="H60" s="14">
        <f>H59+H58</f>
        <v>2518.284</v>
      </c>
      <c r="I60" s="14">
        <f>I59+I58</f>
        <v>2688.5080000000003</v>
      </c>
      <c r="J60" s="28">
        <f>J59+J58</f>
        <v>2782.188</v>
      </c>
      <c r="K60" s="2"/>
      <c r="L60" s="8"/>
    </row>
    <row r="61" ht="19.5">
      <c r="A61" s="2"/>
      <c r="B61" s="18" t="s">
        <v>400</v>
      </c>
      <c r="C61" s="25">
        <f>'Balance Sheet'!C61</f>
        <v>831.358</v>
      </c>
      <c r="D61" s="25">
        <f>'Balance Sheet'!D61</f>
        <v>606.047</v>
      </c>
      <c r="E61" s="25">
        <f>'Balance Sheet'!E61</f>
        <v>627.015</v>
      </c>
      <c r="F61" s="25">
        <f>'Balance Sheet'!F61</f>
        <v>2481.58</v>
      </c>
      <c r="G61" s="25">
        <f>'Balance Sheet'!G61</f>
        <v>2481.58</v>
      </c>
      <c r="H61" s="25">
        <f>'Balance Sheet'!H61</f>
        <v>2518.284</v>
      </c>
      <c r="I61" s="25">
        <f>'Balance Sheet'!I61</f>
        <v>2688.5080000000003</v>
      </c>
      <c r="J61" s="22">
        <f>'Balance Sheet'!J61</f>
        <v>2782.188</v>
      </c>
      <c r="K61" s="2"/>
      <c r="L61" s="8"/>
    </row>
    <row r="62" ht="19.5">
      <c r="A62" s="2"/>
      <c r="B62" s="102" t="s">
        <v>401</v>
      </c>
      <c r="C62" s="72">
        <f>ROUND(C60-C61,3)</f>
        <v>0</v>
      </c>
      <c r="D62" s="72">
        <f>ROUND(D60-D61,3)</f>
        <v>0</v>
      </c>
      <c r="E62" s="72">
        <f>ROUND(E60-E61,3)</f>
        <v>0</v>
      </c>
      <c r="F62" s="72">
        <f>ROUND(F60-F61,3)</f>
        <v>0</v>
      </c>
      <c r="G62" s="72">
        <f>ROUND(G60-G61,3)</f>
        <v>0</v>
      </c>
      <c r="H62" s="72">
        <f>ROUND(H60-H61,3)</f>
        <v>0</v>
      </c>
      <c r="I62" s="72">
        <f>ROUND(I60-I61,3)</f>
        <v>0</v>
      </c>
      <c r="J62" s="106">
        <f>ROUND(J60-J61,3)</f>
        <v>0</v>
      </c>
      <c r="K62" s="2"/>
      <c r="L62" s="8"/>
    </row>
    <row r="63">
      <c r="A63" s="2"/>
      <c r="B63" s="2"/>
      <c r="C63" s="23"/>
      <c r="D63" s="23"/>
      <c r="E63" s="23"/>
      <c r="F63" s="23"/>
      <c r="G63" s="23"/>
      <c r="H63" s="23"/>
      <c r="I63" s="23"/>
      <c r="J63" s="42"/>
      <c r="K63" s="2"/>
      <c r="L63" s="8"/>
    </row>
    <row r="64">
      <c r="A64" s="2"/>
      <c r="B64" s="30" t="s">
        <v>402</v>
      </c>
      <c r="C64" s="16"/>
      <c r="D64" s="16"/>
      <c r="E64" s="16"/>
      <c r="F64" s="16"/>
      <c r="G64" s="16"/>
      <c r="H64" s="16"/>
      <c r="I64" s="16"/>
      <c r="J64" s="4"/>
      <c r="K64" s="2"/>
      <c r="L64" s="8"/>
    </row>
    <row r="65">
      <c r="A65" s="2"/>
      <c r="B65" s="17" t="s">
        <v>403</v>
      </c>
      <c r="C65" s="105">
        <f>C37+C43</f>
        <v>-124.94100000000002</v>
      </c>
      <c r="D65" s="105">
        <f>D37+D43</f>
        <v>-220.35600000000005</v>
      </c>
      <c r="E65" s="105">
        <f>E37+E43</f>
        <v>7.36799999999999</v>
      </c>
      <c r="F65" s="105">
        <f>F37+F43</f>
        <v>395.11899999999997</v>
      </c>
      <c r="G65" s="105">
        <f>G37+G43</f>
        <v>57.18999999999998</v>
      </c>
      <c r="H65" s="105">
        <f>H37+H43</f>
        <v>47.42799999999997</v>
      </c>
      <c r="I65" s="105">
        <f>I37+I43</f>
        <v>174.79100000000003</v>
      </c>
      <c r="J65" s="26">
        <f>J37+J43</f>
        <v>93.68000000000006</v>
      </c>
      <c r="K65" s="2"/>
      <c r="L65" s="8" t="s">
        <v>404</v>
      </c>
    </row>
    <row r="66">
      <c r="A66" s="2"/>
      <c r="B66" s="48" t="s">
        <v>405</v>
      </c>
      <c r="C66" s="99">
        <f>C65/'Income Statement'!C14</f>
        <v>-0.3832299146374007</v>
      </c>
      <c r="D66" s="99">
        <f>D65/'Income Statement'!D14</f>
        <v>-0.5491847812542059</v>
      </c>
      <c r="E66" s="99">
        <f>E65/'Income Statement'!E14</f>
        <v>0.014195218939288832</v>
      </c>
      <c r="F66" s="99">
        <f>F65/'Income Statement'!F14</f>
        <v>0.5080720550661387</v>
      </c>
      <c r="G66" s="99">
        <f>G65/'Income Statement'!G14</f>
        <v>0.028256012616638185</v>
      </c>
      <c r="H66" s="99">
        <f>H65/'Income Statement'!H14</f>
        <v>0.06314858851693748</v>
      </c>
      <c r="I66" s="99">
        <f>I65/'Income Statement'!I14</f>
        <v>0.164066775236656</v>
      </c>
      <c r="J66" s="108">
        <f>J65/'Income Statement'!J14</f>
        <v>0.0846251129177959</v>
      </c>
      <c r="K66" s="2"/>
      <c r="L66" s="8"/>
    </row>
    <row r="67">
      <c r="A67" s="2"/>
      <c r="B67" s="80" t="s">
        <v>120</v>
      </c>
      <c r="C67" s="67"/>
      <c r="D67" s="67">
        <f>(D66-C66)*10000</f>
        <v>-1659.548666168052</v>
      </c>
      <c r="E67" s="67">
        <f>(E66-D66)*10000</f>
        <v>5633.800001934947</v>
      </c>
      <c r="F67" s="67">
        <f>(F66-E66)*10000</f>
        <v>4938.768361268499</v>
      </c>
      <c r="G67" s="67"/>
      <c r="H67" s="67">
        <f>(H66-F66)*10000</f>
        <v>-4449.234665492012</v>
      </c>
      <c r="I67" s="67">
        <f>(I66-H66)*10000</f>
        <v>1009.1818671971852</v>
      </c>
      <c r="J67" s="89">
        <f>(J66-I66)*10000</f>
        <v>-794.416623188601</v>
      </c>
      <c r="K67" s="2"/>
      <c r="L67" s="8"/>
    </row>
    <row r="68">
      <c r="A68" s="2"/>
      <c r="B68" s="48" t="s">
        <v>406</v>
      </c>
      <c r="C68" s="99">
        <f>-C43/'Income Statement'!C14</f>
        <v>0.04373644642523027</v>
      </c>
      <c r="D68" s="99">
        <f>-D43/'Income Statement'!D14</f>
        <v>0.018056434770039032</v>
      </c>
      <c r="E68" s="99">
        <f>-E43/'Income Statement'!E14</f>
        <v>0.02369915691804997</v>
      </c>
      <c r="F68" s="99">
        <f>-F43/'Income Statement'!F14</f>
        <v>0.029515882435388198</v>
      </c>
      <c r="G68" s="99">
        <f>-G43/'Income Statement'!G14</f>
        <v>0.028043067321345816</v>
      </c>
      <c r="H68" s="99">
        <f>-H43/'Income Statement'!H14</f>
        <v>0.034860342931400404</v>
      </c>
      <c r="I68" s="99">
        <f>-I43/'Income Statement'!I14</f>
        <v>0.04847258920651607</v>
      </c>
      <c r="J68" s="108">
        <f>-J43/'Income Statement'!J14</f>
        <v>0.08130081300813008</v>
      </c>
      <c r="K68" s="2"/>
      <c r="L68" s="8"/>
    </row>
    <row r="69">
      <c r="A69" s="2"/>
      <c r="B69" s="80" t="s">
        <v>120</v>
      </c>
      <c r="C69" s="67"/>
      <c r="D69" s="67">
        <f>(D68-C68)*10000</f>
        <v>-256.8001165519124</v>
      </c>
      <c r="E69" s="67">
        <f>(E68-D68)*10000</f>
        <v>56.42722148010936</v>
      </c>
      <c r="F69" s="67">
        <f>(F68-E68)*10000</f>
        <v>58.167255173382294</v>
      </c>
      <c r="G69" s="67"/>
      <c r="H69" s="67">
        <f>(H68-F68)*10000</f>
        <v>53.44460496012206</v>
      </c>
      <c r="I69" s="67">
        <f>(I68-H68)*10000</f>
        <v>136.1224627511567</v>
      </c>
      <c r="J69" s="89">
        <f>(J68-I68)*10000</f>
        <v>328.28223801614007</v>
      </c>
      <c r="K69" s="2"/>
      <c r="L69" s="8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8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8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3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407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408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 ht="19.5">
      <c r="A10" s="2"/>
      <c r="B10" s="73" t="s">
        <v>409</v>
      </c>
      <c r="C10" s="70"/>
      <c r="D10" s="83">
        <v>0.58</v>
      </c>
      <c r="E10" s="83">
        <v>0.72</v>
      </c>
      <c r="F10" s="83">
        <v>0.81</v>
      </c>
      <c r="G10" s="83">
        <v>0.81</v>
      </c>
      <c r="H10" s="70"/>
      <c r="I10" s="83">
        <v>0.9</v>
      </c>
      <c r="J10" s="69"/>
      <c r="K10" s="2"/>
      <c r="L10" s="8" t="s">
        <v>410</v>
      </c>
    </row>
    <row r="11">
      <c r="A11" s="2"/>
      <c r="B11" s="48" t="s">
        <v>411</v>
      </c>
      <c r="C11" s="70"/>
      <c r="D11" s="83">
        <v>0.59</v>
      </c>
      <c r="E11" s="83">
        <v>0.92</v>
      </c>
      <c r="F11" s="70"/>
      <c r="G11" s="70"/>
      <c r="H11" s="70"/>
      <c r="I11" s="83">
        <v>0.9</v>
      </c>
      <c r="J11" s="101">
        <v>0.88</v>
      </c>
      <c r="K11" s="2"/>
      <c r="L11" s="8" t="s">
        <v>412</v>
      </c>
    </row>
    <row r="12">
      <c r="A12" s="2"/>
      <c r="B12" s="17" t="s">
        <v>99</v>
      </c>
      <c r="C12" s="91">
        <f>'Income Statement'!C14</f>
        <v>326.021</v>
      </c>
      <c r="D12" s="91">
        <f>'Income Statement'!D14</f>
        <v>401.24199999999996</v>
      </c>
      <c r="E12" s="91">
        <f>'Income Statement'!E14</f>
        <v>519.048</v>
      </c>
      <c r="F12" s="91">
        <f>'Income Statement'!F14</f>
        <v>777.683</v>
      </c>
      <c r="G12" s="91">
        <f>'Income Statement'!G14</f>
        <v>2023.994</v>
      </c>
      <c r="H12" s="91">
        <f>'Income Statement'!H14</f>
        <v>751.054</v>
      </c>
      <c r="I12" s="91">
        <f>'Income Statement'!I14</f>
        <v>1065.365</v>
      </c>
      <c r="J12" s="104">
        <f>'Income Statement'!J14</f>
        <v>1107</v>
      </c>
      <c r="K12" s="2"/>
      <c r="L12" s="8"/>
    </row>
    <row r="13">
      <c r="A13" s="2"/>
      <c r="B13" s="30" t="s">
        <v>407</v>
      </c>
      <c r="C13" s="16"/>
      <c r="D13" s="16"/>
      <c r="E13" s="16"/>
      <c r="F13" s="16"/>
      <c r="G13" s="16"/>
      <c r="H13" s="16"/>
      <c r="I13" s="16"/>
      <c r="J13" s="4"/>
      <c r="K13" s="2"/>
      <c r="L13" s="8"/>
    </row>
    <row r="14">
      <c r="A14" s="2"/>
      <c r="B14" s="21" t="s">
        <v>413</v>
      </c>
      <c r="C14" s="6">
        <f>D10*(C12+D12)-D11*D12</f>
        <v>185.07975999999994</v>
      </c>
      <c r="D14" s="6">
        <f>D11*D12</f>
        <v>236.73277999999996</v>
      </c>
      <c r="E14" s="6">
        <f>E11*E12</f>
        <v>477.52416</v>
      </c>
      <c r="F14" s="6">
        <f>F10*G12-E10*(C12+D12+E12)</f>
        <v>742.0912200000001</v>
      </c>
      <c r="G14" s="6">
        <f>SUM(C14:F14)</f>
        <v>1641.42792</v>
      </c>
      <c r="H14" s="6">
        <f>I10*(H12+I12)-I11*I12</f>
        <v>675.9485999999999</v>
      </c>
      <c r="I14" s="6">
        <f>I11*I12</f>
        <v>958.8285000000001</v>
      </c>
      <c r="J14" s="7">
        <f>J11*J12</f>
        <v>974.16</v>
      </c>
      <c r="K14" s="2"/>
      <c r="L14" s="8" t="s">
        <v>414</v>
      </c>
    </row>
    <row r="15">
      <c r="A15" s="2"/>
      <c r="B15" s="80" t="s">
        <v>79</v>
      </c>
      <c r="C15" s="70"/>
      <c r="D15" s="70"/>
      <c r="E15" s="70"/>
      <c r="F15" s="70"/>
      <c r="G15" s="70"/>
      <c r="H15" s="70">
        <f>H14/C14-1</f>
        <v>2.65220162377561</v>
      </c>
      <c r="I15" s="70">
        <f>I14/D14-1</f>
        <v>3.0502565804363897</v>
      </c>
      <c r="J15" s="69">
        <f>J14/E14-1</f>
        <v>1.0400224357234618</v>
      </c>
      <c r="K15" s="2"/>
      <c r="L15" s="8"/>
    </row>
    <row r="16">
      <c r="A16" s="2"/>
      <c r="B16" s="9" t="s">
        <v>80</v>
      </c>
      <c r="C16" s="6"/>
      <c r="D16" s="6"/>
      <c r="E16" s="6"/>
      <c r="F16" s="6"/>
      <c r="G16" s="6"/>
      <c r="H16" s="6">
        <f>H14-C14</f>
        <v>490.86884</v>
      </c>
      <c r="I16" s="6">
        <f>I14-D14</f>
        <v>722.0957200000001</v>
      </c>
      <c r="J16" s="7">
        <f>J14-E14</f>
        <v>496.63584</v>
      </c>
      <c r="K16" s="2"/>
      <c r="L16" s="8"/>
    </row>
    <row r="17">
      <c r="A17" s="2"/>
      <c r="B17" s="9" t="s">
        <v>81</v>
      </c>
      <c r="C17" s="6"/>
      <c r="D17" s="6">
        <f>D14-C14</f>
        <v>51.653020000000026</v>
      </c>
      <c r="E17" s="6">
        <f>E14-D14</f>
        <v>240.79138000000003</v>
      </c>
      <c r="F17" s="6">
        <f>F14-E14</f>
        <v>264.56706000000014</v>
      </c>
      <c r="G17" s="6"/>
      <c r="H17" s="6">
        <f>H14-F14</f>
        <v>-66.14262000000019</v>
      </c>
      <c r="I17" s="6">
        <f>I14-H14</f>
        <v>282.87990000000013</v>
      </c>
      <c r="J17" s="7">
        <f>J14-I14</f>
        <v>15.331499999999892</v>
      </c>
      <c r="K17" s="2"/>
      <c r="L17" s="8"/>
    </row>
    <row r="18">
      <c r="A18" s="2"/>
      <c r="B18" s="80" t="s">
        <v>84</v>
      </c>
      <c r="C18" s="68" t="s">
        <v>85</v>
      </c>
      <c r="D18" s="68" t="s">
        <v>85</v>
      </c>
      <c r="E18" s="68" t="s">
        <v>85</v>
      </c>
      <c r="F18" s="68" t="s">
        <v>85</v>
      </c>
      <c r="G18" s="68" t="s">
        <v>85</v>
      </c>
      <c r="H18" s="68" t="s">
        <v>85</v>
      </c>
      <c r="I18" s="68" t="s">
        <v>85</v>
      </c>
      <c r="J18" s="81" t="s">
        <v>85</v>
      </c>
      <c r="K18" s="2"/>
      <c r="L18" s="8"/>
    </row>
    <row r="19">
      <c r="A19" s="2"/>
      <c r="B19" s="80" t="s">
        <v>87</v>
      </c>
      <c r="C19" s="68" t="s">
        <v>85</v>
      </c>
      <c r="D19" s="68" t="s">
        <v>85</v>
      </c>
      <c r="E19" s="68" t="s">
        <v>85</v>
      </c>
      <c r="F19" s="68" t="s">
        <v>85</v>
      </c>
      <c r="G19" s="68" t="s">
        <v>85</v>
      </c>
      <c r="H19" s="68" t="s">
        <v>85</v>
      </c>
      <c r="I19" s="68" t="s">
        <v>85</v>
      </c>
      <c r="J19" s="81" t="s">
        <v>85</v>
      </c>
      <c r="K19" s="2"/>
      <c r="L19" s="8"/>
    </row>
    <row r="20" ht="19.5">
      <c r="A20" s="2"/>
      <c r="B20" s="98" t="s">
        <v>89</v>
      </c>
      <c r="C20" s="70" t="str">
        <f>IF(AND(ISNUMBER(C15),ISNUMBER(C18),ISNUMBER(C19)),(1+C15)/((1+C18)*(1+C19))-1,"Unavailable")</f>
        <v>Unavailable</v>
      </c>
      <c r="D20" s="70" t="str">
        <f>IF(AND(ISNUMBER(D15),ISNUMBER(D18),ISNUMBER(D19)),(1+D15)/((1+D18)*(1+D19))-1,"Unavailable")</f>
        <v>Unavailable</v>
      </c>
      <c r="E20" s="70" t="str">
        <f>IF(AND(ISNUMBER(E15),ISNUMBER(E18),ISNUMBER(E19)),(1+E15)/((1+E18)*(1+E19))-1,"Unavailable")</f>
        <v>Unavailable</v>
      </c>
      <c r="F20" s="70" t="str">
        <f>IF(AND(ISNUMBER(F15),ISNUMBER(F18),ISNUMBER(F19)),(1+F15)/((1+F18)*(1+F19))-1,"Unavailable")</f>
        <v>Unavailable</v>
      </c>
      <c r="G20" s="70" t="str">
        <f>IF(AND(ISNUMBER(G15),ISNUMBER(G18),ISNUMBER(G19)),(1+G15)/((1+G18)*(1+G19))-1,"Unavailable")</f>
        <v>Unavailable</v>
      </c>
      <c r="H20" s="70" t="str">
        <f>IF(AND(ISNUMBER(H15),ISNUMBER(H18),ISNUMBER(H19)),(1+H15)/((1+H18)*(1+H19))-1,"Unavailable")</f>
        <v>Unavailable</v>
      </c>
      <c r="I20" s="70" t="str">
        <f>IF(AND(ISNUMBER(I15),ISNUMBER(I18),ISNUMBER(I19)),(1+I15)/((1+I18)*(1+I19))-1,"Unavailable")</f>
        <v>Unavailable</v>
      </c>
      <c r="J20" s="69" t="str">
        <f>IF(AND(ISNUMBER(J15),ISNUMBER(J18),ISNUMBER(J19)),(1+J15)/((1+J18)*(1+J19))-1,"Unavailable")</f>
        <v>Unavailable</v>
      </c>
      <c r="K20" s="2"/>
      <c r="L20" s="8"/>
    </row>
    <row r="21" ht="19.5">
      <c r="A21" s="2"/>
      <c r="B21" s="18" t="s">
        <v>415</v>
      </c>
      <c r="C21" s="6">
        <f>C12-C14</f>
        <v>140.94124000000008</v>
      </c>
      <c r="D21" s="6">
        <f>D12-D14</f>
        <v>164.50922</v>
      </c>
      <c r="E21" s="6">
        <f>E12-E14</f>
        <v>41.52384000000001</v>
      </c>
      <c r="F21" s="6">
        <f>F12-F14</f>
        <v>35.59177999999986</v>
      </c>
      <c r="G21" s="6">
        <f>G12-G14</f>
        <v>382.56607999999983</v>
      </c>
      <c r="H21" s="6">
        <f>H12-H14</f>
        <v>75.10540000000003</v>
      </c>
      <c r="I21" s="6">
        <f>I12-I14</f>
        <v>106.53649999999993</v>
      </c>
      <c r="J21" s="7">
        <f>J12-J14</f>
        <v>132.84000000000003</v>
      </c>
      <c r="K21" s="2"/>
      <c r="L21" s="8" t="s">
        <v>416</v>
      </c>
    </row>
    <row r="22">
      <c r="A22" s="2"/>
      <c r="B22" s="80" t="s">
        <v>79</v>
      </c>
      <c r="C22" s="70"/>
      <c r="D22" s="70"/>
      <c r="E22" s="70"/>
      <c r="F22" s="70"/>
      <c r="G22" s="70"/>
      <c r="H22" s="70">
        <f>H21/C21-1</f>
        <v>-0.46711551565744713</v>
      </c>
      <c r="I22" s="70">
        <f>I21/D21-1</f>
        <v>-0.3523979993340195</v>
      </c>
      <c r="J22" s="69">
        <f>J21/E21-1</f>
        <v>2.1991260923845197</v>
      </c>
      <c r="K22" s="2"/>
      <c r="L22" s="8"/>
    </row>
    <row r="23">
      <c r="A23" s="2"/>
      <c r="B23" s="9" t="s">
        <v>80</v>
      </c>
      <c r="C23" s="6"/>
      <c r="D23" s="6"/>
      <c r="E23" s="6"/>
      <c r="F23" s="6"/>
      <c r="G23" s="6"/>
      <c r="H23" s="6">
        <f>H21-C21</f>
        <v>-65.83584000000005</v>
      </c>
      <c r="I23" s="6">
        <f>I21-D21</f>
        <v>-57.972720000000066</v>
      </c>
      <c r="J23" s="7">
        <f>J21-E21</f>
        <v>91.31616000000002</v>
      </c>
      <c r="K23" s="2"/>
      <c r="L23" s="8"/>
    </row>
    <row r="24">
      <c r="A24" s="2"/>
      <c r="B24" s="9" t="s">
        <v>81</v>
      </c>
      <c r="C24" s="6"/>
      <c r="D24" s="6">
        <f>D21-C21</f>
        <v>23.56797999999992</v>
      </c>
      <c r="E24" s="6">
        <f>E21-D21</f>
        <v>-122.98537999999999</v>
      </c>
      <c r="F24" s="6">
        <f>F21-E21</f>
        <v>-5.932060000000149</v>
      </c>
      <c r="G24" s="6"/>
      <c r="H24" s="6">
        <f>H21-F21</f>
        <v>39.513620000000174</v>
      </c>
      <c r="I24" s="6">
        <f>I21-H21</f>
        <v>31.4310999999999</v>
      </c>
      <c r="J24" s="7">
        <f>J21-I21</f>
        <v>26.3035000000001</v>
      </c>
      <c r="K24" s="2"/>
      <c r="L24" s="8"/>
    </row>
    <row r="25">
      <c r="A25" s="2"/>
      <c r="B25" s="80" t="s">
        <v>84</v>
      </c>
      <c r="C25" s="68" t="s">
        <v>85</v>
      </c>
      <c r="D25" s="68" t="s">
        <v>85</v>
      </c>
      <c r="E25" s="68" t="s">
        <v>85</v>
      </c>
      <c r="F25" s="68" t="s">
        <v>85</v>
      </c>
      <c r="G25" s="68" t="s">
        <v>85</v>
      </c>
      <c r="H25" s="68" t="s">
        <v>85</v>
      </c>
      <c r="I25" s="68" t="s">
        <v>85</v>
      </c>
      <c r="J25" s="81" t="s">
        <v>85</v>
      </c>
      <c r="K25" s="2"/>
      <c r="L25" s="8"/>
    </row>
    <row r="26">
      <c r="A26" s="2"/>
      <c r="B26" s="80" t="s">
        <v>87</v>
      </c>
      <c r="C26" s="68" t="s">
        <v>85</v>
      </c>
      <c r="D26" s="68" t="s">
        <v>85</v>
      </c>
      <c r="E26" s="68" t="s">
        <v>85</v>
      </c>
      <c r="F26" s="68" t="s">
        <v>85</v>
      </c>
      <c r="G26" s="68" t="s">
        <v>85</v>
      </c>
      <c r="H26" s="68" t="s">
        <v>85</v>
      </c>
      <c r="I26" s="68" t="s">
        <v>85</v>
      </c>
      <c r="J26" s="81" t="s">
        <v>85</v>
      </c>
      <c r="K26" s="2"/>
      <c r="L26" s="8"/>
    </row>
    <row r="27" ht="19.5">
      <c r="A27" s="2"/>
      <c r="B27" s="98" t="s">
        <v>89</v>
      </c>
      <c r="C27" s="70" t="str">
        <f>IF(AND(ISNUMBER(C22),ISNUMBER(C25),ISNUMBER(C26)),(1+C22)/((1+C25)*(1+C26))-1,"Unavailable")</f>
        <v>Unavailable</v>
      </c>
      <c r="D27" s="70" t="str">
        <f>IF(AND(ISNUMBER(D22),ISNUMBER(D25),ISNUMBER(D26)),(1+D22)/((1+D25)*(1+D26))-1,"Unavailable")</f>
        <v>Unavailable</v>
      </c>
      <c r="E27" s="70" t="str">
        <f>IF(AND(ISNUMBER(E22),ISNUMBER(E25),ISNUMBER(E26)),(1+E22)/((1+E25)*(1+E26))-1,"Unavailable")</f>
        <v>Unavailable</v>
      </c>
      <c r="F27" s="70" t="str">
        <f>IF(AND(ISNUMBER(F22),ISNUMBER(F25),ISNUMBER(F26)),(1+F22)/((1+F25)*(1+F26))-1,"Unavailable")</f>
        <v>Unavailable</v>
      </c>
      <c r="G27" s="70" t="str">
        <f>IF(AND(ISNUMBER(G22),ISNUMBER(G25),ISNUMBER(G26)),(1+G22)/((1+G25)*(1+G26))-1,"Unavailable")</f>
        <v>Unavailable</v>
      </c>
      <c r="H27" s="70" t="str">
        <f>IF(AND(ISNUMBER(H22),ISNUMBER(H25),ISNUMBER(H26)),(1+H22)/((1+H25)*(1+H26))-1,"Unavailable")</f>
        <v>Unavailable</v>
      </c>
      <c r="I27" s="70" t="str">
        <f>IF(AND(ISNUMBER(I22),ISNUMBER(I25),ISNUMBER(I26)),(1+I22)/((1+I25)*(1+I26))-1,"Unavailable")</f>
        <v>Unavailable</v>
      </c>
      <c r="J27" s="69" t="str">
        <f>IF(AND(ISNUMBER(J22),ISNUMBER(J25),ISNUMBER(J26)),(1+J22)/((1+J25)*(1+J26))-1,"Unavailable")</f>
        <v>Unavailable</v>
      </c>
      <c r="K27" s="2"/>
      <c r="L27" s="8"/>
    </row>
    <row r="28">
      <c r="A28" s="2"/>
      <c r="B28" s="17" t="s">
        <v>417</v>
      </c>
      <c r="C28" s="14">
        <f>C14+C21</f>
        <v>326.021</v>
      </c>
      <c r="D28" s="14">
        <f>D14+D21</f>
        <v>401.24199999999996</v>
      </c>
      <c r="E28" s="14">
        <f>E14+E21</f>
        <v>519.048</v>
      </c>
      <c r="F28" s="14">
        <f>F14+F21</f>
        <v>777.683</v>
      </c>
      <c r="G28" s="14">
        <f>G14+G21</f>
        <v>2023.994</v>
      </c>
      <c r="H28" s="14">
        <f>H14+H21</f>
        <v>751.054</v>
      </c>
      <c r="I28" s="14">
        <f>I14+I21</f>
        <v>1065.365</v>
      </c>
      <c r="J28" s="28">
        <f>J14+J21</f>
        <v>1107</v>
      </c>
      <c r="K28" s="2"/>
      <c r="L28" s="8"/>
    </row>
    <row r="29">
      <c r="A29" s="2"/>
      <c r="B29" s="48" t="s">
        <v>418</v>
      </c>
      <c r="C29" s="70">
        <f>C14/C28</f>
        <v>0.567692755988111</v>
      </c>
      <c r="D29" s="70">
        <f>D14/D28</f>
        <v>0.59</v>
      </c>
      <c r="E29" s="70">
        <f>E14/E28</f>
        <v>0.92</v>
      </c>
      <c r="F29" s="70">
        <f>F14/F28</f>
        <v>0.9542335630327526</v>
      </c>
      <c r="G29" s="70">
        <f>G14/G28</f>
        <v>0.8109845780175239</v>
      </c>
      <c r="H29" s="70">
        <f>H14/H28</f>
        <v>0.8999999999999999</v>
      </c>
      <c r="I29" s="70">
        <f>I14/I28</f>
        <v>0.9</v>
      </c>
      <c r="J29" s="69">
        <f>J14/J28</f>
        <v>0.88</v>
      </c>
      <c r="K29" s="2"/>
      <c r="L29" s="8"/>
    </row>
    <row r="30">
      <c r="A30" s="2"/>
      <c r="B30" s="80" t="s">
        <v>120</v>
      </c>
      <c r="C30" s="67"/>
      <c r="D30" s="67">
        <f>(D29-C29)*10000</f>
        <v>223.07244011888994</v>
      </c>
      <c r="E30" s="67">
        <f>(E29-D29)*10000</f>
        <v>3300.000000000001</v>
      </c>
      <c r="F30" s="67">
        <f>(F29-E29)*10000</f>
        <v>342.335630327526</v>
      </c>
      <c r="G30" s="67"/>
      <c r="H30" s="67">
        <f>(H29-F29)*10000</f>
        <v>-542.3356303275273</v>
      </c>
      <c r="I30" s="67">
        <f>(I29-H29)*10000</f>
        <v>0</v>
      </c>
      <c r="J30" s="89">
        <f>(J29-I29)*10000</f>
        <v>-200.00000000000017</v>
      </c>
      <c r="K30" s="2"/>
      <c r="L30" s="8"/>
    </row>
    <row r="31">
      <c r="A31" s="2"/>
      <c r="B31" s="48" t="s">
        <v>419</v>
      </c>
      <c r="C31" s="70">
        <f>C21/C28</f>
        <v>0.432307244011889</v>
      </c>
      <c r="D31" s="70">
        <f>D21/D28</f>
        <v>0.41000000000000003</v>
      </c>
      <c r="E31" s="70">
        <f>E21/E28</f>
        <v>0.08000000000000002</v>
      </c>
      <c r="F31" s="70">
        <f>F21/F28</f>
        <v>0.0457664369672474</v>
      </c>
      <c r="G31" s="70">
        <f>G21/G28</f>
        <v>0.18901542198247615</v>
      </c>
      <c r="H31" s="70">
        <f>H21/H28</f>
        <v>0.10000000000000005</v>
      </c>
      <c r="I31" s="70">
        <f>I21/I28</f>
        <v>0.09999999999999994</v>
      </c>
      <c r="J31" s="69">
        <f>J21/J28</f>
        <v>0.12000000000000002</v>
      </c>
      <c r="K31" s="2"/>
      <c r="L31" s="8"/>
    </row>
    <row r="32">
      <c r="A32" s="2"/>
      <c r="B32" s="80" t="s">
        <v>120</v>
      </c>
      <c r="C32" s="67"/>
      <c r="D32" s="67">
        <f>(D31-C31)*10000</f>
        <v>-223.07244011888994</v>
      </c>
      <c r="E32" s="67">
        <f>(E31-D31)*10000</f>
        <v>-3300</v>
      </c>
      <c r="F32" s="67">
        <f>(F31-E31)*10000</f>
        <v>-342.33563032752613</v>
      </c>
      <c r="G32" s="67"/>
      <c r="H32" s="67">
        <f>(H31-F31)*10000</f>
        <v>542.3356303275265</v>
      </c>
      <c r="I32" s="67">
        <f>(I31-H31)*10000</f>
        <v>0</v>
      </c>
      <c r="J32" s="89">
        <f>(J31-I31)*10000</f>
        <v>200.00000000000088</v>
      </c>
      <c r="K32" s="2"/>
      <c r="L32" s="8"/>
    </row>
    <row r="33" ht="19.5">
      <c r="A33" s="2"/>
      <c r="B33" s="102" t="s">
        <v>420</v>
      </c>
      <c r="C33" s="72">
        <f>ROUND(C28-C12,6)</f>
        <v>0</v>
      </c>
      <c r="D33" s="72">
        <f>ROUND(D28-D12,6)</f>
        <v>0</v>
      </c>
      <c r="E33" s="72">
        <f>ROUND(E28-E12,6)</f>
        <v>0</v>
      </c>
      <c r="F33" s="72">
        <f>ROUND(F28-F12,6)</f>
        <v>0</v>
      </c>
      <c r="G33" s="72">
        <f>ROUND(G28-G12,6)</f>
        <v>0</v>
      </c>
      <c r="H33" s="72">
        <f>ROUND(H28-H12,6)</f>
        <v>0</v>
      </c>
      <c r="I33" s="72">
        <f>ROUND(I28-I12,6)</f>
        <v>0</v>
      </c>
      <c r="J33" s="106">
        <f>ROUND(J28-J12,6)</f>
        <v>0</v>
      </c>
      <c r="K33" s="2"/>
      <c r="L33" s="8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8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8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3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421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19" t="s">
        <v>70</v>
      </c>
      <c r="I5" s="19" t="s">
        <v>71</v>
      </c>
      <c r="J5" s="15" t="s">
        <v>4</v>
      </c>
      <c r="K5" s="2"/>
      <c r="L5" s="2"/>
    </row>
    <row r="6">
      <c r="A6" s="2"/>
      <c r="B6" s="29" t="s">
        <v>5</v>
      </c>
      <c r="C6" s="20">
        <f>DATE(2025,3,31)</f>
        <v>45747</v>
      </c>
      <c r="D6" s="20">
        <f>DATE(2025,6,30)</f>
        <v>45838</v>
      </c>
      <c r="E6" s="20">
        <f>DATE(2025,9,30)</f>
        <v>45930</v>
      </c>
      <c r="F6" s="20">
        <f>DATE(2025,12,31)</f>
        <v>46022</v>
      </c>
      <c r="G6" s="20">
        <f>DATE(2025,12,31)</f>
        <v>46022</v>
      </c>
      <c r="H6" s="20">
        <f>DATE(2026,3,31)</f>
        <v>46112</v>
      </c>
      <c r="I6" s="20">
        <f>DATE(2026,6,30)</f>
        <v>46203</v>
      </c>
      <c r="J6" s="33">
        <f>DATE(2026,9,30)</f>
        <v>46295</v>
      </c>
      <c r="K6" s="2"/>
      <c r="L6" s="2"/>
    </row>
    <row r="7">
      <c r="A7" s="2"/>
      <c r="B7" s="53" t="s">
        <v>6</v>
      </c>
      <c r="C7" s="13">
        <f>C6-DATE(2024,12,31)</f>
        <v>90</v>
      </c>
      <c r="D7" s="13">
        <f>D6-C6</f>
        <v>91</v>
      </c>
      <c r="E7" s="13">
        <f>E6-D6</f>
        <v>92</v>
      </c>
      <c r="F7" s="13">
        <f>F6-E6</f>
        <v>92</v>
      </c>
      <c r="G7" s="13">
        <f>G6-DATE(2024,12,31)</f>
        <v>365</v>
      </c>
      <c r="H7" s="13">
        <f>H6-F6</f>
        <v>90</v>
      </c>
      <c r="I7" s="13">
        <f>I6-H6</f>
        <v>91</v>
      </c>
      <c r="J7" s="59">
        <f>J6-I6</f>
        <v>92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422</v>
      </c>
      <c r="C9" s="16"/>
      <c r="D9" s="16"/>
      <c r="E9" s="16"/>
      <c r="F9" s="16"/>
      <c r="G9" s="16"/>
      <c r="H9" s="16"/>
      <c r="I9" s="16"/>
      <c r="J9" s="4"/>
      <c r="K9" s="2"/>
      <c r="L9" s="8"/>
    </row>
    <row r="10">
      <c r="A10" s="2"/>
      <c r="B10" s="21" t="s">
        <v>423</v>
      </c>
      <c r="C10" s="11">
        <v>229.142474</v>
      </c>
      <c r="D10" s="6">
        <f>C13</f>
        <v>231.969446</v>
      </c>
      <c r="E10" s="6">
        <f>D13</f>
        <v>233.661168</v>
      </c>
      <c r="F10" s="6">
        <f>E13</f>
        <v>236.356829</v>
      </c>
      <c r="G10" s="6">
        <f>C10</f>
        <v>229.142474</v>
      </c>
      <c r="H10" s="6">
        <f>F13</f>
        <v>280.045459</v>
      </c>
      <c r="I10" s="6">
        <f>H13</f>
        <v>284.207963</v>
      </c>
      <c r="J10" s="7">
        <f>I13</f>
        <v>293.354001</v>
      </c>
      <c r="K10" s="2"/>
      <c r="L10" s="8" t="s">
        <v>424</v>
      </c>
    </row>
    <row r="11" ht="19.5">
      <c r="A11" s="2"/>
      <c r="B11" s="18" t="s">
        <v>425</v>
      </c>
      <c r="C11" s="6">
        <f>C13-C10</f>
        <v>2.826972000000012</v>
      </c>
      <c r="D11" s="6">
        <f>D13-D10</f>
        <v>1.6917219999999986</v>
      </c>
      <c r="E11" s="6">
        <f>E13-E10</f>
        <v>2.695661000000001</v>
      </c>
      <c r="F11" s="6">
        <f>F13-F10</f>
        <v>43.68862999999999</v>
      </c>
      <c r="G11" s="6">
        <f>G13-G10</f>
        <v>50.902985</v>
      </c>
      <c r="H11" s="6">
        <f>H13-H10</f>
        <v>4.162504000000013</v>
      </c>
      <c r="I11" s="6">
        <f>I13-I10</f>
        <v>9.146037999999976</v>
      </c>
      <c r="J11" s="24">
        <v>2.6</v>
      </c>
      <c r="K11" s="2"/>
      <c r="L11" s="8" t="s">
        <v>426</v>
      </c>
    </row>
    <row r="12">
      <c r="A12" s="2"/>
      <c r="B12" s="21" t="s">
        <v>427</v>
      </c>
      <c r="C12" s="3" t="s">
        <v>428</v>
      </c>
      <c r="D12" s="3" t="s">
        <v>428</v>
      </c>
      <c r="E12" s="3" t="s">
        <v>428</v>
      </c>
      <c r="F12" s="3" t="s">
        <v>428</v>
      </c>
      <c r="G12" s="3" t="s">
        <v>428</v>
      </c>
      <c r="H12" s="3" t="s">
        <v>428</v>
      </c>
      <c r="I12" s="3" t="s">
        <v>428</v>
      </c>
      <c r="J12" s="27" t="s">
        <v>428</v>
      </c>
      <c r="K12" s="2"/>
      <c r="L12" s="8" t="s">
        <v>429</v>
      </c>
    </row>
    <row r="13">
      <c r="A13" s="2"/>
      <c r="B13" s="17" t="s">
        <v>430</v>
      </c>
      <c r="C13" s="5">
        <v>231.969446</v>
      </c>
      <c r="D13" s="5">
        <v>233.661168</v>
      </c>
      <c r="E13" s="5">
        <v>236.356829</v>
      </c>
      <c r="F13" s="5">
        <v>280.045459</v>
      </c>
      <c r="G13" s="14">
        <f>F13</f>
        <v>280.045459</v>
      </c>
      <c r="H13" s="5">
        <v>284.207963</v>
      </c>
      <c r="I13" s="5">
        <v>293.354001</v>
      </c>
      <c r="J13" s="28">
        <f>J10+J11</f>
        <v>295.954001</v>
      </c>
      <c r="K13" s="2"/>
      <c r="L13" s="8" t="s">
        <v>431</v>
      </c>
    </row>
    <row r="14">
      <c r="A14" s="2"/>
      <c r="B14" s="9" t="s">
        <v>432</v>
      </c>
      <c r="C14" s="6"/>
      <c r="D14" s="6">
        <f>D13-C13</f>
        <v>1.6917219999999986</v>
      </c>
      <c r="E14" s="6">
        <f>E13-D13</f>
        <v>2.695661000000001</v>
      </c>
      <c r="F14" s="6">
        <f>F13-E13</f>
        <v>43.68862999999999</v>
      </c>
      <c r="G14" s="6"/>
      <c r="H14" s="6">
        <f>H13-F13</f>
        <v>4.162504000000013</v>
      </c>
      <c r="I14" s="6">
        <f>I13-H13</f>
        <v>9.146037999999976</v>
      </c>
      <c r="J14" s="7">
        <f>J13-I13</f>
        <v>2.6000000000000227</v>
      </c>
      <c r="K14" s="2"/>
      <c r="L14" s="8"/>
    </row>
    <row r="15">
      <c r="A15" s="2"/>
      <c r="B15" s="9" t="s">
        <v>433</v>
      </c>
      <c r="C15" s="6"/>
      <c r="D15" s="6"/>
      <c r="E15" s="6"/>
      <c r="F15" s="6"/>
      <c r="G15" s="6"/>
      <c r="H15" s="6">
        <f>H13-C13</f>
        <v>52.238517</v>
      </c>
      <c r="I15" s="6">
        <f>I13-D13</f>
        <v>59.69283299999998</v>
      </c>
      <c r="J15" s="7">
        <f>J13-E13</f>
        <v>59.597172</v>
      </c>
      <c r="K15" s="2"/>
      <c r="L15" s="8"/>
    </row>
    <row r="16" ht="19.5">
      <c r="A16" s="2"/>
      <c r="B16" s="18" t="s">
        <v>434</v>
      </c>
      <c r="C16" s="25">
        <f>'Cash Flow Statement'!C53</f>
        <v>7.651</v>
      </c>
      <c r="D16" s="25">
        <f>'Cash Flow Statement'!D53</f>
        <v>0.03</v>
      </c>
      <c r="E16" s="25">
        <f>'Cash Flow Statement'!E53</f>
        <v>42.354</v>
      </c>
      <c r="F16" s="25">
        <f>'Cash Flow Statement'!F53</f>
        <v>9.088</v>
      </c>
      <c r="G16" s="25">
        <f>'Cash Flow Statement'!G53</f>
        <v>59.123</v>
      </c>
      <c r="H16" s="25">
        <f>'Cash Flow Statement'!H53</f>
        <v>15.835</v>
      </c>
      <c r="I16" s="25">
        <f>'Cash Flow Statement'!I53</f>
        <v>7.324</v>
      </c>
      <c r="J16" s="22">
        <f>'Cash Flow Statement'!J53</f>
        <v>10</v>
      </c>
      <c r="K16" s="2"/>
      <c r="L16" s="8"/>
    </row>
    <row r="17">
      <c r="A17" s="2"/>
      <c r="B17" s="2"/>
      <c r="C17" s="23"/>
      <c r="D17" s="23"/>
      <c r="E17" s="23"/>
      <c r="F17" s="23"/>
      <c r="G17" s="23"/>
      <c r="H17" s="23"/>
      <c r="I17" s="23"/>
      <c r="J17" s="42"/>
      <c r="K17" s="2"/>
      <c r="L17" s="8"/>
    </row>
    <row r="18">
      <c r="A18" s="2"/>
      <c r="B18" s="30" t="s">
        <v>435</v>
      </c>
      <c r="C18" s="16"/>
      <c r="D18" s="16"/>
      <c r="E18" s="16"/>
      <c r="F18" s="16"/>
      <c r="G18" s="16"/>
      <c r="H18" s="16"/>
      <c r="I18" s="16"/>
      <c r="J18" s="4"/>
      <c r="K18" s="2"/>
      <c r="L18" s="8"/>
    </row>
    <row r="19">
      <c r="A19" s="2"/>
      <c r="B19" s="17" t="s">
        <v>436</v>
      </c>
      <c r="C19" s="12">
        <v>230.21</v>
      </c>
      <c r="D19" s="12">
        <v>232.542</v>
      </c>
      <c r="E19" s="12">
        <v>234.931</v>
      </c>
      <c r="F19" s="12">
        <v>263.616</v>
      </c>
      <c r="G19" s="12">
        <v>240.402</v>
      </c>
      <c r="H19" s="12">
        <v>281.719</v>
      </c>
      <c r="I19" s="12">
        <v>287.288</v>
      </c>
      <c r="J19" s="26">
        <f>AVERAGE(J10,J13)</f>
        <v>294.654001</v>
      </c>
      <c r="K19" s="2"/>
      <c r="L19" s="8" t="s">
        <v>437</v>
      </c>
    </row>
    <row r="20">
      <c r="A20" s="2"/>
      <c r="B20" s="9" t="s">
        <v>432</v>
      </c>
      <c r="C20" s="6"/>
      <c r="D20" s="6">
        <f>D19-C19</f>
        <v>2.3319999999999936</v>
      </c>
      <c r="E20" s="6">
        <f>E19-D19</f>
        <v>2.38900000000001</v>
      </c>
      <c r="F20" s="6">
        <f>F19-E19</f>
        <v>28.684999999999974</v>
      </c>
      <c r="G20" s="6"/>
      <c r="H20" s="6">
        <f>H19-F19</f>
        <v>18.10300000000001</v>
      </c>
      <c r="I20" s="6">
        <f>I19-H19</f>
        <v>5.569000000000017</v>
      </c>
      <c r="J20" s="7">
        <f>J19-I19</f>
        <v>7.366000999999983</v>
      </c>
      <c r="K20" s="2"/>
      <c r="L20" s="8"/>
    </row>
    <row r="21">
      <c r="A21" s="2"/>
      <c r="B21" s="9" t="s">
        <v>433</v>
      </c>
      <c r="C21" s="6"/>
      <c r="D21" s="6"/>
      <c r="E21" s="6"/>
      <c r="F21" s="6"/>
      <c r="G21" s="6"/>
      <c r="H21" s="6">
        <f>H19-C19</f>
        <v>51.508999999999986</v>
      </c>
      <c r="I21" s="6">
        <f>I19-D19</f>
        <v>54.74600000000001</v>
      </c>
      <c r="J21" s="7">
        <f>J19-E19</f>
        <v>59.72300099999998</v>
      </c>
      <c r="K21" s="2"/>
      <c r="L21" s="8"/>
    </row>
    <row r="22" ht="19.5">
      <c r="A22" s="2"/>
      <c r="B22" s="18" t="s">
        <v>438</v>
      </c>
      <c r="C22" s="6"/>
      <c r="D22" s="6"/>
      <c r="E22" s="6"/>
      <c r="F22" s="6"/>
      <c r="G22" s="6"/>
      <c r="H22" s="6"/>
      <c r="I22" s="11">
        <v>19.598</v>
      </c>
      <c r="J22" s="24">
        <v>19.6</v>
      </c>
      <c r="K22" s="2"/>
      <c r="L22" s="8" t="s">
        <v>439</v>
      </c>
    </row>
    <row r="23">
      <c r="A23" s="2"/>
      <c r="B23" s="21" t="s">
        <v>440</v>
      </c>
      <c r="C23" s="6"/>
      <c r="D23" s="6"/>
      <c r="E23" s="6"/>
      <c r="F23" s="6"/>
      <c r="G23" s="6"/>
      <c r="H23" s="6"/>
      <c r="I23" s="11">
        <v>0.423</v>
      </c>
      <c r="J23" s="24">
        <v>0</v>
      </c>
      <c r="K23" s="2"/>
      <c r="L23" s="8" t="s">
        <v>441</v>
      </c>
    </row>
    <row r="24" ht="19.5">
      <c r="A24" s="2"/>
      <c r="B24" s="18" t="s">
        <v>442</v>
      </c>
      <c r="C24" s="6"/>
      <c r="D24" s="6"/>
      <c r="E24" s="6"/>
      <c r="F24" s="6"/>
      <c r="G24" s="6"/>
      <c r="H24" s="6"/>
      <c r="I24" s="11">
        <v>16.022</v>
      </c>
      <c r="J24" s="24">
        <v>17.4</v>
      </c>
      <c r="K24" s="2"/>
      <c r="L24" s="8" t="s">
        <v>443</v>
      </c>
    </row>
    <row r="25">
      <c r="A25" s="2"/>
      <c r="B25" s="44" t="s">
        <v>444</v>
      </c>
      <c r="C25" s="14">
        <f>C26-C19</f>
        <v>0</v>
      </c>
      <c r="D25" s="14">
        <f>D26-D19</f>
        <v>0</v>
      </c>
      <c r="E25" s="14">
        <f>E26-E19</f>
        <v>0</v>
      </c>
      <c r="F25" s="14">
        <f>F26-F19</f>
        <v>0</v>
      </c>
      <c r="G25" s="14">
        <f>G26-G19</f>
        <v>0</v>
      </c>
      <c r="H25" s="14">
        <f>H26-H19</f>
        <v>37.98900000000003</v>
      </c>
      <c r="I25" s="14">
        <f>I26-I19</f>
        <v>36.043000000000006</v>
      </c>
      <c r="J25" s="28">
        <f>SUM(J22:J24)</f>
        <v>37</v>
      </c>
      <c r="K25" s="2"/>
      <c r="L25" s="8"/>
    </row>
    <row r="26" ht="19.5">
      <c r="A26" s="2"/>
      <c r="B26" s="47" t="s">
        <v>445</v>
      </c>
      <c r="C26" s="12">
        <v>230.21</v>
      </c>
      <c r="D26" s="12">
        <v>232.542</v>
      </c>
      <c r="E26" s="12">
        <v>234.931</v>
      </c>
      <c r="F26" s="12">
        <v>263.616</v>
      </c>
      <c r="G26" s="12">
        <v>240.402</v>
      </c>
      <c r="H26" s="12">
        <v>319.708</v>
      </c>
      <c r="I26" s="12">
        <v>323.331</v>
      </c>
      <c r="J26" s="26">
        <f>J19+J25</f>
        <v>331.654001</v>
      </c>
      <c r="K26" s="2"/>
      <c r="L26" s="8" t="s">
        <v>446</v>
      </c>
    </row>
    <row r="27" ht="19.5">
      <c r="A27" s="2"/>
      <c r="B27" s="47" t="s">
        <v>447</v>
      </c>
      <c r="C27" s="12">
        <v>230.21</v>
      </c>
      <c r="D27" s="12">
        <v>232.542</v>
      </c>
      <c r="E27" s="12">
        <v>312.479</v>
      </c>
      <c r="F27" s="12">
        <v>315.088</v>
      </c>
      <c r="G27" s="12">
        <v>309.775</v>
      </c>
      <c r="H27" s="12">
        <v>319.708</v>
      </c>
      <c r="I27" s="12">
        <v>323.331</v>
      </c>
      <c r="J27" s="26">
        <f>J26</f>
        <v>331.654001</v>
      </c>
      <c r="K27" s="2"/>
      <c r="L27" s="8" t="s">
        <v>448</v>
      </c>
    </row>
    <row r="28">
      <c r="A28" s="2"/>
      <c r="B28" s="9" t="s">
        <v>432</v>
      </c>
      <c r="C28" s="6"/>
      <c r="D28" s="6">
        <f>D27-C27</f>
        <v>2.3319999999999936</v>
      </c>
      <c r="E28" s="6">
        <f>E27-D27</f>
        <v>79.93699999999998</v>
      </c>
      <c r="F28" s="6">
        <f>F27-E27</f>
        <v>2.6090000000000373</v>
      </c>
      <c r="G28" s="6"/>
      <c r="H28" s="6">
        <f>H27-F27</f>
        <v>4.6200000000000045</v>
      </c>
      <c r="I28" s="6">
        <f>I27-H27</f>
        <v>3.6229999999999905</v>
      </c>
      <c r="J28" s="7">
        <f>J27-I27</f>
        <v>8.323000999999977</v>
      </c>
      <c r="K28" s="2"/>
      <c r="L28" s="8"/>
    </row>
    <row r="29">
      <c r="A29" s="2"/>
      <c r="B29" s="9" t="s">
        <v>433</v>
      </c>
      <c r="C29" s="6"/>
      <c r="D29" s="6"/>
      <c r="E29" s="6"/>
      <c r="F29" s="6"/>
      <c r="G29" s="6"/>
      <c r="H29" s="6">
        <f>H27-C27</f>
        <v>89.49800000000002</v>
      </c>
      <c r="I29" s="6">
        <f>I27-D27</f>
        <v>90.78900000000002</v>
      </c>
      <c r="J29" s="7">
        <f>J27-E27</f>
        <v>19.17500100000001</v>
      </c>
      <c r="K29" s="2"/>
      <c r="L29" s="8"/>
    </row>
    <row r="30">
      <c r="A30" s="2"/>
      <c r="B30" s="48" t="s">
        <v>449</v>
      </c>
      <c r="C30" s="1">
        <f>C27/C19</f>
        <v>1</v>
      </c>
      <c r="D30" s="1">
        <f>D27/D19</f>
        <v>1</v>
      </c>
      <c r="E30" s="1">
        <f>E27/E19</f>
        <v>1.3300884089370921</v>
      </c>
      <c r="F30" s="1">
        <f>F27/F19</f>
        <v>1.1952537023549408</v>
      </c>
      <c r="G30" s="1">
        <f>G27/G19</f>
        <v>1.2885708105589804</v>
      </c>
      <c r="H30" s="1">
        <f>H27/H19</f>
        <v>1.1348471349110285</v>
      </c>
      <c r="I30" s="1">
        <f>I27/I19</f>
        <v>1.1254594692434072</v>
      </c>
      <c r="J30" s="31">
        <f>J27/J19</f>
        <v>1.125571008282355</v>
      </c>
      <c r="K30" s="2"/>
      <c r="L30" s="8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8"/>
    </row>
    <row r="32">
      <c r="A32" s="2"/>
      <c r="B32" s="175" t="s">
        <v>450</v>
      </c>
      <c r="C32" s="172"/>
      <c r="D32" s="172"/>
      <c r="E32" s="172"/>
      <c r="F32" s="172"/>
      <c r="G32" s="172"/>
      <c r="H32" s="172"/>
      <c r="I32" s="172"/>
      <c r="J32" s="172"/>
      <c r="K32" s="172"/>
      <c r="L32" s="176"/>
    </row>
    <row r="33" ht="19.5">
      <c r="B33" s="171" t="s">
        <v>451</v>
      </c>
      <c r="C33" s="169"/>
      <c r="D33" s="169"/>
      <c r="E33" s="169"/>
      <c r="F33" s="169"/>
      <c r="G33" s="169"/>
      <c r="H33" s="169"/>
      <c r="I33" s="169"/>
      <c r="J33" s="174">
        <f>'Income Statement'!J141</f>
        <v>0.7742406219305644</v>
      </c>
      <c r="K33" s="169"/>
      <c r="L33" s="170"/>
    </row>
    <row r="34" ht="19.5">
      <c r="B34" s="171" t="s">
        <v>452</v>
      </c>
      <c r="C34" s="169"/>
      <c r="D34" s="169"/>
      <c r="E34" s="169"/>
      <c r="F34" s="169"/>
      <c r="G34" s="169"/>
      <c r="H34" s="169"/>
      <c r="I34" s="169"/>
      <c r="J34" s="174">
        <f>'Income Statement'!J138/(J27+1)-'Income Statement'!J141</f>
        <v>-0.002327465232954018</v>
      </c>
      <c r="K34" s="169"/>
      <c r="L34" s="170"/>
    </row>
    <row r="35" ht="30">
      <c r="B35" s="171" t="s">
        <v>453</v>
      </c>
      <c r="C35" s="169"/>
      <c r="D35" s="169"/>
      <c r="E35" s="169"/>
      <c r="F35" s="169"/>
      <c r="G35" s="169"/>
      <c r="H35" s="169"/>
      <c r="I35" s="169"/>
      <c r="J35" s="173">
        <v>21.269</v>
      </c>
      <c r="K35" s="169"/>
      <c r="L35" s="170" t="s">
        <v>454</v>
      </c>
    </row>
    <row r="36" ht="30">
      <c r="B36" s="171" t="s">
        <v>455</v>
      </c>
      <c r="C36" s="169"/>
      <c r="D36" s="169"/>
      <c r="E36" s="169"/>
      <c r="F36" s="169"/>
      <c r="G36" s="169"/>
      <c r="H36" s="169"/>
      <c r="I36" s="169"/>
      <c r="J36" s="174">
        <f>'Income Statement'!J138/(J27-J22+J35)</f>
        <v>0.7703638789691566</v>
      </c>
      <c r="K36" s="169"/>
      <c r="L36" s="170"/>
    </row>
    <row r="37" ht="30">
      <c r="B37" s="171" t="s">
        <v>456</v>
      </c>
      <c r="C37" s="169"/>
      <c r="D37" s="169"/>
      <c r="E37" s="169"/>
      <c r="F37" s="169"/>
      <c r="G37" s="169"/>
      <c r="H37" s="169"/>
      <c r="I37" s="169"/>
      <c r="J37" s="174">
        <f>'Income Statement'!J134/(J27-J22)</f>
        <v>0.8090907317031966</v>
      </c>
      <c r="K37" s="169"/>
      <c r="L37" s="170" t="s">
        <v>457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4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9" width="12" customWidth="1"/>
    <col min="10" max="10" width="26" customWidth="1"/>
    <col min="11" max="11" width="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458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3</v>
      </c>
      <c r="C5" s="19" t="s">
        <v>4</v>
      </c>
      <c r="D5" s="19"/>
      <c r="E5" s="19"/>
      <c r="F5" s="19"/>
      <c r="G5" s="19"/>
      <c r="H5" s="19"/>
      <c r="I5" s="19"/>
      <c r="J5" s="19"/>
      <c r="K5" s="2"/>
      <c r="L5" s="2"/>
    </row>
    <row r="6">
      <c r="A6" s="2"/>
      <c r="B6" s="29" t="s">
        <v>5</v>
      </c>
      <c r="C6" s="20">
        <f>DATE(2026,9,30)</f>
        <v>46295</v>
      </c>
      <c r="D6" s="20"/>
      <c r="E6" s="20"/>
      <c r="F6" s="20"/>
      <c r="G6" s="20"/>
      <c r="H6" s="20"/>
      <c r="I6" s="20"/>
      <c r="J6" s="20"/>
      <c r="K6" s="2"/>
      <c r="L6" s="2"/>
    </row>
    <row r="7">
      <c r="A7" s="2"/>
      <c r="B7" s="53" t="s">
        <v>6</v>
      </c>
      <c r="C7" s="13">
        <f>C6-DATE(2026,6,30)</f>
        <v>92</v>
      </c>
      <c r="D7" s="13"/>
      <c r="E7" s="13"/>
      <c r="F7" s="13"/>
      <c r="G7" s="13"/>
      <c r="H7" s="13"/>
      <c r="I7" s="13"/>
      <c r="J7" s="13"/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51" t="s">
        <v>459</v>
      </c>
      <c r="C9" s="35" t="s">
        <v>460</v>
      </c>
      <c r="D9" s="35" t="s">
        <v>64</v>
      </c>
      <c r="E9" s="35" t="s">
        <v>461</v>
      </c>
      <c r="F9" s="35" t="s">
        <v>462</v>
      </c>
      <c r="G9" s="35" t="s">
        <v>463</v>
      </c>
      <c r="H9" s="35" t="s">
        <v>464</v>
      </c>
      <c r="I9" s="35" t="s">
        <v>465</v>
      </c>
      <c r="J9" s="35" t="s">
        <v>466</v>
      </c>
      <c r="K9" s="2"/>
      <c r="L9" s="8"/>
    </row>
    <row r="10">
      <c r="A10" s="2"/>
      <c r="B10" s="2" t="s">
        <v>467</v>
      </c>
      <c r="C10" s="36">
        <v>45715</v>
      </c>
      <c r="D10" s="23" t="s">
        <v>468</v>
      </c>
      <c r="E10" s="11">
        <v>1650</v>
      </c>
      <c r="F10" s="11">
        <v>1850</v>
      </c>
      <c r="G10" s="6">
        <f>AVERAGE(E10:F10)</f>
        <v>1750</v>
      </c>
      <c r="H10" s="25">
        <f>'Income Statement'!G14</f>
        <v>2023.994</v>
      </c>
      <c r="I10" s="37">
        <f>H10/G10-1</f>
        <v>0.15656800000000004</v>
      </c>
      <c r="J10" s="23" t="str">
        <f>IF(H10&gt;F10,"Beat (above high end)",IF(H10&gt;=E10,"Within range","Miss"))</f>
        <v>Beat (above high end)</v>
      </c>
      <c r="K10" s="2"/>
      <c r="L10" s="8" t="s">
        <v>469</v>
      </c>
    </row>
    <row r="11">
      <c r="A11" s="2"/>
      <c r="B11" s="2" t="s">
        <v>470</v>
      </c>
      <c r="C11" s="36">
        <v>45715</v>
      </c>
      <c r="D11" s="23" t="s">
        <v>468</v>
      </c>
      <c r="E11" s="40">
        <v>0.29</v>
      </c>
      <c r="F11" s="40">
        <v>0.29</v>
      </c>
      <c r="G11" s="37">
        <f>AVERAGE(E11:F11)</f>
        <v>0.29</v>
      </c>
      <c r="H11" s="54">
        <f>'Income Statement'!G100</f>
        <v>0.30258933573913754</v>
      </c>
      <c r="I11" s="37">
        <f>H11-G11</f>
        <v>0.012589335739137564</v>
      </c>
      <c r="J11" s="23" t="str">
        <f>IF(H11&gt;F11,"Beat (above high end)",IF(H11&gt;=E11,"Within range","Miss"))</f>
        <v>Beat (above high end)</v>
      </c>
      <c r="K11" s="2"/>
      <c r="L11" s="8" t="s">
        <v>471</v>
      </c>
    </row>
    <row r="12">
      <c r="A12" s="2"/>
      <c r="B12" s="2" t="s">
        <v>472</v>
      </c>
      <c r="C12" s="36">
        <v>45715</v>
      </c>
      <c r="D12" s="23" t="s">
        <v>468</v>
      </c>
      <c r="E12" s="11">
        <v>150</v>
      </c>
      <c r="F12" s="11">
        <v>150</v>
      </c>
      <c r="G12" s="6">
        <f>AVERAGE(E12:F12)</f>
        <v>150</v>
      </c>
      <c r="H12" s="25">
        <f>'Income Statement'!G114</f>
        <v>221.026</v>
      </c>
      <c r="I12" s="37">
        <f>H12/G12-1</f>
        <v>0.47350666666666674</v>
      </c>
      <c r="J12" s="23" t="str">
        <f>IF(H12&gt;F12,"Beat (above high end)",IF(H12&gt;=E12,"Within range","Miss"))</f>
        <v>Beat (above high end)</v>
      </c>
      <c r="K12" s="2"/>
      <c r="L12" s="8" t="s">
        <v>473</v>
      </c>
    </row>
    <row r="13">
      <c r="A13" s="2"/>
      <c r="B13" s="2" t="s">
        <v>474</v>
      </c>
      <c r="C13" s="36">
        <v>45777</v>
      </c>
      <c r="D13" s="23" t="s">
        <v>468</v>
      </c>
      <c r="E13" s="11">
        <v>1650</v>
      </c>
      <c r="F13" s="11">
        <v>1850</v>
      </c>
      <c r="G13" s="6">
        <f>AVERAGE(E13:F13)</f>
        <v>1750</v>
      </c>
      <c r="H13" s="25">
        <f>'Income Statement'!G14</f>
        <v>2023.994</v>
      </c>
      <c r="I13" s="37">
        <f>H13/G13-1</f>
        <v>0.15656800000000004</v>
      </c>
      <c r="J13" s="23" t="str">
        <f>IF(H13&gt;F13,"Beat (above high end)",IF(H13&gt;=E13,"Within range","Miss"))</f>
        <v>Beat (above high end)</v>
      </c>
      <c r="K13" s="2"/>
      <c r="L13" s="8" t="s">
        <v>475</v>
      </c>
    </row>
    <row r="14">
      <c r="A14" s="2"/>
      <c r="B14" s="2" t="s">
        <v>476</v>
      </c>
      <c r="C14" s="36">
        <v>46058</v>
      </c>
      <c r="D14" s="23" t="s">
        <v>477</v>
      </c>
      <c r="E14" s="11">
        <v>3100</v>
      </c>
      <c r="F14" s="11">
        <v>3300</v>
      </c>
      <c r="G14" s="6">
        <f>AVERAGE(E14:F14)</f>
        <v>3200</v>
      </c>
      <c r="H14" s="6" t="s">
        <v>478</v>
      </c>
      <c r="I14" s="37" t="s">
        <v>36</v>
      </c>
      <c r="J14" s="23" t="s">
        <v>479</v>
      </c>
      <c r="K14" s="2"/>
      <c r="L14" s="8" t="s">
        <v>480</v>
      </c>
    </row>
    <row r="15">
      <c r="A15" s="2"/>
      <c r="B15" s="2" t="s">
        <v>481</v>
      </c>
      <c r="C15" s="36">
        <v>46058</v>
      </c>
      <c r="D15" s="23" t="s">
        <v>477</v>
      </c>
      <c r="E15" s="40">
        <v>0.32</v>
      </c>
      <c r="F15" s="40">
        <v>0.32</v>
      </c>
      <c r="G15" s="37">
        <f>AVERAGE(E15:F15)</f>
        <v>0.32</v>
      </c>
      <c r="H15" s="37" t="s">
        <v>478</v>
      </c>
      <c r="I15" s="37" t="s">
        <v>36</v>
      </c>
      <c r="J15" s="23" t="s">
        <v>479</v>
      </c>
      <c r="K15" s="2"/>
      <c r="L15" s="8" t="s">
        <v>482</v>
      </c>
    </row>
    <row r="16">
      <c r="A16" s="2"/>
      <c r="B16" s="2" t="s">
        <v>483</v>
      </c>
      <c r="C16" s="36">
        <v>46058</v>
      </c>
      <c r="D16" s="23" t="s">
        <v>477</v>
      </c>
      <c r="E16" s="11">
        <v>425</v>
      </c>
      <c r="F16" s="11">
        <v>475</v>
      </c>
      <c r="G16" s="6">
        <f>AVERAGE(E16:F16)</f>
        <v>450</v>
      </c>
      <c r="H16" s="6" t="s">
        <v>478</v>
      </c>
      <c r="I16" s="37" t="s">
        <v>36</v>
      </c>
      <c r="J16" s="23" t="s">
        <v>479</v>
      </c>
      <c r="K16" s="2"/>
      <c r="L16" s="8" t="s">
        <v>480</v>
      </c>
    </row>
    <row r="17">
      <c r="A17" s="2"/>
      <c r="B17" s="2" t="s">
        <v>484</v>
      </c>
      <c r="C17" s="36">
        <v>46058</v>
      </c>
      <c r="D17" s="23" t="s">
        <v>477</v>
      </c>
      <c r="E17" s="46">
        <v>1.33</v>
      </c>
      <c r="F17" s="46">
        <v>1.48</v>
      </c>
      <c r="G17" s="43">
        <f>AVERAGE(E17:F17)</f>
        <v>1.405</v>
      </c>
      <c r="H17" s="43" t="s">
        <v>478</v>
      </c>
      <c r="I17" s="37" t="s">
        <v>36</v>
      </c>
      <c r="J17" s="23" t="s">
        <v>479</v>
      </c>
      <c r="K17" s="2"/>
      <c r="L17" s="8" t="s">
        <v>480</v>
      </c>
    </row>
    <row r="18">
      <c r="A18" s="2"/>
      <c r="B18" s="2" t="s">
        <v>485</v>
      </c>
      <c r="C18" s="36">
        <v>46140</v>
      </c>
      <c r="D18" s="23" t="s">
        <v>477</v>
      </c>
      <c r="E18" s="11">
        <v>3400</v>
      </c>
      <c r="F18" s="11">
        <v>3800</v>
      </c>
      <c r="G18" s="6">
        <f>AVERAGE(E18:F18)</f>
        <v>3600</v>
      </c>
      <c r="H18" s="6" t="s">
        <v>478</v>
      </c>
      <c r="I18" s="37" t="s">
        <v>36</v>
      </c>
      <c r="J18" s="23" t="s">
        <v>479</v>
      </c>
      <c r="K18" s="2"/>
      <c r="L18" s="8" t="s">
        <v>486</v>
      </c>
    </row>
    <row r="19">
      <c r="A19" s="2"/>
      <c r="B19" s="2" t="s">
        <v>487</v>
      </c>
      <c r="C19" s="36">
        <v>46140</v>
      </c>
      <c r="D19" s="23" t="s">
        <v>477</v>
      </c>
      <c r="E19" s="40">
        <v>0.34</v>
      </c>
      <c r="F19" s="40">
        <v>0.34</v>
      </c>
      <c r="G19" s="37">
        <f>AVERAGE(E19:F19)</f>
        <v>0.34</v>
      </c>
      <c r="H19" s="37" t="s">
        <v>478</v>
      </c>
      <c r="I19" s="37" t="s">
        <v>36</v>
      </c>
      <c r="J19" s="23" t="s">
        <v>479</v>
      </c>
      <c r="K19" s="2"/>
      <c r="L19" s="8" t="s">
        <v>488</v>
      </c>
    </row>
    <row r="20" ht="19.5">
      <c r="A20" s="2"/>
      <c r="B20" s="49" t="s">
        <v>489</v>
      </c>
      <c r="C20" s="36">
        <v>46140</v>
      </c>
      <c r="D20" s="23" t="s">
        <v>477</v>
      </c>
      <c r="E20" s="11">
        <v>600</v>
      </c>
      <c r="F20" s="11">
        <v>750</v>
      </c>
      <c r="G20" s="6">
        <f>AVERAGE(E20:F20)</f>
        <v>675</v>
      </c>
      <c r="H20" s="6" t="s">
        <v>478</v>
      </c>
      <c r="I20" s="37" t="s">
        <v>36</v>
      </c>
      <c r="J20" s="23" t="s">
        <v>479</v>
      </c>
      <c r="K20" s="2"/>
      <c r="L20" s="8" t="s">
        <v>486</v>
      </c>
    </row>
    <row r="21">
      <c r="A21" s="2"/>
      <c r="B21" s="2" t="s">
        <v>490</v>
      </c>
      <c r="C21" s="36">
        <v>46140</v>
      </c>
      <c r="D21" s="23" t="s">
        <v>477</v>
      </c>
      <c r="E21" s="46">
        <v>1.85</v>
      </c>
      <c r="F21" s="46">
        <v>2.25</v>
      </c>
      <c r="G21" s="43">
        <f>AVERAGE(E21:F21)</f>
        <v>2.05</v>
      </c>
      <c r="H21" s="43" t="s">
        <v>478</v>
      </c>
      <c r="I21" s="37" t="s">
        <v>36</v>
      </c>
      <c r="J21" s="23" t="s">
        <v>479</v>
      </c>
      <c r="K21" s="2"/>
      <c r="L21" s="8" t="s">
        <v>486</v>
      </c>
    </row>
    <row r="22">
      <c r="A22" s="2"/>
      <c r="B22" s="2" t="s">
        <v>491</v>
      </c>
      <c r="C22" s="36">
        <v>46231</v>
      </c>
      <c r="D22" s="23" t="s">
        <v>477</v>
      </c>
      <c r="E22" s="11">
        <v>3900</v>
      </c>
      <c r="F22" s="11">
        <v>4200</v>
      </c>
      <c r="G22" s="6">
        <f>AVERAGE(E22:F22)</f>
        <v>4050</v>
      </c>
      <c r="H22" s="6" t="s">
        <v>478</v>
      </c>
      <c r="I22" s="37" t="s">
        <v>36</v>
      </c>
      <c r="J22" s="23" t="s">
        <v>479</v>
      </c>
      <c r="K22" s="2"/>
      <c r="L22" s="8" t="s">
        <v>492</v>
      </c>
    </row>
    <row r="23" ht="19.5">
      <c r="A23" s="2"/>
      <c r="B23" s="49" t="s">
        <v>493</v>
      </c>
      <c r="C23" s="36">
        <v>46231</v>
      </c>
      <c r="D23" s="23" t="s">
        <v>477</v>
      </c>
      <c r="E23" s="40">
        <v>0.34</v>
      </c>
      <c r="F23" s="40">
        <v>0.34</v>
      </c>
      <c r="G23" s="37">
        <f>AVERAGE(E23:F23)</f>
        <v>0.34</v>
      </c>
      <c r="H23" s="37" t="s">
        <v>478</v>
      </c>
      <c r="I23" s="37" t="s">
        <v>36</v>
      </c>
      <c r="J23" s="23" t="s">
        <v>479</v>
      </c>
      <c r="K23" s="2"/>
      <c r="L23" s="8" t="s">
        <v>494</v>
      </c>
    </row>
    <row r="24" ht="19.5">
      <c r="A24" s="2"/>
      <c r="B24" s="49" t="s">
        <v>495</v>
      </c>
      <c r="C24" s="36">
        <v>46231</v>
      </c>
      <c r="D24" s="23" t="s">
        <v>477</v>
      </c>
      <c r="E24" s="11">
        <v>800</v>
      </c>
      <c r="F24" s="11">
        <v>900</v>
      </c>
      <c r="G24" s="6">
        <f>AVERAGE(E24:F24)</f>
        <v>850</v>
      </c>
      <c r="H24" s="6" t="s">
        <v>478</v>
      </c>
      <c r="I24" s="37" t="s">
        <v>36</v>
      </c>
      <c r="J24" s="23" t="s">
        <v>479</v>
      </c>
      <c r="K24" s="2"/>
      <c r="L24" s="8" t="s">
        <v>492</v>
      </c>
    </row>
    <row r="25">
      <c r="A25" s="2"/>
      <c r="B25" s="2" t="s">
        <v>496</v>
      </c>
      <c r="C25" s="36">
        <v>46231</v>
      </c>
      <c r="D25" s="23" t="s">
        <v>477</v>
      </c>
      <c r="E25" s="46">
        <v>2.55</v>
      </c>
      <c r="F25" s="46">
        <v>2.85</v>
      </c>
      <c r="G25" s="43">
        <f>AVERAGE(E25:F25)</f>
        <v>2.7</v>
      </c>
      <c r="H25" s="43" t="s">
        <v>478</v>
      </c>
      <c r="I25" s="37" t="s">
        <v>36</v>
      </c>
      <c r="J25" s="23" t="s">
        <v>479</v>
      </c>
      <c r="K25" s="2"/>
      <c r="L25" s="8" t="s">
        <v>492</v>
      </c>
    </row>
    <row r="26">
      <c r="A26" s="2"/>
      <c r="B26" s="2"/>
      <c r="C26" s="23"/>
      <c r="D26" s="23"/>
      <c r="E26" s="23"/>
      <c r="F26" s="23"/>
      <c r="G26" s="23"/>
      <c r="H26" s="23"/>
      <c r="I26" s="23"/>
      <c r="J26" s="23"/>
      <c r="K26" s="2"/>
      <c r="L26" s="8"/>
    </row>
    <row r="27">
      <c r="A27" s="2"/>
      <c r="B27" s="30" t="s">
        <v>497</v>
      </c>
      <c r="C27" s="16"/>
      <c r="D27" s="16"/>
      <c r="E27" s="16"/>
      <c r="F27" s="16"/>
      <c r="G27" s="16"/>
      <c r="H27" s="16"/>
      <c r="I27" s="16"/>
      <c r="J27" s="16"/>
      <c r="K27" s="2"/>
      <c r="L27" s="8"/>
    </row>
    <row r="28">
      <c r="A28" s="2"/>
      <c r="B28" s="2" t="s">
        <v>498</v>
      </c>
      <c r="C28" s="23"/>
      <c r="D28" s="23"/>
      <c r="E28" s="25">
        <f>'Income Statement'!H14+'Income Statement'!I14</f>
        <v>1816.4189999999999</v>
      </c>
      <c r="F28" s="25">
        <f>'Income Statement'!H14+'Income Statement'!I14</f>
        <v>1816.4189999999999</v>
      </c>
      <c r="G28" s="25">
        <f>'Income Statement'!H14+'Income Statement'!I14</f>
        <v>1816.4189999999999</v>
      </c>
      <c r="H28" s="6"/>
      <c r="I28" s="23"/>
      <c r="J28" s="23"/>
      <c r="K28" s="2"/>
      <c r="L28" s="8"/>
    </row>
    <row r="29">
      <c r="A29" s="2"/>
      <c r="B29" s="2" t="s">
        <v>499</v>
      </c>
      <c r="C29" s="23"/>
      <c r="D29" s="23"/>
      <c r="E29" s="6">
        <f>E22-E28</f>
        <v>2083.581</v>
      </c>
      <c r="F29" s="6">
        <f>F22-F28</f>
        <v>2383.581</v>
      </c>
      <c r="G29" s="6">
        <f>G22-G28</f>
        <v>2233.581</v>
      </c>
      <c r="H29" s="6"/>
      <c r="I29" s="23"/>
      <c r="J29" s="23"/>
      <c r="K29" s="2"/>
      <c r="L29" s="8"/>
    </row>
    <row r="30">
      <c r="A30" s="2"/>
      <c r="B30" s="17" t="s">
        <v>500</v>
      </c>
      <c r="C30" s="41"/>
      <c r="D30" s="41"/>
      <c r="E30" s="14">
        <f>E29/2</f>
        <v>1041.7905</v>
      </c>
      <c r="F30" s="14">
        <f>F29/2</f>
        <v>1191.7905</v>
      </c>
      <c r="G30" s="14">
        <f>G29/2</f>
        <v>1116.7905</v>
      </c>
      <c r="H30" s="77">
        <f>'Income Statement'!J14</f>
        <v>1107</v>
      </c>
      <c r="I30" s="60">
        <f>H30/G30-1</f>
        <v>-0.008766639759202888</v>
      </c>
      <c r="J30" s="38" t="str">
        <f>IF(H30&gt;G30,"Estimate above implied mid","Estimate below implied mid")</f>
        <v>Estimate below implied mid</v>
      </c>
      <c r="K30" s="2"/>
      <c r="L30" s="8"/>
    </row>
    <row r="31">
      <c r="A31" s="2"/>
      <c r="B31" s="2" t="s">
        <v>501</v>
      </c>
      <c r="C31" s="23"/>
      <c r="D31" s="23"/>
      <c r="E31" s="25">
        <f>'Income Statement'!H114+'Income Statement'!I114</f>
        <v>369.3509999999999</v>
      </c>
      <c r="F31" s="25">
        <f>'Income Statement'!H114+'Income Statement'!I114</f>
        <v>369.3509999999999</v>
      </c>
      <c r="G31" s="25">
        <f>'Income Statement'!H114+'Income Statement'!I114</f>
        <v>369.3509999999999</v>
      </c>
      <c r="H31" s="6"/>
      <c r="I31" s="23"/>
      <c r="J31" s="23"/>
      <c r="K31" s="2"/>
      <c r="L31" s="8"/>
    </row>
    <row r="32">
      <c r="A32" s="2"/>
      <c r="B32" s="2" t="s">
        <v>502</v>
      </c>
      <c r="C32" s="23"/>
      <c r="D32" s="23"/>
      <c r="E32" s="6">
        <f>E24-E31</f>
        <v>430.6490000000001</v>
      </c>
      <c r="F32" s="6">
        <f>F24-F31</f>
        <v>530.6490000000001</v>
      </c>
      <c r="G32" s="6">
        <f>G24-G31</f>
        <v>480.6490000000001</v>
      </c>
      <c r="H32" s="6"/>
      <c r="I32" s="23"/>
      <c r="J32" s="23"/>
      <c r="K32" s="2"/>
      <c r="L32" s="8"/>
    </row>
    <row r="33">
      <c r="A33" s="2"/>
      <c r="B33" s="17" t="s">
        <v>503</v>
      </c>
      <c r="C33" s="41"/>
      <c r="D33" s="41"/>
      <c r="E33" s="14">
        <f>E32/2</f>
        <v>215.32450000000006</v>
      </c>
      <c r="F33" s="14">
        <f>F32/2</f>
        <v>265.32450000000006</v>
      </c>
      <c r="G33" s="14">
        <f>G32/2</f>
        <v>240.32450000000006</v>
      </c>
      <c r="H33" s="77">
        <f>'Income Statement'!J114</f>
        <v>243.98000000000002</v>
      </c>
      <c r="I33" s="60">
        <f>H33/G33-1</f>
        <v>0.015210683887826537</v>
      </c>
      <c r="J33" s="38" t="str">
        <f>IF(H33&gt;G33,"Estimate above implied mid","Estimate below implied mid")</f>
        <v>Estimate above implied mid</v>
      </c>
      <c r="K33" s="2"/>
      <c r="L33" s="8"/>
    </row>
    <row r="34" ht="30">
      <c r="A34" s="2"/>
      <c r="B34" s="167" t="s">
        <v>504</v>
      </c>
      <c r="C34" s="23"/>
      <c r="D34" s="23"/>
      <c r="E34" s="50">
        <f>'Income Statement'!H142+'Income Statement'!I142</f>
        <v>1.22</v>
      </c>
      <c r="F34" s="50">
        <f>'Income Statement'!H142+'Income Statement'!I142</f>
        <v>1.22</v>
      </c>
      <c r="G34" s="50">
        <f>'Income Statement'!H142+'Income Statement'!I142</f>
        <v>1.22</v>
      </c>
      <c r="H34" s="43"/>
      <c r="I34" s="23"/>
      <c r="J34" s="23"/>
      <c r="K34" s="2"/>
      <c r="L34" s="8" t="s">
        <v>505</v>
      </c>
    </row>
    <row r="35" ht="30">
      <c r="A35" s="2"/>
      <c r="B35" s="167" t="s">
        <v>506</v>
      </c>
      <c r="C35" s="23"/>
      <c r="D35" s="23"/>
      <c r="E35" s="43">
        <f>E25-E34</f>
        <v>1.3299999999999998</v>
      </c>
      <c r="F35" s="43">
        <f>F25-F34</f>
        <v>1.6300000000000001</v>
      </c>
      <c r="G35" s="43">
        <f>G25-G34</f>
        <v>1.4800000000000002</v>
      </c>
      <c r="H35" s="43"/>
      <c r="I35" s="23"/>
      <c r="J35" s="23"/>
      <c r="K35" s="2"/>
      <c r="L35" s="8"/>
    </row>
    <row r="36" ht="30">
      <c r="A36" s="2"/>
      <c r="B36" s="168" t="s">
        <v>507</v>
      </c>
      <c r="C36" s="41"/>
      <c r="D36" s="41"/>
      <c r="E36" s="45">
        <f>E35/2</f>
        <v>0.6649999999999999</v>
      </c>
      <c r="F36" s="45">
        <f>F35/2</f>
        <v>0.8150000000000001</v>
      </c>
      <c r="G36" s="45">
        <f>G35/2</f>
        <v>0.7400000000000001</v>
      </c>
      <c r="H36" s="39">
        <f>'Income Statement'!J141</f>
        <v>0.7742406219305644</v>
      </c>
      <c r="I36" s="60">
        <f>H36/G36-1</f>
        <v>0.04627111071697887</v>
      </c>
      <c r="J36" s="38" t="str">
        <f>IF(H36&gt;G36,"Estimate above implied mid","Estimate below implied mid")</f>
        <v>Estimate above implied mid</v>
      </c>
      <c r="K36" s="2"/>
      <c r="L36" s="8" t="s">
        <v>508</v>
      </c>
    </row>
    <row r="37" ht="42">
      <c r="A37" s="2"/>
      <c r="B37" s="153" t="s">
        <v>509</v>
      </c>
      <c r="C37" s="23"/>
      <c r="D37" s="23"/>
      <c r="E37" s="25">
        <f>E36*'Share Count'!J27-'Income Statement'!J85</f>
        <v>216.24991066499996</v>
      </c>
      <c r="F37" s="25">
        <f>F36*'Share Count'!J27-'Income Statement'!J85</f>
        <v>265.998010815</v>
      </c>
      <c r="G37" s="25">
        <f>G36*'Share Count'!J27-'Income Statement'!J85</f>
        <v>241.12396074000003</v>
      </c>
      <c r="H37" s="25">
        <f>'Income Statement'!J134</f>
        <v>252.48000000000002</v>
      </c>
      <c r="I37" s="37">
        <f>H37/G37-1</f>
        <v>0.04709627042102649</v>
      </c>
      <c r="J37" s="23"/>
      <c r="K37" s="2"/>
      <c r="L37" s="8"/>
    </row>
    <row r="38">
      <c r="A38" s="2"/>
      <c r="B38" s="2" t="s">
        <v>510</v>
      </c>
      <c r="C38" s="23"/>
      <c r="D38" s="23"/>
      <c r="E38" s="23"/>
      <c r="F38" s="23"/>
      <c r="G38" s="54">
        <f>(G23*G22-('Income Statement'!H99+'Income Statement'!I99))/G29</f>
        <v>0.3471250874716431</v>
      </c>
      <c r="H38" s="54">
        <f>'Income Statement'!J100</f>
        <v>0.33643179765130987</v>
      </c>
      <c r="I38" s="37">
        <f>H38-G38</f>
        <v>-0.01069328982033324</v>
      </c>
      <c r="J38" s="23"/>
      <c r="K38" s="2"/>
      <c r="L38" s="8" t="s">
        <v>511</v>
      </c>
    </row>
    <row r="39">
      <c r="A39" s="2"/>
      <c r="B39" s="2"/>
      <c r="C39" s="23"/>
      <c r="D39" s="23"/>
      <c r="E39" s="23"/>
      <c r="F39" s="23"/>
      <c r="G39" s="23"/>
      <c r="H39" s="23"/>
      <c r="I39" s="23"/>
      <c r="J39" s="23"/>
      <c r="K39" s="2"/>
      <c r="L39" s="8"/>
    </row>
    <row r="40">
      <c r="A40" s="2"/>
      <c r="B40" s="2" t="s">
        <v>512</v>
      </c>
      <c r="C40" s="23"/>
      <c r="D40" s="23"/>
      <c r="E40" s="23"/>
      <c r="F40" s="23"/>
      <c r="G40" s="23"/>
      <c r="H40" s="23"/>
      <c r="I40" s="23"/>
      <c r="J40" s="23"/>
      <c r="K40" s="2"/>
      <c r="L40" s="8"/>
    </row>
    <row r="41">
      <c r="A41" s="2"/>
      <c r="B41" s="2" t="s">
        <v>513</v>
      </c>
      <c r="C41" s="23"/>
      <c r="D41" s="23"/>
      <c r="E41" s="23"/>
      <c r="F41" s="23"/>
      <c r="G41" s="37">
        <f>G22/G14-1</f>
        <v>0.265625</v>
      </c>
      <c r="H41" s="23"/>
      <c r="I41" s="23"/>
      <c r="J41" s="23"/>
      <c r="K41" s="2"/>
      <c r="L41" s="8"/>
    </row>
    <row r="42">
      <c r="A42" s="2"/>
      <c r="B42" s="2"/>
      <c r="C42" s="23"/>
      <c r="D42" s="23"/>
      <c r="E42" s="23"/>
      <c r="F42" s="23"/>
      <c r="G42" s="23"/>
      <c r="H42" s="23"/>
      <c r="I42" s="23"/>
      <c r="J42" s="23"/>
      <c r="K42" s="2"/>
      <c r="L42" s="8"/>
    </row>
    <row r="43">
      <c r="A43" s="2"/>
      <c r="B43" s="2"/>
      <c r="C43" s="23"/>
      <c r="D43" s="23"/>
      <c r="E43" s="23"/>
      <c r="F43" s="23"/>
      <c r="G43" s="23"/>
      <c r="H43" s="23"/>
      <c r="I43" s="23"/>
      <c r="J43" s="23"/>
      <c r="K43" s="2"/>
      <c r="L43" s="8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8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8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20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1" width="12" customWidth="1"/>
    <col min="12" max="12" width="7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10" t="s">
        <v>514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3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57" t="s">
        <v>3</v>
      </c>
      <c r="C5" s="19" t="s">
        <v>4</v>
      </c>
      <c r="D5" s="19"/>
      <c r="E5" s="19"/>
      <c r="F5" s="19"/>
      <c r="G5" s="19"/>
      <c r="H5" s="19"/>
      <c r="I5" s="19"/>
      <c r="J5" s="19"/>
      <c r="K5" s="2"/>
      <c r="L5" s="2"/>
    </row>
    <row r="6">
      <c r="A6" s="2"/>
      <c r="B6" s="29" t="s">
        <v>5</v>
      </c>
      <c r="C6" s="20">
        <f>DATE(2026,9,30)</f>
        <v>46295</v>
      </c>
      <c r="D6" s="20"/>
      <c r="E6" s="20"/>
      <c r="F6" s="20"/>
      <c r="G6" s="20"/>
      <c r="H6" s="20"/>
      <c r="I6" s="20"/>
      <c r="J6" s="20"/>
      <c r="K6" s="2"/>
      <c r="L6" s="2"/>
    </row>
    <row r="7">
      <c r="A7" s="2"/>
      <c r="B7" s="53" t="s">
        <v>6</v>
      </c>
      <c r="C7" s="13">
        <f>C6-DATE(2026,6,30)</f>
        <v>92</v>
      </c>
      <c r="D7" s="13"/>
      <c r="E7" s="13"/>
      <c r="F7" s="13"/>
      <c r="G7" s="13"/>
      <c r="H7" s="13"/>
      <c r="I7" s="13"/>
      <c r="J7" s="13"/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30" t="s">
        <v>515</v>
      </c>
      <c r="C9" s="30"/>
      <c r="D9" s="30"/>
      <c r="E9" s="30"/>
      <c r="F9" s="30"/>
      <c r="G9" s="30"/>
      <c r="H9" s="30"/>
      <c r="I9" s="30"/>
      <c r="J9" s="30"/>
      <c r="K9" s="2"/>
      <c r="L9" s="8"/>
    </row>
    <row r="10">
      <c r="A10" s="2"/>
      <c r="B10" s="2" t="s">
        <v>516</v>
      </c>
      <c r="C10" s="2" t="s">
        <v>517</v>
      </c>
      <c r="D10" s="2"/>
      <c r="E10" s="2"/>
      <c r="F10" s="2"/>
      <c r="G10" s="2"/>
      <c r="H10" s="2"/>
      <c r="I10" s="2"/>
      <c r="J10" s="2"/>
      <c r="K10" s="2"/>
      <c r="L10" s="8"/>
    </row>
    <row r="11">
      <c r="A11" s="2"/>
      <c r="B11" s="2" t="s">
        <v>518</v>
      </c>
      <c r="C11" s="2" t="s">
        <v>519</v>
      </c>
      <c r="D11" s="2"/>
      <c r="E11" s="2"/>
      <c r="F11" s="2"/>
      <c r="G11" s="2"/>
      <c r="H11" s="2"/>
      <c r="I11" s="2"/>
      <c r="J11" s="2"/>
      <c r="K11" s="2"/>
      <c r="L11" s="8"/>
    </row>
    <row r="12">
      <c r="A12" s="2"/>
      <c r="B12" s="2" t="s">
        <v>520</v>
      </c>
      <c r="C12" s="2" t="s">
        <v>9</v>
      </c>
      <c r="D12" s="2"/>
      <c r="E12" s="2"/>
      <c r="F12" s="2"/>
      <c r="G12" s="2"/>
      <c r="H12" s="2"/>
      <c r="I12" s="2"/>
      <c r="J12" s="2"/>
      <c r="K12" s="2"/>
      <c r="L12" s="8"/>
    </row>
    <row r="13">
      <c r="A13" s="2"/>
      <c r="B13" s="2" t="s">
        <v>521</v>
      </c>
      <c r="C13" s="2" t="s">
        <v>522</v>
      </c>
      <c r="D13" s="2"/>
      <c r="E13" s="2"/>
      <c r="F13" s="2"/>
      <c r="G13" s="2"/>
      <c r="H13" s="2"/>
      <c r="I13" s="2"/>
      <c r="J13" s="2"/>
      <c r="K13" s="2"/>
      <c r="L13" s="8"/>
    </row>
    <row r="14">
      <c r="A14" s="2"/>
      <c r="B14" s="2" t="s">
        <v>523</v>
      </c>
      <c r="C14" s="87">
        <v>46295</v>
      </c>
      <c r="D14" s="2"/>
      <c r="E14" s="2"/>
      <c r="F14" s="2"/>
      <c r="G14" s="2"/>
      <c r="H14" s="2"/>
      <c r="I14" s="2"/>
      <c r="J14" s="2"/>
      <c r="K14" s="2"/>
      <c r="L14" s="8"/>
    </row>
    <row r="15">
      <c r="A15" s="2"/>
      <c r="B15" s="2" t="s">
        <v>524</v>
      </c>
      <c r="C15" s="87">
        <v>46313</v>
      </c>
      <c r="D15" s="2"/>
      <c r="E15" s="2"/>
      <c r="F15" s="2"/>
      <c r="G15" s="2"/>
      <c r="H15" s="2"/>
      <c r="I15" s="2"/>
      <c r="J15" s="2"/>
      <c r="K15" s="2"/>
      <c r="L15" s="8"/>
    </row>
    <row r="16">
      <c r="A16" s="2"/>
      <c r="B16" s="2" t="s">
        <v>525</v>
      </c>
      <c r="C16" s="126">
        <v>17</v>
      </c>
      <c r="D16" s="2"/>
      <c r="E16" s="2"/>
      <c r="F16" s="2"/>
      <c r="G16" s="2"/>
      <c r="H16" s="2"/>
      <c r="I16" s="2"/>
      <c r="J16" s="2"/>
      <c r="K16" s="2"/>
      <c r="L16" s="8"/>
    </row>
    <row r="17">
      <c r="A17" s="2"/>
      <c r="B17" s="2" t="s">
        <v>526</v>
      </c>
      <c r="C17" s="115">
        <v>0.67</v>
      </c>
      <c r="D17" s="2"/>
      <c r="E17" s="2"/>
      <c r="F17" s="2"/>
      <c r="G17" s="2"/>
      <c r="H17" s="2"/>
      <c r="I17" s="2"/>
      <c r="J17" s="2"/>
      <c r="K17" s="2"/>
      <c r="L17" s="8"/>
    </row>
    <row r="18">
      <c r="A18" s="2"/>
      <c r="B18" s="2" t="s">
        <v>527</v>
      </c>
      <c r="C18" s="2" t="s">
        <v>528</v>
      </c>
      <c r="D18" s="2"/>
      <c r="E18" s="2"/>
      <c r="F18" s="2"/>
      <c r="G18" s="2"/>
      <c r="H18" s="2"/>
      <c r="I18" s="2"/>
      <c r="J18" s="2"/>
      <c r="K18" s="2"/>
      <c r="L18" s="8"/>
    </row>
    <row r="19">
      <c r="A19" s="2"/>
      <c r="B19" s="2" t="s">
        <v>529</v>
      </c>
      <c r="C19" s="115">
        <v>1071.24</v>
      </c>
      <c r="D19" s="2"/>
      <c r="E19" s="2"/>
      <c r="F19" s="2"/>
      <c r="G19" s="2"/>
      <c r="H19" s="2"/>
      <c r="I19" s="2"/>
      <c r="J19" s="2"/>
      <c r="K19" s="2"/>
      <c r="L19" s="8"/>
    </row>
    <row r="20">
      <c r="A20" s="2"/>
      <c r="B20" s="2" t="s">
        <v>530</v>
      </c>
      <c r="C20" s="2" t="s">
        <v>531</v>
      </c>
      <c r="D20" s="2"/>
      <c r="E20" s="2"/>
      <c r="F20" s="2"/>
      <c r="G20" s="2"/>
      <c r="H20" s="2"/>
      <c r="I20" s="2"/>
      <c r="J20" s="2"/>
      <c r="K20" s="2"/>
      <c r="L20" s="8"/>
    </row>
    <row r="21">
      <c r="A21" s="2"/>
      <c r="B21" s="2" t="s">
        <v>532</v>
      </c>
      <c r="C21" s="2" t="s">
        <v>533</v>
      </c>
      <c r="D21" s="2"/>
      <c r="E21" s="2"/>
      <c r="F21" s="2"/>
      <c r="G21" s="2"/>
      <c r="H21" s="2"/>
      <c r="I21" s="2"/>
      <c r="J21" s="2"/>
      <c r="K21" s="2"/>
      <c r="L21" s="8"/>
    </row>
    <row r="22">
      <c r="A22" s="2"/>
      <c r="B22" s="2" t="s">
        <v>534</v>
      </c>
      <c r="C22" s="2" t="s">
        <v>535</v>
      </c>
      <c r="D22" s="2"/>
      <c r="E22" s="2"/>
      <c r="F22" s="2"/>
      <c r="G22" s="2"/>
      <c r="H22" s="2"/>
      <c r="I22" s="2"/>
      <c r="J22" s="2"/>
      <c r="K22" s="2"/>
      <c r="L22" s="8"/>
    </row>
    <row r="23">
      <c r="A23" s="2"/>
      <c r="B23" s="2" t="s">
        <v>536</v>
      </c>
      <c r="C23" s="2" t="s">
        <v>531</v>
      </c>
      <c r="D23" s="2"/>
      <c r="E23" s="2"/>
      <c r="F23" s="2"/>
      <c r="G23" s="2"/>
      <c r="H23" s="2"/>
      <c r="I23" s="2"/>
      <c r="J23" s="2"/>
      <c r="K23" s="2"/>
      <c r="L23" s="8"/>
    </row>
    <row r="24">
      <c r="A24" s="2"/>
      <c r="B24" s="2" t="s">
        <v>537</v>
      </c>
      <c r="C24" s="2" t="s">
        <v>531</v>
      </c>
      <c r="D24" s="2"/>
      <c r="E24" s="2"/>
      <c r="F24" s="2"/>
      <c r="G24" s="2"/>
      <c r="H24" s="2"/>
      <c r="I24" s="2"/>
      <c r="J24" s="2"/>
      <c r="K24" s="2"/>
      <c r="L24" s="8"/>
    </row>
    <row r="25">
      <c r="A25" s="2"/>
      <c r="B25" s="2" t="s">
        <v>538</v>
      </c>
      <c r="C25" s="2" t="s">
        <v>539</v>
      </c>
      <c r="D25" s="2"/>
      <c r="E25" s="2"/>
      <c r="F25" s="2"/>
      <c r="G25" s="2"/>
      <c r="H25" s="2"/>
      <c r="I25" s="2"/>
      <c r="J25" s="2"/>
      <c r="K25" s="2"/>
      <c r="L25" s="8"/>
    </row>
    <row r="26">
      <c r="A26" s="2"/>
      <c r="B26" s="2" t="s">
        <v>540</v>
      </c>
      <c r="C26" s="2" t="s">
        <v>531</v>
      </c>
      <c r="D26" s="2"/>
      <c r="E26" s="2"/>
      <c r="F26" s="2"/>
      <c r="G26" s="2"/>
      <c r="H26" s="2"/>
      <c r="I26" s="2"/>
      <c r="J26" s="2"/>
      <c r="K26" s="2"/>
      <c r="L26" s="8"/>
    </row>
    <row r="27">
      <c r="A27" s="2"/>
      <c r="B27" s="2" t="s">
        <v>541</v>
      </c>
      <c r="C27" s="2" t="s">
        <v>542</v>
      </c>
      <c r="D27" s="2"/>
      <c r="E27" s="2"/>
      <c r="F27" s="2"/>
      <c r="G27" s="2"/>
      <c r="H27" s="2"/>
      <c r="I27" s="2"/>
      <c r="J27" s="2"/>
      <c r="K27" s="2"/>
      <c r="L27" s="8"/>
    </row>
    <row r="28">
      <c r="A28" s="2"/>
      <c r="B28" s="2" t="s">
        <v>543</v>
      </c>
      <c r="C28" s="2" t="s">
        <v>544</v>
      </c>
      <c r="D28" s="2"/>
      <c r="E28" s="2"/>
      <c r="F28" s="2"/>
      <c r="G28" s="2"/>
      <c r="H28" s="2"/>
      <c r="I28" s="2"/>
      <c r="J28" s="2"/>
      <c r="K28" s="2"/>
      <c r="L28" s="8"/>
    </row>
    <row r="29">
      <c r="A29" s="2"/>
      <c r="B29" s="2" t="s">
        <v>545</v>
      </c>
      <c r="C29" s="2" t="s">
        <v>546</v>
      </c>
      <c r="D29" s="2"/>
      <c r="E29" s="2"/>
      <c r="F29" s="2"/>
      <c r="G29" s="2"/>
      <c r="H29" s="2"/>
      <c r="I29" s="2"/>
      <c r="J29" s="2"/>
      <c r="K29" s="2"/>
      <c r="L29" s="8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8"/>
    </row>
    <row r="31">
      <c r="A31" s="2"/>
      <c r="B31" s="30" t="s">
        <v>547</v>
      </c>
      <c r="C31" s="30"/>
      <c r="D31" s="30"/>
      <c r="E31" s="30"/>
      <c r="F31" s="30"/>
      <c r="G31" s="30"/>
      <c r="H31" s="30"/>
      <c r="I31" s="30"/>
      <c r="J31" s="30"/>
      <c r="K31" s="2"/>
      <c r="L31" s="8"/>
    </row>
    <row r="32">
      <c r="A32" s="2"/>
      <c r="B32" s="17" t="s">
        <v>548</v>
      </c>
      <c r="C32" s="17" t="s">
        <v>549</v>
      </c>
      <c r="D32" s="17" t="s">
        <v>550</v>
      </c>
      <c r="E32" s="2"/>
      <c r="F32" s="2"/>
      <c r="G32" s="2"/>
      <c r="H32" s="2"/>
      <c r="I32" s="2"/>
      <c r="J32" s="2"/>
      <c r="K32" s="2"/>
      <c r="L32" s="8"/>
    </row>
    <row r="33">
      <c r="A33" s="2"/>
      <c r="B33" s="2" t="s">
        <v>518</v>
      </c>
      <c r="C33" s="153" t="s">
        <v>519</v>
      </c>
      <c r="D33" s="2" t="s">
        <v>551</v>
      </c>
      <c r="E33" s="2"/>
      <c r="F33" s="2"/>
      <c r="G33" s="2"/>
      <c r="H33" s="2"/>
      <c r="I33" s="2"/>
      <c r="J33" s="2"/>
      <c r="K33" s="2"/>
      <c r="L33" s="8"/>
    </row>
    <row r="34" ht="37.5">
      <c r="A34" s="2"/>
      <c r="B34" s="2" t="s">
        <v>552</v>
      </c>
      <c r="C34" s="153" t="s">
        <v>9</v>
      </c>
      <c r="D34" s="2" t="s">
        <v>551</v>
      </c>
      <c r="E34" s="2"/>
      <c r="F34" s="2"/>
      <c r="G34" s="2"/>
      <c r="H34" s="2"/>
      <c r="I34" s="2"/>
      <c r="J34" s="2"/>
      <c r="K34" s="2"/>
      <c r="L34" s="8"/>
    </row>
    <row r="35">
      <c r="A35" s="2"/>
      <c r="B35" s="2" t="s">
        <v>553</v>
      </c>
      <c r="C35" s="153" t="s">
        <v>554</v>
      </c>
      <c r="D35" s="2" t="s">
        <v>551</v>
      </c>
      <c r="E35" s="2"/>
      <c r="F35" s="2"/>
      <c r="G35" s="2"/>
      <c r="H35" s="2"/>
      <c r="I35" s="2"/>
      <c r="J35" s="2"/>
      <c r="K35" s="2"/>
      <c r="L35" s="8"/>
    </row>
    <row r="36">
      <c r="A36" s="2"/>
      <c r="B36" s="2" t="s">
        <v>555</v>
      </c>
      <c r="C36" s="153">
        <v>28543927</v>
      </c>
      <c r="D36" s="2" t="s">
        <v>551</v>
      </c>
      <c r="E36" s="2"/>
      <c r="F36" s="2"/>
      <c r="G36" s="2"/>
      <c r="H36" s="2"/>
      <c r="I36" s="2"/>
      <c r="J36" s="2"/>
      <c r="K36" s="2"/>
      <c r="L36" s="8"/>
    </row>
    <row r="37">
      <c r="A37" s="2"/>
      <c r="B37" s="2" t="s">
        <v>556</v>
      </c>
      <c r="C37" s="153" t="s">
        <v>531</v>
      </c>
      <c r="D37" s="2" t="s">
        <v>551</v>
      </c>
      <c r="E37" s="2"/>
      <c r="F37" s="2"/>
      <c r="G37" s="2"/>
      <c r="H37" s="2"/>
      <c r="I37" s="2"/>
      <c r="J37" s="2"/>
      <c r="K37" s="2"/>
      <c r="L37" s="8"/>
    </row>
    <row r="38">
      <c r="A38" s="2"/>
      <c r="B38" s="2" t="s">
        <v>557</v>
      </c>
      <c r="C38" s="153" t="s">
        <v>558</v>
      </c>
      <c r="D38" s="2" t="s">
        <v>551</v>
      </c>
      <c r="E38" s="2"/>
      <c r="F38" s="2"/>
      <c r="G38" s="2"/>
      <c r="H38" s="2"/>
      <c r="I38" s="2"/>
      <c r="J38" s="2"/>
      <c r="K38" s="2"/>
      <c r="L38" s="8"/>
    </row>
    <row r="39" ht="26.25">
      <c r="A39" s="2"/>
      <c r="B39" s="2" t="s">
        <v>559</v>
      </c>
      <c r="C39" s="153" t="s">
        <v>522</v>
      </c>
      <c r="D39" s="2" t="s">
        <v>551</v>
      </c>
      <c r="E39" s="2"/>
      <c r="F39" s="2"/>
      <c r="G39" s="2"/>
      <c r="H39" s="2"/>
      <c r="I39" s="2"/>
      <c r="J39" s="2"/>
      <c r="K39" s="2"/>
      <c r="L39" s="8"/>
    </row>
    <row r="40">
      <c r="A40" s="2"/>
      <c r="B40" s="2" t="s">
        <v>560</v>
      </c>
      <c r="C40" s="156">
        <v>46295</v>
      </c>
      <c r="D40" s="2" t="s">
        <v>551</v>
      </c>
      <c r="E40" s="2"/>
      <c r="F40" s="2"/>
      <c r="G40" s="2"/>
      <c r="H40" s="2"/>
      <c r="I40" s="2"/>
      <c r="J40" s="2"/>
      <c r="K40" s="2"/>
      <c r="L40" s="8"/>
    </row>
    <row r="41">
      <c r="A41" s="2"/>
      <c r="B41" s="2" t="s">
        <v>561</v>
      </c>
      <c r="C41" s="156">
        <v>46324</v>
      </c>
      <c r="D41" s="2" t="s">
        <v>551</v>
      </c>
      <c r="E41" s="2"/>
      <c r="F41" s="2"/>
      <c r="G41" s="2"/>
      <c r="H41" s="2"/>
      <c r="I41" s="2"/>
      <c r="J41" s="2"/>
      <c r="K41" s="2"/>
      <c r="L41" s="8"/>
    </row>
    <row r="42" ht="60">
      <c r="A42" s="2"/>
      <c r="B42" s="2" t="s">
        <v>527</v>
      </c>
      <c r="C42" s="153" t="s">
        <v>562</v>
      </c>
      <c r="D42" s="2" t="s">
        <v>551</v>
      </c>
      <c r="E42" s="2"/>
      <c r="F42" s="2"/>
      <c r="G42" s="2"/>
      <c r="H42" s="2"/>
      <c r="I42" s="2"/>
      <c r="J42" s="2"/>
      <c r="K42" s="2"/>
      <c r="L42" s="8"/>
    </row>
    <row r="43">
      <c r="A43" s="2"/>
      <c r="B43" s="2" t="s">
        <v>563</v>
      </c>
      <c r="C43" s="179">
        <v>17</v>
      </c>
      <c r="D43" s="2" t="s">
        <v>551</v>
      </c>
      <c r="E43" s="2"/>
      <c r="F43" s="2"/>
      <c r="G43" s="2"/>
      <c r="H43" s="2"/>
      <c r="I43" s="2"/>
      <c r="J43" s="2"/>
      <c r="K43" s="2"/>
      <c r="L43" s="8"/>
    </row>
    <row r="44">
      <c r="A44" s="2"/>
      <c r="B44" s="2" t="s">
        <v>564</v>
      </c>
      <c r="C44" s="179">
        <v>18</v>
      </c>
      <c r="D44" s="2" t="s">
        <v>551</v>
      </c>
      <c r="E44" s="2"/>
      <c r="F44" s="2"/>
      <c r="G44" s="2"/>
      <c r="H44" s="2"/>
      <c r="I44" s="2"/>
      <c r="J44" s="2"/>
      <c r="K44" s="2"/>
      <c r="L44" s="8"/>
    </row>
    <row r="45">
      <c r="A45" s="2"/>
      <c r="B45" s="2" t="s">
        <v>565</v>
      </c>
      <c r="C45" s="153"/>
      <c r="D45" s="2" t="s">
        <v>566</v>
      </c>
      <c r="E45" s="2"/>
      <c r="F45" s="2"/>
      <c r="G45" s="2"/>
      <c r="H45" s="2"/>
      <c r="I45" s="2"/>
      <c r="J45" s="2"/>
      <c r="K45" s="2"/>
      <c r="L45" s="8"/>
    </row>
    <row r="46">
      <c r="A46" s="2"/>
      <c r="B46" s="2" t="s">
        <v>567</v>
      </c>
      <c r="C46" s="154">
        <v>0.67</v>
      </c>
      <c r="D46" s="2" t="s">
        <v>551</v>
      </c>
      <c r="E46" s="2"/>
      <c r="F46" s="2"/>
      <c r="G46" s="2"/>
      <c r="H46" s="2"/>
      <c r="I46" s="2"/>
      <c r="J46" s="2"/>
      <c r="K46" s="2"/>
      <c r="L46" s="8"/>
    </row>
    <row r="47">
      <c r="A47" s="2"/>
      <c r="B47" s="2" t="s">
        <v>568</v>
      </c>
      <c r="C47" s="154">
        <v>0.67</v>
      </c>
      <c r="D47" s="2" t="s">
        <v>551</v>
      </c>
      <c r="E47" s="2"/>
      <c r="F47" s="2"/>
      <c r="G47" s="2"/>
      <c r="H47" s="2"/>
      <c r="I47" s="2"/>
      <c r="J47" s="2"/>
      <c r="K47" s="2"/>
      <c r="L47" s="8"/>
    </row>
    <row r="48">
      <c r="A48" s="2"/>
      <c r="B48" s="2" t="s">
        <v>569</v>
      </c>
      <c r="C48" s="154">
        <v>0.8</v>
      </c>
      <c r="D48" s="2" t="s">
        <v>551</v>
      </c>
      <c r="E48" s="2"/>
      <c r="F48" s="2"/>
      <c r="G48" s="2"/>
      <c r="H48" s="2"/>
      <c r="I48" s="2"/>
      <c r="J48" s="2"/>
      <c r="K48" s="2"/>
      <c r="L48" s="8"/>
    </row>
    <row r="49">
      <c r="A49" s="2"/>
      <c r="B49" s="2" t="s">
        <v>570</v>
      </c>
      <c r="C49" s="154">
        <v>0.59</v>
      </c>
      <c r="D49" s="2" t="s">
        <v>551</v>
      </c>
      <c r="E49" s="2"/>
      <c r="F49" s="2"/>
      <c r="G49" s="2"/>
      <c r="H49" s="2"/>
      <c r="I49" s="2"/>
      <c r="J49" s="2"/>
      <c r="K49" s="2"/>
      <c r="L49" s="8"/>
    </row>
    <row r="50">
      <c r="A50" s="2"/>
      <c r="B50" s="2" t="s">
        <v>571</v>
      </c>
      <c r="C50" s="154">
        <v>0.06</v>
      </c>
      <c r="D50" s="2" t="s">
        <v>551</v>
      </c>
      <c r="E50" s="2"/>
      <c r="F50" s="2"/>
      <c r="G50" s="2"/>
      <c r="H50" s="2"/>
      <c r="I50" s="2"/>
      <c r="J50" s="2"/>
      <c r="K50" s="2"/>
      <c r="L50" s="8"/>
    </row>
    <row r="51">
      <c r="A51" s="2"/>
      <c r="B51" s="2" t="s">
        <v>572</v>
      </c>
      <c r="C51" s="179">
        <v>17</v>
      </c>
      <c r="D51" s="2" t="s">
        <v>551</v>
      </c>
      <c r="E51" s="2"/>
      <c r="F51" s="2"/>
      <c r="G51" s="2"/>
      <c r="H51" s="2"/>
      <c r="I51" s="2"/>
      <c r="J51" s="2"/>
      <c r="K51" s="2"/>
      <c r="L51" s="8"/>
    </row>
    <row r="52">
      <c r="A52" s="2"/>
      <c r="B52" s="2" t="s">
        <v>573</v>
      </c>
      <c r="C52" s="153"/>
      <c r="D52" s="2" t="s">
        <v>566</v>
      </c>
      <c r="E52" s="2"/>
      <c r="F52" s="2"/>
      <c r="G52" s="2"/>
      <c r="H52" s="2"/>
      <c r="I52" s="2"/>
      <c r="J52" s="2"/>
      <c r="K52" s="2"/>
      <c r="L52" s="8"/>
    </row>
    <row r="53">
      <c r="A53" s="2"/>
      <c r="B53" s="2" t="s">
        <v>574</v>
      </c>
      <c r="C53" s="153"/>
      <c r="D53" s="2" t="s">
        <v>566</v>
      </c>
      <c r="E53" s="2"/>
      <c r="F53" s="2"/>
      <c r="G53" s="2"/>
      <c r="H53" s="2"/>
      <c r="I53" s="2"/>
      <c r="J53" s="2"/>
      <c r="K53" s="2"/>
      <c r="L53" s="8"/>
    </row>
    <row r="54">
      <c r="A54" s="2"/>
      <c r="B54" s="2" t="s">
        <v>575</v>
      </c>
      <c r="C54" s="153"/>
      <c r="D54" s="2" t="s">
        <v>566</v>
      </c>
      <c r="E54" s="2"/>
      <c r="F54" s="2"/>
      <c r="G54" s="2"/>
      <c r="H54" s="2"/>
      <c r="I54" s="2"/>
      <c r="J54" s="2"/>
      <c r="K54" s="2"/>
      <c r="L54" s="8"/>
    </row>
    <row r="55">
      <c r="A55" s="2"/>
      <c r="B55" s="2" t="s">
        <v>576</v>
      </c>
      <c r="C55" s="154">
        <v>0.54</v>
      </c>
      <c r="D55" s="2" t="s">
        <v>551</v>
      </c>
      <c r="E55" s="2"/>
      <c r="F55" s="2"/>
      <c r="G55" s="2"/>
      <c r="H55" s="2"/>
      <c r="I55" s="2"/>
      <c r="J55" s="2"/>
      <c r="K55" s="2"/>
      <c r="L55" s="8"/>
    </row>
    <row r="56">
      <c r="A56" s="2"/>
      <c r="B56" s="2" t="s">
        <v>577</v>
      </c>
      <c r="C56" s="154">
        <v>0.55</v>
      </c>
      <c r="D56" s="2" t="s">
        <v>551</v>
      </c>
      <c r="E56" s="2"/>
      <c r="F56" s="2"/>
      <c r="G56" s="2"/>
      <c r="H56" s="2"/>
      <c r="I56" s="2"/>
      <c r="J56" s="2"/>
      <c r="K56" s="2"/>
      <c r="L56" s="8"/>
    </row>
    <row r="57">
      <c r="A57" s="2"/>
      <c r="B57" s="2" t="s">
        <v>578</v>
      </c>
      <c r="C57" s="154">
        <v>0.67</v>
      </c>
      <c r="D57" s="2" t="s">
        <v>551</v>
      </c>
      <c r="E57" s="2"/>
      <c r="F57" s="2"/>
      <c r="G57" s="2"/>
      <c r="H57" s="2"/>
      <c r="I57" s="2"/>
      <c r="J57" s="2"/>
      <c r="K57" s="2"/>
      <c r="L57" s="8"/>
    </row>
    <row r="58">
      <c r="A58" s="2"/>
      <c r="B58" s="2" t="s">
        <v>579</v>
      </c>
      <c r="C58" s="154">
        <v>0.45</v>
      </c>
      <c r="D58" s="2" t="s">
        <v>551</v>
      </c>
      <c r="E58" s="2"/>
      <c r="F58" s="2"/>
      <c r="G58" s="2"/>
      <c r="H58" s="2"/>
      <c r="I58" s="2"/>
      <c r="J58" s="2"/>
      <c r="K58" s="2"/>
      <c r="L58" s="8"/>
    </row>
    <row r="59">
      <c r="A59" s="2"/>
      <c r="B59" s="2" t="s">
        <v>580</v>
      </c>
      <c r="C59" s="154">
        <v>0.06</v>
      </c>
      <c r="D59" s="2" t="s">
        <v>551</v>
      </c>
      <c r="E59" s="2"/>
      <c r="F59" s="2"/>
      <c r="G59" s="2"/>
      <c r="H59" s="2"/>
      <c r="I59" s="2"/>
      <c r="J59" s="2"/>
      <c r="K59" s="2"/>
      <c r="L59" s="8"/>
    </row>
    <row r="60">
      <c r="A60" s="2"/>
      <c r="B60" s="2" t="s">
        <v>581</v>
      </c>
      <c r="C60" s="179">
        <v>9</v>
      </c>
      <c r="D60" s="2" t="s">
        <v>551</v>
      </c>
      <c r="E60" s="2"/>
      <c r="F60" s="2"/>
      <c r="G60" s="2"/>
      <c r="H60" s="2"/>
      <c r="I60" s="2"/>
      <c r="J60" s="2"/>
      <c r="K60" s="2"/>
      <c r="L60" s="8"/>
    </row>
    <row r="61">
      <c r="A61" s="2"/>
      <c r="B61" s="2" t="s">
        <v>582</v>
      </c>
      <c r="C61" s="153"/>
      <c r="D61" s="2" t="s">
        <v>566</v>
      </c>
      <c r="E61" s="2"/>
      <c r="F61" s="2"/>
      <c r="G61" s="2"/>
      <c r="H61" s="2"/>
      <c r="I61" s="2"/>
      <c r="J61" s="2"/>
      <c r="K61" s="2"/>
      <c r="L61" s="8"/>
    </row>
    <row r="62">
      <c r="A62" s="2"/>
      <c r="B62" s="2" t="s">
        <v>583</v>
      </c>
      <c r="C62" s="153"/>
      <c r="D62" s="2" t="s">
        <v>566</v>
      </c>
      <c r="E62" s="2"/>
      <c r="F62" s="2"/>
      <c r="G62" s="2"/>
      <c r="H62" s="2"/>
      <c r="I62" s="2"/>
      <c r="J62" s="2"/>
      <c r="K62" s="2"/>
      <c r="L62" s="8"/>
    </row>
    <row r="63">
      <c r="A63" s="2"/>
      <c r="B63" s="2" t="s">
        <v>584</v>
      </c>
      <c r="C63" s="153"/>
      <c r="D63" s="2" t="s">
        <v>566</v>
      </c>
      <c r="E63" s="2"/>
      <c r="F63" s="2"/>
      <c r="G63" s="2"/>
      <c r="H63" s="2"/>
      <c r="I63" s="2"/>
      <c r="J63" s="2"/>
      <c r="K63" s="2"/>
      <c r="L63" s="8"/>
    </row>
    <row r="64">
      <c r="A64" s="2"/>
      <c r="B64" s="2" t="s">
        <v>585</v>
      </c>
      <c r="C64" s="154">
        <v>1071.24</v>
      </c>
      <c r="D64" s="2" t="s">
        <v>551</v>
      </c>
      <c r="E64" s="2"/>
      <c r="F64" s="2"/>
      <c r="G64" s="2"/>
      <c r="H64" s="2"/>
      <c r="I64" s="2"/>
      <c r="J64" s="2"/>
      <c r="K64" s="2"/>
      <c r="L64" s="8"/>
    </row>
    <row r="65">
      <c r="A65" s="2"/>
      <c r="B65" s="2" t="s">
        <v>586</v>
      </c>
      <c r="C65" s="154">
        <v>1091.67</v>
      </c>
      <c r="D65" s="2" t="s">
        <v>551</v>
      </c>
      <c r="E65" s="2"/>
      <c r="F65" s="2"/>
      <c r="G65" s="2"/>
      <c r="H65" s="2"/>
      <c r="I65" s="2"/>
      <c r="J65" s="2"/>
      <c r="K65" s="2"/>
      <c r="L65" s="8"/>
    </row>
    <row r="66">
      <c r="A66" s="2"/>
      <c r="B66" s="2" t="s">
        <v>587</v>
      </c>
      <c r="C66" s="154">
        <v>1126.6</v>
      </c>
      <c r="D66" s="2" t="s">
        <v>551</v>
      </c>
      <c r="E66" s="2"/>
      <c r="F66" s="2"/>
      <c r="G66" s="2"/>
      <c r="H66" s="2"/>
      <c r="I66" s="2"/>
      <c r="J66" s="2"/>
      <c r="K66" s="2"/>
      <c r="L66" s="8"/>
    </row>
    <row r="67">
      <c r="A67" s="2"/>
      <c r="B67" s="2" t="s">
        <v>588</v>
      </c>
      <c r="C67" s="154">
        <v>909.9</v>
      </c>
      <c r="D67" s="2" t="s">
        <v>551</v>
      </c>
      <c r="E67" s="2"/>
      <c r="F67" s="2"/>
      <c r="G67" s="2"/>
      <c r="H67" s="2"/>
      <c r="I67" s="2"/>
      <c r="J67" s="2"/>
      <c r="K67" s="2"/>
      <c r="L67" s="8"/>
    </row>
    <row r="68">
      <c r="A68" s="2"/>
      <c r="B68" s="2" t="s">
        <v>589</v>
      </c>
      <c r="C68" s="154">
        <v>53.67</v>
      </c>
      <c r="D68" s="2" t="s">
        <v>551</v>
      </c>
      <c r="E68" s="2"/>
      <c r="F68" s="2"/>
      <c r="G68" s="2"/>
      <c r="H68" s="2"/>
      <c r="I68" s="2"/>
      <c r="J68" s="2"/>
      <c r="K68" s="2"/>
      <c r="L68" s="8"/>
    </row>
    <row r="69">
      <c r="A69" s="2"/>
      <c r="B69" s="2" t="s">
        <v>590</v>
      </c>
      <c r="C69" s="179">
        <v>15</v>
      </c>
      <c r="D69" s="2" t="s">
        <v>551</v>
      </c>
      <c r="E69" s="2"/>
      <c r="F69" s="2"/>
      <c r="G69" s="2"/>
      <c r="H69" s="2"/>
      <c r="I69" s="2"/>
      <c r="J69" s="2"/>
      <c r="K69" s="2"/>
      <c r="L69" s="8"/>
    </row>
    <row r="70">
      <c r="A70" s="2"/>
      <c r="B70" s="2" t="s">
        <v>591</v>
      </c>
      <c r="C70" s="153"/>
      <c r="D70" s="2" t="s">
        <v>566</v>
      </c>
      <c r="E70" s="2"/>
      <c r="F70" s="2"/>
      <c r="G70" s="2"/>
      <c r="H70" s="2"/>
      <c r="I70" s="2"/>
      <c r="J70" s="2"/>
      <c r="K70" s="2"/>
      <c r="L70" s="8"/>
    </row>
    <row r="71">
      <c r="A71" s="2"/>
      <c r="B71" s="2" t="s">
        <v>592</v>
      </c>
      <c r="C71" s="153"/>
      <c r="D71" s="2" t="s">
        <v>566</v>
      </c>
      <c r="E71" s="2"/>
      <c r="F71" s="2"/>
      <c r="G71" s="2"/>
      <c r="H71" s="2"/>
      <c r="I71" s="2"/>
      <c r="J71" s="2"/>
      <c r="K71" s="2"/>
      <c r="L71" s="8"/>
    </row>
    <row r="72">
      <c r="A72" s="2"/>
      <c r="B72" s="2" t="s">
        <v>593</v>
      </c>
      <c r="C72" s="153"/>
      <c r="D72" s="2" t="s">
        <v>566</v>
      </c>
      <c r="E72" s="2"/>
      <c r="F72" s="2"/>
      <c r="G72" s="2"/>
      <c r="H72" s="2"/>
      <c r="I72" s="2"/>
      <c r="J72" s="2"/>
      <c r="K72" s="2"/>
      <c r="L72" s="8"/>
    </row>
    <row r="73">
      <c r="A73" s="2"/>
      <c r="B73" s="2" t="s">
        <v>594</v>
      </c>
      <c r="C73" s="154">
        <v>240.55</v>
      </c>
      <c r="D73" s="2" t="s">
        <v>551</v>
      </c>
      <c r="E73" s="2"/>
      <c r="F73" s="2"/>
      <c r="G73" s="2"/>
      <c r="H73" s="2"/>
      <c r="I73" s="2"/>
      <c r="J73" s="2"/>
      <c r="K73" s="2"/>
      <c r="L73" s="8"/>
    </row>
    <row r="74">
      <c r="A74" s="2"/>
      <c r="B74" s="2" t="s">
        <v>595</v>
      </c>
      <c r="C74" s="154">
        <v>181.26</v>
      </c>
      <c r="D74" s="2" t="s">
        <v>551</v>
      </c>
      <c r="E74" s="2"/>
      <c r="F74" s="2"/>
      <c r="G74" s="2"/>
      <c r="H74" s="2"/>
      <c r="I74" s="2"/>
      <c r="J74" s="2"/>
      <c r="K74" s="2"/>
      <c r="L74" s="8"/>
    </row>
    <row r="75">
      <c r="A75" s="2"/>
      <c r="B75" s="2" t="s">
        <v>596</v>
      </c>
      <c r="C75" s="154">
        <v>217.41</v>
      </c>
      <c r="D75" s="2" t="s">
        <v>551</v>
      </c>
      <c r="E75" s="2"/>
      <c r="F75" s="2"/>
      <c r="G75" s="2"/>
      <c r="H75" s="2"/>
      <c r="I75" s="2"/>
      <c r="J75" s="2"/>
      <c r="K75" s="2"/>
      <c r="L75" s="8"/>
    </row>
    <row r="76">
      <c r="A76" s="2"/>
      <c r="B76" s="2" t="s">
        <v>597</v>
      </c>
      <c r="C76" s="154">
        <v>176</v>
      </c>
      <c r="D76" s="2" t="s">
        <v>551</v>
      </c>
      <c r="E76" s="2"/>
      <c r="F76" s="2"/>
      <c r="G76" s="2"/>
      <c r="H76" s="2"/>
      <c r="I76" s="2"/>
      <c r="J76" s="2"/>
      <c r="K76" s="2"/>
      <c r="L76" s="8"/>
    </row>
    <row r="77">
      <c r="A77" s="2"/>
      <c r="B77" s="2" t="s">
        <v>598</v>
      </c>
      <c r="C77" s="154">
        <v>216.8</v>
      </c>
      <c r="D77" s="2" t="s">
        <v>551</v>
      </c>
      <c r="E77" s="2"/>
      <c r="F77" s="2"/>
      <c r="G77" s="2"/>
      <c r="H77" s="2"/>
      <c r="I77" s="2"/>
      <c r="J77" s="2"/>
      <c r="K77" s="2"/>
      <c r="L77" s="8"/>
    </row>
    <row r="78">
      <c r="A78" s="2"/>
      <c r="B78" s="2" t="s">
        <v>599</v>
      </c>
      <c r="C78" s="154">
        <v>174.17</v>
      </c>
      <c r="D78" s="2" t="s">
        <v>551</v>
      </c>
      <c r="E78" s="2"/>
      <c r="F78" s="2"/>
      <c r="G78" s="2"/>
      <c r="H78" s="2"/>
      <c r="I78" s="2"/>
      <c r="J78" s="2"/>
      <c r="K78" s="2"/>
      <c r="L78" s="8"/>
    </row>
    <row r="79">
      <c r="A79" s="2"/>
      <c r="B79" s="2" t="s">
        <v>600</v>
      </c>
      <c r="C79" s="153"/>
      <c r="D79" s="2" t="s">
        <v>566</v>
      </c>
      <c r="E79" s="2"/>
      <c r="F79" s="2"/>
      <c r="G79" s="2"/>
      <c r="H79" s="2"/>
      <c r="I79" s="2"/>
      <c r="J79" s="2"/>
      <c r="K79" s="2"/>
      <c r="L79" s="8"/>
    </row>
    <row r="80">
      <c r="A80" s="2"/>
      <c r="B80" s="2" t="s">
        <v>601</v>
      </c>
      <c r="C80" s="153"/>
      <c r="D80" s="2" t="s">
        <v>566</v>
      </c>
      <c r="E80" s="2"/>
      <c r="F80" s="2"/>
      <c r="G80" s="2"/>
      <c r="H80" s="2"/>
      <c r="I80" s="2"/>
      <c r="J80" s="2"/>
      <c r="K80" s="2"/>
      <c r="L80" s="8"/>
    </row>
    <row r="81">
      <c r="A81" s="2"/>
      <c r="B81" s="2" t="s">
        <v>602</v>
      </c>
      <c r="C81" s="154">
        <v>13.9</v>
      </c>
      <c r="D81" s="2" t="s">
        <v>551</v>
      </c>
      <c r="E81" s="2"/>
      <c r="F81" s="2"/>
      <c r="G81" s="2"/>
      <c r="H81" s="2"/>
      <c r="I81" s="2"/>
      <c r="J81" s="2"/>
      <c r="K81" s="2"/>
      <c r="L81" s="8"/>
    </row>
    <row r="82">
      <c r="A82" s="2"/>
      <c r="B82" s="2" t="s">
        <v>603</v>
      </c>
      <c r="C82" s="153"/>
      <c r="D82" s="2" t="s">
        <v>566</v>
      </c>
      <c r="E82" s="2"/>
      <c r="F82" s="2"/>
      <c r="G82" s="2"/>
      <c r="H82" s="2"/>
      <c r="I82" s="2"/>
      <c r="J82" s="2"/>
      <c r="K82" s="2"/>
      <c r="L82" s="8"/>
    </row>
    <row r="83">
      <c r="A83" s="2"/>
      <c r="B83" s="2" t="s">
        <v>604</v>
      </c>
      <c r="C83" s="154">
        <v>-7.09</v>
      </c>
      <c r="D83" s="2" t="s">
        <v>551</v>
      </c>
      <c r="E83" s="2"/>
      <c r="F83" s="2"/>
      <c r="G83" s="2"/>
      <c r="H83" s="2"/>
      <c r="I83" s="2"/>
      <c r="J83" s="2"/>
      <c r="K83" s="2"/>
      <c r="L83" s="8"/>
    </row>
    <row r="84">
      <c r="A84" s="2"/>
      <c r="B84" s="2" t="s">
        <v>605</v>
      </c>
      <c r="C84" s="153"/>
      <c r="D84" s="2" t="s">
        <v>566</v>
      </c>
      <c r="E84" s="2"/>
      <c r="F84" s="2"/>
      <c r="G84" s="2"/>
      <c r="H84" s="2"/>
      <c r="I84" s="2"/>
      <c r="J84" s="2"/>
      <c r="K84" s="2"/>
      <c r="L84" s="8"/>
    </row>
    <row r="85">
      <c r="A85" s="2"/>
      <c r="B85" s="2" t="s">
        <v>606</v>
      </c>
      <c r="C85" s="154">
        <v>-7.97</v>
      </c>
      <c r="D85" s="2" t="s">
        <v>551</v>
      </c>
      <c r="E85" s="2"/>
      <c r="F85" s="2"/>
      <c r="G85" s="2"/>
      <c r="H85" s="2"/>
      <c r="I85" s="2"/>
      <c r="J85" s="2"/>
      <c r="K85" s="2"/>
      <c r="L85" s="8"/>
    </row>
    <row r="86">
      <c r="A86" s="2"/>
      <c r="B86" s="2" t="s">
        <v>607</v>
      </c>
      <c r="C86" s="153"/>
      <c r="D86" s="2" t="s">
        <v>566</v>
      </c>
      <c r="E86" s="2"/>
      <c r="F86" s="2"/>
      <c r="G86" s="2"/>
      <c r="H86" s="2"/>
      <c r="I86" s="2"/>
      <c r="J86" s="2"/>
      <c r="K86" s="2"/>
      <c r="L86" s="8"/>
    </row>
    <row r="87">
      <c r="A87" s="2"/>
      <c r="B87" s="2" t="s">
        <v>608</v>
      </c>
      <c r="C87" s="153"/>
      <c r="D87" s="2" t="s">
        <v>566</v>
      </c>
      <c r="E87" s="2"/>
      <c r="F87" s="2"/>
      <c r="G87" s="2"/>
      <c r="H87" s="2"/>
      <c r="I87" s="2"/>
      <c r="J87" s="2"/>
      <c r="K87" s="2"/>
      <c r="L87" s="8"/>
    </row>
    <row r="88">
      <c r="A88" s="2"/>
      <c r="B88" s="2" t="s">
        <v>609</v>
      </c>
      <c r="C88" s="153"/>
      <c r="D88" s="2" t="s">
        <v>566</v>
      </c>
      <c r="E88" s="2"/>
      <c r="F88" s="2"/>
      <c r="G88" s="2"/>
      <c r="H88" s="2"/>
      <c r="I88" s="2"/>
      <c r="J88" s="2"/>
      <c r="K88" s="2"/>
      <c r="L88" s="8"/>
    </row>
    <row r="89">
      <c r="A89" s="2"/>
      <c r="B89" s="2" t="s">
        <v>610</v>
      </c>
      <c r="C89" s="154">
        <v>285.43</v>
      </c>
      <c r="D89" s="2" t="s">
        <v>551</v>
      </c>
      <c r="E89" s="2"/>
      <c r="F89" s="2"/>
      <c r="G89" s="2"/>
      <c r="H89" s="2"/>
      <c r="I89" s="2"/>
      <c r="J89" s="2"/>
      <c r="K89" s="2"/>
      <c r="L89" s="8"/>
    </row>
    <row r="90">
      <c r="A90" s="2"/>
      <c r="B90" s="2" t="s">
        <v>611</v>
      </c>
      <c r="C90" s="154">
        <v>303</v>
      </c>
      <c r="D90" s="2" t="s">
        <v>551</v>
      </c>
      <c r="E90" s="2"/>
      <c r="F90" s="2"/>
      <c r="G90" s="2"/>
      <c r="H90" s="2"/>
      <c r="I90" s="2"/>
      <c r="J90" s="2"/>
      <c r="K90" s="2"/>
      <c r="L90" s="8"/>
    </row>
    <row r="91">
      <c r="A91" s="2"/>
      <c r="B91" s="2" t="s">
        <v>612</v>
      </c>
      <c r="C91" s="154">
        <v>380</v>
      </c>
      <c r="D91" s="2" t="s">
        <v>551</v>
      </c>
      <c r="E91" s="2"/>
      <c r="F91" s="2"/>
      <c r="G91" s="2"/>
      <c r="H91" s="2"/>
      <c r="I91" s="2"/>
      <c r="J91" s="2"/>
      <c r="K91" s="2"/>
      <c r="L91" s="8"/>
    </row>
    <row r="92">
      <c r="A92" s="2"/>
      <c r="B92" s="2" t="s">
        <v>613</v>
      </c>
      <c r="C92" s="154">
        <v>97</v>
      </c>
      <c r="D92" s="2" t="s">
        <v>551</v>
      </c>
      <c r="E92" s="2"/>
      <c r="F92" s="2"/>
      <c r="G92" s="2"/>
      <c r="H92" s="2"/>
      <c r="I92" s="2"/>
      <c r="J92" s="2"/>
      <c r="K92" s="2"/>
      <c r="L92" s="8"/>
    </row>
    <row r="93">
      <c r="A93" s="2"/>
      <c r="B93" s="2" t="s">
        <v>614</v>
      </c>
      <c r="C93" s="154">
        <v>71.13</v>
      </c>
      <c r="D93" s="2" t="s">
        <v>551</v>
      </c>
      <c r="E93" s="2"/>
      <c r="F93" s="2"/>
      <c r="G93" s="2"/>
      <c r="H93" s="2"/>
      <c r="I93" s="2"/>
      <c r="J93" s="2"/>
      <c r="K93" s="2"/>
      <c r="L93" s="8"/>
    </row>
    <row r="94">
      <c r="A94" s="2"/>
      <c r="B94" s="2" t="s">
        <v>615</v>
      </c>
      <c r="C94" s="179">
        <v>26</v>
      </c>
      <c r="D94" s="2" t="s">
        <v>551</v>
      </c>
      <c r="E94" s="2"/>
      <c r="F94" s="2"/>
      <c r="G94" s="2"/>
      <c r="H94" s="2"/>
      <c r="I94" s="2"/>
      <c r="J94" s="2"/>
      <c r="K94" s="2"/>
      <c r="L94" s="8"/>
    </row>
    <row r="95">
      <c r="A95" s="2"/>
      <c r="B95" s="2" t="s">
        <v>616</v>
      </c>
      <c r="C95" s="153" t="s">
        <v>617</v>
      </c>
      <c r="D95" s="2" t="s">
        <v>551</v>
      </c>
      <c r="E95" s="2"/>
      <c r="F95" s="2"/>
      <c r="G95" s="2"/>
      <c r="H95" s="2"/>
      <c r="I95" s="2"/>
      <c r="J95" s="2"/>
      <c r="K95" s="2"/>
      <c r="L95" s="8"/>
    </row>
    <row r="96">
      <c r="A96" s="2"/>
      <c r="B96" s="2" t="s">
        <v>618</v>
      </c>
      <c r="C96" s="154">
        <v>2.24</v>
      </c>
      <c r="D96" s="2" t="s">
        <v>551</v>
      </c>
      <c r="E96" s="2"/>
      <c r="F96" s="2"/>
      <c r="G96" s="2"/>
      <c r="H96" s="2"/>
      <c r="I96" s="2"/>
      <c r="J96" s="2"/>
      <c r="K96" s="2"/>
      <c r="L96" s="8"/>
    </row>
    <row r="97">
      <c r="A97" s="2"/>
      <c r="B97" s="2" t="s">
        <v>619</v>
      </c>
      <c r="C97" s="154">
        <v>221.31</v>
      </c>
      <c r="D97" s="2" t="s">
        <v>551</v>
      </c>
      <c r="E97" s="2"/>
      <c r="F97" s="2"/>
      <c r="G97" s="2"/>
      <c r="H97" s="2"/>
      <c r="I97" s="2"/>
      <c r="J97" s="2"/>
      <c r="K97" s="2"/>
      <c r="L97" s="8"/>
    </row>
    <row r="98">
      <c r="A98" s="2"/>
      <c r="B98" s="2" t="s">
        <v>620</v>
      </c>
      <c r="C98" s="153" t="s">
        <v>621</v>
      </c>
      <c r="D98" s="2" t="s">
        <v>551</v>
      </c>
      <c r="E98" s="2"/>
      <c r="F98" s="2"/>
      <c r="G98" s="2"/>
      <c r="H98" s="2"/>
      <c r="I98" s="2"/>
      <c r="J98" s="2"/>
      <c r="K98" s="2"/>
      <c r="L98" s="8"/>
    </row>
    <row r="99">
      <c r="A99" s="2"/>
      <c r="B99" s="2" t="s">
        <v>622</v>
      </c>
      <c r="C99" s="156">
        <v>46313</v>
      </c>
      <c r="D99" s="2" t="s">
        <v>551</v>
      </c>
      <c r="E99" s="2"/>
      <c r="F99" s="2"/>
      <c r="G99" s="2"/>
      <c r="H99" s="2"/>
      <c r="I99" s="2"/>
      <c r="J99" s="2"/>
      <c r="K99" s="2"/>
      <c r="L99" s="8"/>
    </row>
    <row r="100" ht="285">
      <c r="A100" s="2"/>
      <c r="B100" s="2" t="s">
        <v>623</v>
      </c>
      <c r="C100" s="153" t="s">
        <v>624</v>
      </c>
      <c r="D100" s="2" t="s">
        <v>551</v>
      </c>
      <c r="E100" s="2"/>
      <c r="F100" s="2"/>
      <c r="G100" s="2"/>
      <c r="H100" s="2"/>
      <c r="I100" s="2"/>
      <c r="J100" s="2"/>
      <c r="K100" s="2"/>
      <c r="L100" s="8" t="s">
        <v>625</v>
      </c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8"/>
    </row>
    <row r="102">
      <c r="A102" s="2"/>
      <c r="B102" s="30" t="s">
        <v>626</v>
      </c>
      <c r="C102" s="30"/>
      <c r="D102" s="30"/>
      <c r="E102" s="30"/>
      <c r="F102" s="30"/>
      <c r="G102" s="30"/>
      <c r="H102" s="30"/>
      <c r="I102" s="30"/>
      <c r="J102" s="30"/>
      <c r="K102" s="2"/>
      <c r="L102" s="8"/>
    </row>
    <row r="103" ht="37.5">
      <c r="A103" s="2"/>
      <c r="B103" s="144" t="s">
        <v>523</v>
      </c>
      <c r="C103" s="144" t="s">
        <v>627</v>
      </c>
      <c r="D103" s="157" t="s">
        <v>628</v>
      </c>
      <c r="E103" s="157" t="s">
        <v>629</v>
      </c>
      <c r="F103" s="157" t="s">
        <v>630</v>
      </c>
      <c r="G103" s="157" t="s">
        <v>631</v>
      </c>
      <c r="H103" s="157" t="s">
        <v>632</v>
      </c>
      <c r="I103" s="157" t="s">
        <v>633</v>
      </c>
      <c r="J103" s="157" t="s">
        <v>634</v>
      </c>
      <c r="K103" s="157" t="s">
        <v>635</v>
      </c>
      <c r="L103" s="8"/>
    </row>
    <row r="104">
      <c r="A104" s="2"/>
      <c r="B104" s="114">
        <v>45747</v>
      </c>
      <c r="C104" s="114">
        <v>45777</v>
      </c>
      <c r="D104" s="117">
        <v>-0.06</v>
      </c>
      <c r="E104" s="117">
        <v>0.03</v>
      </c>
      <c r="F104" s="117">
        <v>-0.15</v>
      </c>
      <c r="G104" s="117">
        <v>-0.1</v>
      </c>
      <c r="H104" s="116">
        <v>293.35</v>
      </c>
      <c r="I104" s="116">
        <v>326.02</v>
      </c>
      <c r="J104" s="178" t="b">
        <f>E104&gt;D104</f>
        <v>1</v>
      </c>
      <c r="K104" s="118">
        <f>E104-D104</f>
        <v>0.09</v>
      </c>
      <c r="L104" s="8"/>
    </row>
    <row r="105">
      <c r="A105" s="2"/>
      <c r="B105" s="114">
        <v>45838</v>
      </c>
      <c r="C105" s="114">
        <v>45869</v>
      </c>
      <c r="D105" s="117">
        <v>0.02</v>
      </c>
      <c r="E105" s="117">
        <v>0.1</v>
      </c>
      <c r="F105" s="117">
        <v>-0.08</v>
      </c>
      <c r="G105" s="117">
        <v>-0.18</v>
      </c>
      <c r="H105" s="116">
        <v>378.87</v>
      </c>
      <c r="I105" s="116">
        <v>401.24</v>
      </c>
      <c r="J105" s="178" t="b">
        <f>E105&gt;D105</f>
        <v>1</v>
      </c>
      <c r="K105" s="118">
        <f>E105-D105</f>
        <v>0.08</v>
      </c>
      <c r="L105" s="8"/>
    </row>
    <row r="106">
      <c r="A106" s="2"/>
      <c r="B106" s="114">
        <v>45930</v>
      </c>
      <c r="C106" s="114">
        <v>45958</v>
      </c>
      <c r="D106" s="117">
        <v>0.1</v>
      </c>
      <c r="E106" s="117">
        <v>0.15</v>
      </c>
      <c r="F106" s="117">
        <v>-0.02</v>
      </c>
      <c r="G106" s="117">
        <v>-0.1</v>
      </c>
      <c r="H106" s="116">
        <v>428.07</v>
      </c>
      <c r="I106" s="116">
        <v>519.05</v>
      </c>
      <c r="J106" s="178" t="b">
        <f>E106&gt;D106</f>
        <v>1</v>
      </c>
      <c r="K106" s="118">
        <f>E106-D106</f>
        <v>0.04999999999999999</v>
      </c>
      <c r="L106" s="8"/>
    </row>
    <row r="107">
      <c r="A107" s="2"/>
      <c r="B107" s="114">
        <v>46022</v>
      </c>
      <c r="C107" s="114">
        <v>46058</v>
      </c>
      <c r="D107" s="117">
        <v>0.3</v>
      </c>
      <c r="E107" s="117">
        <v>0.45</v>
      </c>
      <c r="F107" s="117">
        <v>0.13</v>
      </c>
      <c r="G107" s="117">
        <v>0</v>
      </c>
      <c r="H107" s="116">
        <v>645.32</v>
      </c>
      <c r="I107" s="116">
        <v>777.68</v>
      </c>
      <c r="J107" s="178" t="b">
        <f>E107&gt;D107</f>
        <v>1</v>
      </c>
      <c r="K107" s="118">
        <f>E107-D107</f>
        <v>0.15000000000000002</v>
      </c>
      <c r="L107" s="8"/>
    </row>
    <row r="108">
      <c r="A108" s="2"/>
      <c r="B108" s="114">
        <v>46112</v>
      </c>
      <c r="C108" s="114">
        <v>46140</v>
      </c>
      <c r="D108" s="117">
        <v>0.13</v>
      </c>
      <c r="E108" s="117">
        <v>0.44</v>
      </c>
      <c r="F108" s="117">
        <v>-0.02</v>
      </c>
      <c r="G108" s="117">
        <v>0.23</v>
      </c>
      <c r="H108" s="116">
        <v>540.02</v>
      </c>
      <c r="I108" s="116">
        <v>751.05</v>
      </c>
      <c r="J108" s="178" t="b">
        <f>E108&gt;D108</f>
        <v>1</v>
      </c>
      <c r="K108" s="118">
        <f>E108-D108</f>
        <v>0.31</v>
      </c>
      <c r="L108" s="8"/>
    </row>
    <row r="109">
      <c r="A109" s="2"/>
      <c r="B109" s="114">
        <v>46203</v>
      </c>
      <c r="C109" s="114">
        <v>46231</v>
      </c>
      <c r="D109" s="117">
        <v>0.41</v>
      </c>
      <c r="E109" s="117">
        <v>0.78</v>
      </c>
      <c r="F109" s="117">
        <v>0.25</v>
      </c>
      <c r="G109" s="117">
        <v>0.62</v>
      </c>
      <c r="H109" s="116">
        <v>827.02</v>
      </c>
      <c r="I109" s="116">
        <v>1065.37</v>
      </c>
      <c r="J109" s="178" t="b">
        <f>E109&gt;D109</f>
        <v>1</v>
      </c>
      <c r="K109" s="118">
        <f>E109-D109</f>
        <v>0.37000000000000005</v>
      </c>
      <c r="L109" s="8"/>
    </row>
    <row r="110">
      <c r="A110" s="2"/>
      <c r="B110" s="2" t="s">
        <v>636</v>
      </c>
      <c r="C110" s="121"/>
      <c r="D110" s="2"/>
      <c r="E110" s="2"/>
      <c r="F110" s="2"/>
      <c r="G110" s="2"/>
      <c r="H110" s="2"/>
      <c r="I110" s="2"/>
      <c r="J110" s="2"/>
      <c r="K110" s="118">
        <f>AVERAGE(K104:K109)</f>
        <v>0.17500000000000002</v>
      </c>
      <c r="L110" s="8"/>
    </row>
    <row r="111">
      <c r="A111" s="2"/>
      <c r="B111" s="2" t="s">
        <v>637</v>
      </c>
      <c r="C111" s="121"/>
      <c r="D111" s="2"/>
      <c r="E111" s="2"/>
      <c r="F111" s="2"/>
      <c r="G111" s="2"/>
      <c r="H111" s="2"/>
      <c r="I111" s="2"/>
      <c r="J111" s="2"/>
      <c r="K111" s="118">
        <f>AVERAGE(K108:K109)</f>
        <v>0.34</v>
      </c>
      <c r="L111" s="8"/>
    </row>
    <row r="112">
      <c r="A112" s="2"/>
      <c r="B112" s="2"/>
      <c r="C112" s="121"/>
      <c r="D112" s="2"/>
      <c r="E112" s="2"/>
      <c r="F112" s="2"/>
      <c r="G112" s="2"/>
      <c r="H112" s="2"/>
      <c r="I112" s="2"/>
      <c r="J112" s="2"/>
      <c r="K112" s="2"/>
      <c r="L112" s="8"/>
    </row>
    <row r="113">
      <c r="A113" s="2"/>
      <c r="B113" s="30" t="s">
        <v>638</v>
      </c>
      <c r="C113" s="136"/>
      <c r="D113" s="30"/>
      <c r="E113" s="30"/>
      <c r="F113" s="30"/>
      <c r="G113" s="30"/>
      <c r="H113" s="30"/>
      <c r="I113" s="30"/>
      <c r="J113" s="30"/>
      <c r="K113" s="2"/>
      <c r="L113" s="8"/>
    </row>
    <row r="114" ht="19.5">
      <c r="A114" s="2"/>
      <c r="B114" s="49" t="s">
        <v>639</v>
      </c>
      <c r="C114" s="149">
        <f>C97</f>
        <v>221.31</v>
      </c>
      <c r="D114" s="2"/>
      <c r="E114" s="2"/>
      <c r="F114" s="2"/>
      <c r="G114" s="2"/>
      <c r="H114" s="2"/>
      <c r="I114" s="2"/>
      <c r="J114" s="2"/>
      <c r="K114" s="2"/>
      <c r="L114" s="8" t="s">
        <v>640</v>
      </c>
    </row>
    <row r="115" ht="19.5">
      <c r="A115" s="2"/>
      <c r="B115" s="49" t="s">
        <v>641</v>
      </c>
      <c r="C115" s="142">
        <v>294.527346</v>
      </c>
      <c r="D115" s="2"/>
      <c r="E115" s="2"/>
      <c r="F115" s="2"/>
      <c r="G115" s="2"/>
      <c r="H115" s="2"/>
      <c r="I115" s="2"/>
      <c r="J115" s="2"/>
      <c r="K115" s="2"/>
      <c r="L115" s="8" t="s">
        <v>642</v>
      </c>
    </row>
    <row r="116">
      <c r="A116" s="2"/>
      <c r="B116" s="2" t="s">
        <v>643</v>
      </c>
      <c r="C116" s="146">
        <f>C114*C115/1000</f>
        <v>65.18184694326</v>
      </c>
      <c r="D116" s="2"/>
      <c r="E116" s="2"/>
      <c r="F116" s="2"/>
      <c r="G116" s="2"/>
      <c r="H116" s="2"/>
      <c r="I116" s="2"/>
      <c r="J116" s="2"/>
      <c r="K116" s="2"/>
      <c r="L116" s="8" t="s">
        <v>644</v>
      </c>
    </row>
    <row r="117" ht="19.5">
      <c r="A117" s="2"/>
      <c r="B117" s="49" t="s">
        <v>645</v>
      </c>
      <c r="C117" s="151" t="str">
        <f>IF(C116&gt;10,"large",IF(C116&gt;=2,"mid","small"))</f>
        <v>large</v>
      </c>
      <c r="D117" s="2"/>
      <c r="E117" s="2"/>
      <c r="F117" s="2"/>
      <c r="G117" s="2"/>
      <c r="H117" s="2"/>
      <c r="I117" s="2"/>
      <c r="J117" s="2"/>
      <c r="K117" s="2"/>
      <c r="L117" s="8"/>
    </row>
    <row r="118">
      <c r="A118" s="2"/>
      <c r="B118" s="2" t="s">
        <v>646</v>
      </c>
      <c r="C118" s="150" t="b">
        <v>1</v>
      </c>
      <c r="D118" s="2"/>
      <c r="E118" s="2"/>
      <c r="F118" s="2"/>
      <c r="G118" s="2"/>
      <c r="H118" s="2"/>
      <c r="I118" s="2"/>
      <c r="J118" s="2"/>
      <c r="K118" s="2"/>
      <c r="L118" s="8" t="s">
        <v>647</v>
      </c>
    </row>
    <row r="119" ht="19.5">
      <c r="A119" s="2"/>
      <c r="B119" s="49" t="s">
        <v>648</v>
      </c>
      <c r="C119" s="143">
        <f>IF(OR(C117="large",C118),0.78,IF(C117="mid",0.7,0.6))</f>
        <v>0.78</v>
      </c>
      <c r="D119" s="2"/>
      <c r="E119" s="2"/>
      <c r="F119" s="2"/>
      <c r="G119" s="2"/>
      <c r="H119" s="2"/>
      <c r="I119" s="2"/>
      <c r="J119" s="2"/>
      <c r="K119" s="2"/>
      <c r="L119" s="8" t="s">
        <v>649</v>
      </c>
    </row>
    <row r="120" ht="19.5">
      <c r="A120" s="2"/>
      <c r="B120" s="49" t="s">
        <v>650</v>
      </c>
      <c r="C120" s="147">
        <f>SUMPRODUCT(--(E104:E109&gt;D104:D109))</f>
        <v>6</v>
      </c>
      <c r="D120" s="2"/>
      <c r="E120" s="2"/>
      <c r="F120" s="2"/>
      <c r="G120" s="2"/>
      <c r="H120" s="2"/>
      <c r="I120" s="2"/>
      <c r="J120" s="2"/>
      <c r="K120" s="2"/>
      <c r="L120" s="8" t="s">
        <v>651</v>
      </c>
    </row>
    <row r="121">
      <c r="A121" s="2"/>
      <c r="B121" s="2" t="s">
        <v>54</v>
      </c>
      <c r="C121" s="147">
        <f>COUNT(E104:E109)</f>
        <v>6</v>
      </c>
      <c r="D121" s="2"/>
      <c r="E121" s="2"/>
      <c r="F121" s="2"/>
      <c r="G121" s="2"/>
      <c r="H121" s="2"/>
      <c r="I121" s="2"/>
      <c r="J121" s="2"/>
      <c r="K121" s="2"/>
      <c r="L121" s="8" t="s">
        <v>652</v>
      </c>
    </row>
    <row r="122">
      <c r="A122" s="2"/>
      <c r="B122" s="2" t="s">
        <v>653</v>
      </c>
      <c r="C122" s="145">
        <v>8</v>
      </c>
      <c r="D122" s="2"/>
      <c r="E122" s="2"/>
      <c r="F122" s="2"/>
      <c r="G122" s="2"/>
      <c r="H122" s="2"/>
      <c r="I122" s="2"/>
      <c r="J122" s="2"/>
      <c r="K122" s="2"/>
      <c r="L122" s="8" t="s">
        <v>654</v>
      </c>
    </row>
    <row r="123" ht="19.5">
      <c r="A123" s="2"/>
      <c r="B123" s="49" t="s">
        <v>655</v>
      </c>
      <c r="C123" s="143">
        <f>(C122*C119+C120)/(C122+C121)</f>
        <v>0.8742857142857143</v>
      </c>
      <c r="D123" s="2"/>
      <c r="E123" s="2"/>
      <c r="F123" s="2"/>
      <c r="G123" s="2"/>
      <c r="H123" s="2"/>
      <c r="I123" s="2"/>
      <c r="J123" s="2"/>
      <c r="K123" s="2"/>
      <c r="L123" s="8"/>
    </row>
    <row r="124" ht="19.5">
      <c r="A124" s="2"/>
      <c r="B124" s="49" t="s">
        <v>656</v>
      </c>
      <c r="C124" s="148">
        <v>0.82</v>
      </c>
      <c r="D124" s="2"/>
      <c r="E124" s="2"/>
      <c r="F124" s="2"/>
      <c r="G124" s="2"/>
      <c r="H124" s="2"/>
      <c r="I124" s="2"/>
      <c r="J124" s="2"/>
      <c r="K124" s="2"/>
      <c r="L124" s="8" t="s">
        <v>657</v>
      </c>
    </row>
    <row r="125" ht="19.5">
      <c r="A125" s="2"/>
      <c r="B125" s="49" t="s">
        <v>658</v>
      </c>
      <c r="C125" s="143">
        <f>C124-C123</f>
        <v>-0.05428571428571438</v>
      </c>
      <c r="D125" s="2"/>
      <c r="E125" s="2"/>
      <c r="F125" s="2"/>
      <c r="G125" s="2"/>
      <c r="H125" s="2"/>
      <c r="I125" s="2"/>
      <c r="J125" s="2"/>
      <c r="K125" s="2"/>
      <c r="L125" s="8"/>
    </row>
    <row r="126">
      <c r="A126" s="2"/>
      <c r="B126" s="2"/>
      <c r="C126" s="121"/>
      <c r="D126" s="2"/>
      <c r="E126" s="2"/>
      <c r="F126" s="2"/>
      <c r="G126" s="2"/>
      <c r="H126" s="2"/>
      <c r="I126" s="2"/>
      <c r="J126" s="2"/>
      <c r="K126" s="2"/>
      <c r="L126" s="8"/>
    </row>
    <row r="127">
      <c r="A127" s="2"/>
      <c r="B127" s="30" t="s">
        <v>659</v>
      </c>
      <c r="C127" s="135"/>
      <c r="D127" s="30"/>
      <c r="E127" s="30"/>
      <c r="F127" s="30"/>
      <c r="G127" s="30"/>
      <c r="H127" s="30"/>
      <c r="I127" s="30"/>
      <c r="J127" s="30"/>
      <c r="K127" s="2"/>
      <c r="L127" s="8"/>
    </row>
    <row r="128">
      <c r="A128" s="2"/>
      <c r="B128" s="17" t="s">
        <v>660</v>
      </c>
      <c r="C128" s="180" t="s">
        <v>661</v>
      </c>
      <c r="D128" s="144" t="s">
        <v>662</v>
      </c>
      <c r="E128" s="144" t="s">
        <v>34</v>
      </c>
      <c r="F128" s="2"/>
      <c r="G128" s="2"/>
      <c r="H128" s="2"/>
      <c r="I128" s="2"/>
      <c r="J128" s="2"/>
      <c r="K128" s="2"/>
      <c r="L128" s="8"/>
    </row>
    <row r="129">
      <c r="A129" s="2"/>
      <c r="B129" s="2" t="s">
        <v>663</v>
      </c>
      <c r="C129" s="177">
        <v>46310</v>
      </c>
      <c r="D129" s="117">
        <v>0.687</v>
      </c>
      <c r="E129" s="116">
        <v>1060</v>
      </c>
      <c r="F129" s="2"/>
      <c r="G129" s="2"/>
      <c r="H129" s="2"/>
      <c r="I129" s="2"/>
      <c r="J129" s="2"/>
      <c r="K129" s="2"/>
      <c r="L129" s="8"/>
    </row>
    <row r="130">
      <c r="A130" s="2"/>
      <c r="B130" s="2" t="s">
        <v>664</v>
      </c>
      <c r="C130" s="177">
        <v>46296</v>
      </c>
      <c r="D130" s="117">
        <v>0.68</v>
      </c>
      <c r="E130" s="116">
        <v>1058</v>
      </c>
      <c r="F130" s="2"/>
      <c r="G130" s="2"/>
      <c r="H130" s="2"/>
      <c r="I130" s="2"/>
      <c r="J130" s="2"/>
      <c r="K130" s="2"/>
      <c r="L130" s="8" t="s">
        <v>665</v>
      </c>
    </row>
    <row r="131">
      <c r="A131" s="2"/>
      <c r="B131" s="2" t="s">
        <v>666</v>
      </c>
      <c r="C131" s="177">
        <v>46301</v>
      </c>
      <c r="D131" s="117">
        <v>0.67</v>
      </c>
      <c r="E131" s="116">
        <v>1060</v>
      </c>
      <c r="F131" s="2"/>
      <c r="G131" s="2"/>
      <c r="H131" s="2"/>
      <c r="I131" s="2"/>
      <c r="J131" s="2"/>
      <c r="K131" s="2"/>
      <c r="L131" s="8"/>
    </row>
    <row r="132">
      <c r="A132" s="2"/>
      <c r="B132" s="2"/>
      <c r="C132" s="121"/>
      <c r="D132" s="2"/>
      <c r="E132" s="2"/>
      <c r="F132" s="2"/>
      <c r="G132" s="2"/>
      <c r="H132" s="2"/>
      <c r="I132" s="2"/>
      <c r="J132" s="2"/>
      <c r="K132" s="2"/>
      <c r="L132" s="8"/>
    </row>
    <row r="133">
      <c r="A133" s="2"/>
      <c r="B133" s="2"/>
      <c r="C133" s="121"/>
      <c r="D133" s="2"/>
      <c r="E133" s="2"/>
      <c r="F133" s="2"/>
      <c r="G133" s="2"/>
      <c r="H133" s="2"/>
      <c r="I133" s="2"/>
      <c r="J133" s="2"/>
      <c r="K133" s="2"/>
      <c r="L133" s="8"/>
    </row>
    <row r="134">
      <c r="A134" s="2"/>
      <c r="B134" s="2"/>
      <c r="C134" s="121"/>
      <c r="D134" s="2"/>
      <c r="E134" s="2"/>
      <c r="F134" s="2"/>
      <c r="G134" s="2"/>
      <c r="H134" s="2"/>
      <c r="I134" s="2"/>
      <c r="J134" s="2"/>
      <c r="K134" s="2"/>
      <c r="L134" s="8"/>
    </row>
    <row r="135">
      <c r="C135" s="112"/>
    </row>
    <row r="136">
      <c r="C136" s="112"/>
    </row>
    <row r="137">
      <c r="C137" s="112"/>
    </row>
    <row r="138">
      <c r="C138" s="112"/>
    </row>
    <row r="139">
      <c r="C139" s="112"/>
    </row>
    <row r="140">
      <c r="C140" s="112"/>
    </row>
    <row r="141">
      <c r="C141" s="112"/>
    </row>
    <row r="142">
      <c r="C142" s="112"/>
    </row>
    <row r="143">
      <c r="C143" s="112"/>
    </row>
    <row r="144">
      <c r="C144" s="112"/>
    </row>
    <row r="145">
      <c r="C145" s="112"/>
    </row>
    <row r="146">
      <c r="C146" s="112"/>
    </row>
    <row r="147">
      <c r="C147" s="112"/>
    </row>
    <row r="148">
      <c r="C148" s="112"/>
    </row>
    <row r="149">
      <c r="C149" s="112"/>
    </row>
    <row r="150">
      <c r="C150" s="112"/>
    </row>
    <row r="151">
      <c r="C151" s="112"/>
    </row>
    <row r="152">
      <c r="C152" s="112"/>
    </row>
    <row r="153">
      <c r="C153" s="112"/>
    </row>
    <row r="154">
      <c r="C154" s="112"/>
    </row>
    <row r="155">
      <c r="C155" s="112"/>
    </row>
    <row r="156">
      <c r="C156" s="112"/>
    </row>
    <row r="157">
      <c r="C157" s="112"/>
    </row>
    <row r="158">
      <c r="C158" s="112"/>
    </row>
    <row r="159">
      <c r="C159" s="112"/>
    </row>
    <row r="160">
      <c r="C160" s="112"/>
    </row>
    <row r="161">
      <c r="C161" s="112"/>
    </row>
    <row r="162">
      <c r="C162" s="112"/>
    </row>
    <row r="163">
      <c r="C163" s="112"/>
    </row>
    <row r="164">
      <c r="C164" s="112"/>
    </row>
    <row r="165">
      <c r="C165" s="112"/>
    </row>
    <row r="166">
      <c r="C166" s="112"/>
    </row>
    <row r="167">
      <c r="C167" s="112"/>
    </row>
    <row r="168">
      <c r="C168" s="112"/>
    </row>
    <row r="169">
      <c r="C169" s="112"/>
    </row>
    <row r="170">
      <c r="C170" s="112"/>
    </row>
    <row r="171">
      <c r="C171" s="112"/>
    </row>
    <row r="172">
      <c r="C172" s="112"/>
    </row>
    <row r="173">
      <c r="C173" s="112"/>
    </row>
    <row r="174">
      <c r="C174" s="112"/>
    </row>
    <row r="175">
      <c r="C175" s="112"/>
    </row>
    <row r="176">
      <c r="C176" s="112"/>
    </row>
    <row r="177">
      <c r="C177" s="112"/>
    </row>
    <row r="178">
      <c r="C178" s="112"/>
    </row>
    <row r="179">
      <c r="C179" s="112"/>
    </row>
    <row r="180">
      <c r="C180" s="112"/>
    </row>
    <row r="181">
      <c r="C181" s="112"/>
    </row>
    <row r="182">
      <c r="C182" s="112"/>
    </row>
    <row r="183">
      <c r="C183" s="112"/>
    </row>
    <row r="184">
      <c r="C184" s="112"/>
    </row>
    <row r="185">
      <c r="C185" s="112"/>
    </row>
    <row r="186">
      <c r="C186" s="112"/>
    </row>
    <row r="187">
      <c r="C187" s="112"/>
    </row>
    <row r="188">
      <c r="C188" s="112"/>
    </row>
    <row r="189">
      <c r="C189" s="112"/>
    </row>
    <row r="190">
      <c r="C190" s="112"/>
    </row>
    <row r="191">
      <c r="C191" s="112"/>
    </row>
    <row r="192">
      <c r="C192" s="112"/>
    </row>
    <row r="193">
      <c r="C193" s="112"/>
    </row>
    <row r="194">
      <c r="C194" s="112"/>
    </row>
    <row r="195">
      <c r="C195" s="112"/>
    </row>
    <row r="196">
      <c r="C196" s="112"/>
    </row>
    <row r="197">
      <c r="C197" s="112"/>
    </row>
    <row r="198">
      <c r="C198" s="112"/>
    </row>
    <row r="199">
      <c r="C199" s="112"/>
    </row>
    <row r="200">
      <c r="C200" s="11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8.42578125" defaultRowHeight="15"/>
  <cols>
    <col min="1" max="1" width="2" customWidth="1"/>
    <col min="2" max="2" width="40" customWidth="1"/>
    <col min="3" max="3" width="12" customWidth="1"/>
    <col min="4" max="4" width="11" customWidth="1"/>
    <col min="5" max="5" width="22" customWidth="1"/>
    <col min="6" max="6" width="14" customWidth="1"/>
    <col min="7" max="7" width="48" customWidth="1"/>
    <col min="8" max="8" width="90" customWidth="1"/>
  </cols>
  <sheetData>
    <row r="1">
      <c r="A1" s="2"/>
      <c r="B1" s="34" t="s">
        <v>0</v>
      </c>
      <c r="C1" s="2"/>
      <c r="D1" s="2"/>
      <c r="E1" s="2"/>
      <c r="F1" s="2"/>
      <c r="G1" s="2"/>
      <c r="H1" s="2"/>
    </row>
    <row r="2">
      <c r="A2" s="2"/>
      <c r="B2" s="10" t="s">
        <v>667</v>
      </c>
      <c r="C2" s="2"/>
      <c r="D2" s="2"/>
      <c r="E2" s="2"/>
      <c r="F2" s="2"/>
      <c r="G2" s="2"/>
      <c r="H2" s="2"/>
    </row>
    <row r="3">
      <c r="A3" s="2"/>
      <c r="B3" s="32" t="s">
        <v>2</v>
      </c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57" t="s">
        <v>3</v>
      </c>
      <c r="C5" s="19" t="s">
        <v>4</v>
      </c>
      <c r="D5" s="19"/>
      <c r="E5" s="19"/>
      <c r="F5" s="19"/>
      <c r="G5" s="19"/>
      <c r="H5" s="19"/>
      <c r="I5" s="97"/>
      <c r="J5" s="97"/>
    </row>
    <row r="6">
      <c r="A6" s="2"/>
      <c r="B6" s="29" t="s">
        <v>5</v>
      </c>
      <c r="C6" s="20">
        <f>DATE(2026,9,30)</f>
        <v>46295</v>
      </c>
      <c r="D6" s="20"/>
      <c r="E6" s="20"/>
      <c r="F6" s="20"/>
      <c r="G6" s="20"/>
      <c r="H6" s="20"/>
      <c r="I6" s="93"/>
      <c r="J6" s="93"/>
    </row>
    <row r="7">
      <c r="A7" s="2"/>
      <c r="B7" s="53" t="s">
        <v>6</v>
      </c>
      <c r="C7" s="13">
        <f>C6-DATE(2026,6,30)</f>
        <v>92</v>
      </c>
      <c r="D7" s="13"/>
      <c r="E7" s="13"/>
      <c r="F7" s="13"/>
      <c r="G7" s="13"/>
      <c r="H7" s="13"/>
      <c r="I7" s="92"/>
      <c r="J7" s="9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51" t="s">
        <v>668</v>
      </c>
      <c r="C9" s="51" t="s">
        <v>669</v>
      </c>
      <c r="D9" s="51" t="s">
        <v>670</v>
      </c>
      <c r="E9" s="51" t="s">
        <v>671</v>
      </c>
      <c r="F9" s="51" t="s">
        <v>672</v>
      </c>
      <c r="G9" s="51" t="s">
        <v>673</v>
      </c>
      <c r="H9" s="51" t="s">
        <v>674</v>
      </c>
    </row>
    <row r="10" ht="26.25">
      <c r="A10" s="2"/>
      <c r="B10" s="153" t="s">
        <v>675</v>
      </c>
      <c r="C10" s="2" t="s">
        <v>676</v>
      </c>
      <c r="D10" s="87">
        <v>46313</v>
      </c>
      <c r="E10" s="153" t="s">
        <v>677</v>
      </c>
      <c r="F10" s="87" t="s">
        <v>678</v>
      </c>
      <c r="G10" s="49" t="s">
        <v>679</v>
      </c>
      <c r="H10" s="153" t="s">
        <v>680</v>
      </c>
    </row>
    <row r="11" ht="26.25">
      <c r="A11" s="2"/>
      <c r="B11" s="153" t="s">
        <v>681</v>
      </c>
      <c r="C11" s="2" t="s">
        <v>682</v>
      </c>
      <c r="D11" s="87">
        <v>46313</v>
      </c>
      <c r="E11" s="153" t="s">
        <v>677</v>
      </c>
      <c r="F11" s="87" t="s">
        <v>678</v>
      </c>
      <c r="G11" s="49" t="s">
        <v>683</v>
      </c>
      <c r="H11" s="153" t="s">
        <v>684</v>
      </c>
    </row>
    <row r="12" ht="26.25">
      <c r="A12" s="2"/>
      <c r="B12" s="153" t="s">
        <v>685</v>
      </c>
      <c r="C12" s="2" t="s">
        <v>492</v>
      </c>
      <c r="D12" s="87">
        <v>46231</v>
      </c>
      <c r="E12" s="153" t="s">
        <v>686</v>
      </c>
      <c r="F12" s="87">
        <v>46315</v>
      </c>
      <c r="G12" s="49" t="s">
        <v>685</v>
      </c>
      <c r="H12" s="153" t="s">
        <v>687</v>
      </c>
    </row>
    <row r="13" ht="37.5">
      <c r="A13" s="2"/>
      <c r="B13" s="153" t="s">
        <v>688</v>
      </c>
      <c r="C13" s="2" t="s">
        <v>152</v>
      </c>
      <c r="D13" s="87">
        <v>46231</v>
      </c>
      <c r="E13" s="153" t="s">
        <v>689</v>
      </c>
      <c r="F13" s="87">
        <v>46315</v>
      </c>
      <c r="G13" s="49" t="s">
        <v>688</v>
      </c>
      <c r="H13" s="153" t="s">
        <v>690</v>
      </c>
    </row>
    <row r="14" ht="26.25">
      <c r="A14" s="2"/>
      <c r="B14" s="153" t="s">
        <v>691</v>
      </c>
      <c r="C14" s="2" t="s">
        <v>486</v>
      </c>
      <c r="D14" s="87">
        <v>46140</v>
      </c>
      <c r="E14" s="153" t="s">
        <v>686</v>
      </c>
      <c r="F14" s="87">
        <v>46315</v>
      </c>
      <c r="G14" s="49" t="s">
        <v>691</v>
      </c>
      <c r="H14" s="153" t="s">
        <v>692</v>
      </c>
    </row>
    <row r="15" ht="26.25">
      <c r="A15" s="2"/>
      <c r="B15" s="153" t="s">
        <v>693</v>
      </c>
      <c r="C15" s="2" t="s">
        <v>480</v>
      </c>
      <c r="D15" s="87">
        <v>46058</v>
      </c>
      <c r="E15" s="153" t="s">
        <v>686</v>
      </c>
      <c r="F15" s="87">
        <v>46315</v>
      </c>
      <c r="G15" s="49" t="s">
        <v>693</v>
      </c>
      <c r="H15" s="153" t="s">
        <v>694</v>
      </c>
    </row>
    <row r="16" ht="37.5">
      <c r="A16" s="2"/>
      <c r="B16" s="153" t="s">
        <v>695</v>
      </c>
      <c r="C16" s="2" t="s">
        <v>696</v>
      </c>
      <c r="D16" s="87">
        <v>46062</v>
      </c>
      <c r="E16" s="153" t="s">
        <v>697</v>
      </c>
      <c r="F16" s="87">
        <v>46315</v>
      </c>
      <c r="G16" s="49" t="s">
        <v>695</v>
      </c>
      <c r="H16" s="153" t="s">
        <v>698</v>
      </c>
    </row>
    <row r="17" ht="26.25">
      <c r="A17" s="2"/>
      <c r="B17" s="153" t="s">
        <v>699</v>
      </c>
      <c r="C17" s="2" t="s">
        <v>700</v>
      </c>
      <c r="D17" s="87">
        <v>45958</v>
      </c>
      <c r="E17" s="153" t="s">
        <v>686</v>
      </c>
      <c r="F17" s="87">
        <v>46315</v>
      </c>
      <c r="G17" s="49" t="s">
        <v>699</v>
      </c>
      <c r="H17" s="153" t="s">
        <v>701</v>
      </c>
    </row>
    <row r="18">
      <c r="A18" s="2"/>
      <c r="B18" s="153" t="s">
        <v>702</v>
      </c>
      <c r="C18" s="2" t="s">
        <v>703</v>
      </c>
      <c r="D18" s="87">
        <v>45958</v>
      </c>
      <c r="E18" s="153" t="s">
        <v>689</v>
      </c>
      <c r="F18" s="87">
        <v>46315</v>
      </c>
      <c r="G18" s="49" t="s">
        <v>702</v>
      </c>
      <c r="H18" s="153" t="s">
        <v>704</v>
      </c>
    </row>
    <row r="19" ht="26.25">
      <c r="A19" s="2"/>
      <c r="B19" s="153" t="s">
        <v>705</v>
      </c>
      <c r="C19" s="2" t="s">
        <v>706</v>
      </c>
      <c r="D19" s="87">
        <v>45869</v>
      </c>
      <c r="E19" s="153" t="s">
        <v>686</v>
      </c>
      <c r="F19" s="87">
        <v>46315</v>
      </c>
      <c r="G19" s="49" t="s">
        <v>705</v>
      </c>
      <c r="H19" s="153" t="s">
        <v>707</v>
      </c>
    </row>
    <row r="20" ht="26.25">
      <c r="A20" s="2"/>
      <c r="B20" s="153" t="s">
        <v>708</v>
      </c>
      <c r="C20" s="2" t="s">
        <v>475</v>
      </c>
      <c r="D20" s="87">
        <v>45777</v>
      </c>
      <c r="E20" s="153" t="s">
        <v>686</v>
      </c>
      <c r="F20" s="87">
        <v>46315</v>
      </c>
      <c r="G20" s="49" t="s">
        <v>708</v>
      </c>
      <c r="H20" s="153" t="s">
        <v>709</v>
      </c>
    </row>
    <row r="21" ht="26.25">
      <c r="A21" s="2"/>
      <c r="B21" s="153" t="s">
        <v>710</v>
      </c>
      <c r="C21" s="2" t="s">
        <v>711</v>
      </c>
      <c r="D21" s="87">
        <v>46231</v>
      </c>
      <c r="E21" s="153" t="s">
        <v>712</v>
      </c>
      <c r="F21" s="87">
        <v>46315</v>
      </c>
      <c r="G21" s="49" t="s">
        <v>710</v>
      </c>
      <c r="H21" s="153" t="s">
        <v>713</v>
      </c>
    </row>
    <row r="22" ht="26.25">
      <c r="A22" s="2"/>
      <c r="B22" s="153" t="s">
        <v>714</v>
      </c>
      <c r="C22" s="2" t="s">
        <v>715</v>
      </c>
      <c r="D22" s="87">
        <v>46307</v>
      </c>
      <c r="E22" s="153" t="s">
        <v>716</v>
      </c>
      <c r="F22" s="87">
        <v>46315</v>
      </c>
      <c r="G22" s="49" t="s">
        <v>714</v>
      </c>
      <c r="H22" s="153" t="s">
        <v>717</v>
      </c>
    </row>
    <row r="23" ht="26.25">
      <c r="A23" s="2"/>
      <c r="B23" s="153" t="s">
        <v>718</v>
      </c>
      <c r="C23" s="2" t="s">
        <v>719</v>
      </c>
      <c r="D23" s="87">
        <v>46269</v>
      </c>
      <c r="E23" s="153" t="s">
        <v>720</v>
      </c>
      <c r="F23" s="87">
        <v>46315</v>
      </c>
      <c r="G23" s="49" t="s">
        <v>721</v>
      </c>
      <c r="H23" s="153" t="s">
        <v>722</v>
      </c>
    </row>
    <row r="24" ht="26.25">
      <c r="A24" s="2"/>
      <c r="B24" s="153" t="s">
        <v>723</v>
      </c>
      <c r="C24" s="2" t="s">
        <v>724</v>
      </c>
      <c r="D24" s="87">
        <v>46313</v>
      </c>
      <c r="E24" s="153" t="s">
        <v>725</v>
      </c>
      <c r="F24" s="87">
        <v>46315</v>
      </c>
      <c r="G24" s="49" t="s">
        <v>726</v>
      </c>
      <c r="H24" s="153" t="s">
        <v>727</v>
      </c>
    </row>
    <row r="25" ht="26.25">
      <c r="A25" s="2"/>
      <c r="B25" s="153" t="s">
        <v>728</v>
      </c>
      <c r="C25" s="2" t="s">
        <v>729</v>
      </c>
      <c r="D25" s="87">
        <v>46302</v>
      </c>
      <c r="E25" s="153" t="s">
        <v>730</v>
      </c>
      <c r="F25" s="87">
        <v>46315</v>
      </c>
      <c r="G25" s="49" t="s">
        <v>728</v>
      </c>
      <c r="H25" s="153" t="s">
        <v>731</v>
      </c>
    </row>
    <row r="26" ht="37.5">
      <c r="A26" s="2"/>
      <c r="B26" s="153" t="s">
        <v>732</v>
      </c>
      <c r="C26" s="2" t="s">
        <v>733</v>
      </c>
      <c r="D26" s="87">
        <v>46297</v>
      </c>
      <c r="E26" s="153" t="s">
        <v>734</v>
      </c>
      <c r="F26" s="87">
        <v>46315</v>
      </c>
      <c r="G26" s="49" t="s">
        <v>732</v>
      </c>
      <c r="H26" s="153" t="s">
        <v>735</v>
      </c>
    </row>
    <row r="27" ht="26.25">
      <c r="A27" s="2"/>
      <c r="B27" s="153" t="s">
        <v>736</v>
      </c>
      <c r="C27" s="2" t="s">
        <v>737</v>
      </c>
      <c r="D27" s="87">
        <v>46310</v>
      </c>
      <c r="E27" s="153" t="s">
        <v>738</v>
      </c>
      <c r="F27" s="87">
        <v>46315</v>
      </c>
      <c r="G27" s="49" t="s">
        <v>736</v>
      </c>
      <c r="H27" s="153" t="s">
        <v>739</v>
      </c>
    </row>
    <row r="28" ht="26.25">
      <c r="A28" s="2"/>
      <c r="B28" s="153" t="s">
        <v>740</v>
      </c>
      <c r="C28" s="2" t="s">
        <v>741</v>
      </c>
      <c r="D28" s="87">
        <v>46303</v>
      </c>
      <c r="E28" s="153" t="s">
        <v>742</v>
      </c>
      <c r="F28" s="87">
        <v>46315</v>
      </c>
      <c r="G28" s="49" t="s">
        <v>740</v>
      </c>
      <c r="H28" s="153" t="s">
        <v>743</v>
      </c>
    </row>
    <row r="29" ht="26.25">
      <c r="A29" s="2"/>
      <c r="B29" s="153" t="s">
        <v>744</v>
      </c>
      <c r="C29" s="2" t="s">
        <v>745</v>
      </c>
      <c r="D29" s="87">
        <v>46290</v>
      </c>
      <c r="E29" s="153" t="s">
        <v>746</v>
      </c>
      <c r="F29" s="87">
        <v>46315</v>
      </c>
      <c r="G29" s="49" t="s">
        <v>744</v>
      </c>
      <c r="H29" s="153" t="s">
        <v>747</v>
      </c>
    </row>
    <row r="30" ht="26.25">
      <c r="A30" s="2"/>
      <c r="B30" s="153" t="s">
        <v>748</v>
      </c>
      <c r="C30" s="2" t="s">
        <v>749</v>
      </c>
      <c r="D30" s="87">
        <v>46248</v>
      </c>
      <c r="E30" s="153" t="s">
        <v>750</v>
      </c>
      <c r="F30" s="87">
        <v>46315</v>
      </c>
      <c r="G30" s="49" t="s">
        <v>748</v>
      </c>
      <c r="H30" s="153" t="s">
        <v>751</v>
      </c>
    </row>
    <row r="31" ht="26.25">
      <c r="A31" s="2"/>
      <c r="B31" s="153" t="s">
        <v>752</v>
      </c>
      <c r="C31" s="2" t="s">
        <v>753</v>
      </c>
      <c r="D31" s="87">
        <v>46310</v>
      </c>
      <c r="E31" s="153" t="s">
        <v>742</v>
      </c>
      <c r="F31" s="87">
        <v>46315</v>
      </c>
      <c r="G31" s="49" t="s">
        <v>752</v>
      </c>
      <c r="H31" s="153" t="s">
        <v>754</v>
      </c>
    </row>
    <row r="32">
      <c r="A32" s="2"/>
      <c r="B32" s="153" t="s">
        <v>755</v>
      </c>
      <c r="C32" s="2" t="s">
        <v>756</v>
      </c>
      <c r="D32" s="87">
        <v>45715</v>
      </c>
      <c r="E32" s="153" t="s">
        <v>757</v>
      </c>
      <c r="F32" s="87">
        <v>46315</v>
      </c>
      <c r="G32" s="49" t="s">
        <v>758</v>
      </c>
      <c r="H32" s="153" t="s">
        <v>759</v>
      </c>
    </row>
    <row r="33" ht="26.25">
      <c r="A33" s="2"/>
      <c r="B33" s="153" t="s">
        <v>760</v>
      </c>
      <c r="C33" s="2" t="s">
        <v>761</v>
      </c>
      <c r="D33" s="87">
        <v>46311</v>
      </c>
      <c r="E33" s="153" t="s">
        <v>762</v>
      </c>
      <c r="F33" s="87">
        <v>46315</v>
      </c>
      <c r="G33" s="49" t="s">
        <v>760</v>
      </c>
      <c r="H33" s="153" t="s">
        <v>763</v>
      </c>
    </row>
    <row r="34" ht="26.25">
      <c r="A34" s="2"/>
      <c r="B34" s="153" t="s">
        <v>764</v>
      </c>
      <c r="C34" s="2" t="s">
        <v>765</v>
      </c>
      <c r="D34" s="87">
        <v>46301</v>
      </c>
      <c r="E34" s="153" t="s">
        <v>766</v>
      </c>
      <c r="F34" s="87">
        <v>46315</v>
      </c>
      <c r="G34" s="49" t="s">
        <v>764</v>
      </c>
      <c r="H34" s="153" t="s">
        <v>767</v>
      </c>
    </row>
    <row r="35" ht="26.25">
      <c r="A35" s="2"/>
      <c r="B35" s="153" t="s">
        <v>768</v>
      </c>
      <c r="C35" s="2" t="s">
        <v>769</v>
      </c>
      <c r="D35" s="87">
        <v>46234</v>
      </c>
      <c r="E35" s="153" t="s">
        <v>770</v>
      </c>
      <c r="F35" s="87">
        <v>46315</v>
      </c>
      <c r="G35" s="49" t="s">
        <v>768</v>
      </c>
      <c r="H35" s="153" t="s">
        <v>771</v>
      </c>
    </row>
    <row r="36" ht="48.75">
      <c r="A36" s="2"/>
      <c r="B36" s="153" t="s">
        <v>772</v>
      </c>
      <c r="C36" s="2" t="s">
        <v>773</v>
      </c>
      <c r="D36" s="155">
        <v>46294</v>
      </c>
      <c r="E36" s="153" t="s">
        <v>774</v>
      </c>
      <c r="F36" s="153" t="s">
        <v>775</v>
      </c>
      <c r="G36" s="153" t="s">
        <v>776</v>
      </c>
      <c r="H36" s="153" t="s">
        <v>777</v>
      </c>
    </row>
    <row r="37">
      <c r="A37" s="2"/>
      <c r="C37" s="2"/>
      <c r="D37" s="2"/>
      <c r="E37" s="2"/>
      <c r="F37" s="2"/>
      <c r="G37" s="2"/>
      <c r="H37" s="2"/>
    </row>
    <row r="38">
      <c r="A38" s="2"/>
      <c r="B38" s="2" t="s">
        <v>778</v>
      </c>
      <c r="C38" s="2"/>
      <c r="D38" s="2"/>
      <c r="E38" s="2"/>
      <c r="F38" s="2"/>
      <c r="G38" s="2"/>
      <c r="H38" s="2"/>
    </row>
    <row r="39">
      <c r="A39" s="2"/>
      <c r="B39" s="2" t="s">
        <v>779</v>
      </c>
      <c r="C39" s="2"/>
      <c r="D39" s="2"/>
      <c r="E39" s="2"/>
      <c r="F39" s="2"/>
      <c r="G39" s="2"/>
      <c r="H39" s="2"/>
    </row>
    <row r="40">
      <c r="A40" s="2"/>
      <c r="B40" s="2" t="s">
        <v>780</v>
      </c>
      <c r="C40" s="2"/>
      <c r="D40" s="2"/>
      <c r="E40" s="2"/>
      <c r="F40" s="2"/>
      <c r="G40" s="2"/>
      <c r="H40" s="2"/>
    </row>
    <row r="41">
      <c r="A41" s="2"/>
      <c r="B41" s="2"/>
      <c r="C41" s="2"/>
      <c r="D41" s="2"/>
      <c r="E41" s="2"/>
      <c r="F41" s="2"/>
      <c r="G41" s="2"/>
      <c r="H41" s="2"/>
    </row>
  </sheetData>
</worksheet>
</file>