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Barclays UK" sheetId="3" r:id="rId4"/>
    <sheet name="Segment - UK Corporate Bank" sheetId="4" r:id="rId5"/>
    <sheet name="Segment - Private Bank &amp; WM" sheetId="5" r:id="rId6"/>
    <sheet name="Segment - Investment Bank" sheetId="6" r:id="rId7"/>
    <sheet name="Segment - US Consumer Bank" sheetId="7" r:id="rId8"/>
    <sheet name="Segment - Head Office" sheetId="8" r:id="rId9"/>
    <sheet name="Income Statement" sheetId="9" r:id="rId10"/>
    <sheet name="Balance Sheet" sheetId="10" r:id="rId11"/>
    <sheet name="Cash Flow Statement" sheetId="11" r:id="rId12"/>
    <sheet name="Share Count" sheetId="12" r:id="rId13"/>
    <sheet name="Guidance" sheetId="13" r:id="rId14"/>
    <sheet name="Sources" sheetId="14" r:id="rId15"/>
    <sheet name="Inputs" sheetId="15" r:id="rId16"/>
  </sheets>
  <calcPr calcId="0"/>
</workbook>
</file>

<file path=xl/sharedStrings.xml><?xml version="1.0" encoding="utf-8"?>
<sst xmlns="http://schemas.openxmlformats.org/spreadsheetml/2006/main" count="4293" uniqueCount="983">
  <si>
    <t>Company Model — built by Shortcut</t>
  </si>
  <si>
    <t>Barclays PLC (LSE:BARC) — Cover</t>
  </si>
  <si>
    <t>GBP millions, except per share</t>
  </si>
  <si>
    <t>Forecast period</t>
  </si>
  <si>
    <t>3Q26E</t>
  </si>
  <si>
    <t>Period end</t>
  </si>
  <si>
    <t>Days in period</t>
  </si>
  <si>
    <t>Company</t>
  </si>
  <si>
    <t>Barclays PLC</t>
  </si>
  <si>
    <t>Ticker</t>
  </si>
  <si>
    <t>BARC</t>
  </si>
  <si>
    <t>Exchange</t>
  </si>
  <si>
    <t>London Stock Exchange (LSE:BARC); NYSE:BCS ADR not modelled</t>
  </si>
  <si>
    <t>Fiscal year end</t>
  </si>
  <si>
    <t>31 December — FQ3 2026 = calendar Q3; supplied label "FQ3 2026 - Sep 2026", period end 2026-09-30</t>
  </si>
  <si>
    <t>Reporting currency</t>
  </si>
  <si>
    <t>GBP (amounts £m; EPS in GBP per ordinary share, not pence)</t>
  </si>
  <si>
    <t>EPS basis</t>
  </si>
  <si>
    <t>CapIQ normalized EPS (labelled diluted), GBP per ordinary share; history equals Barclays reported basic EPS</t>
  </si>
  <si>
    <t>Information cutoff</t>
  </si>
  <si>
    <t>2026-10-18T21:34:46Z</t>
  </si>
  <si>
    <t>Expected report date</t>
  </si>
  <si>
    <t>2026-10-22 (issuer calendar S28; matches supplied CapIQ date)</t>
  </si>
  <si>
    <t>Consensus snapshot</t>
  </si>
  <si>
    <t>S&amp;P Capital IQ, captured 2026-10-18; 5 normalized EPS contributors</t>
  </si>
  <si>
    <t>Headline: 3Q26E Shortcut estimate vs consensus at cutoff vs guidance</t>
  </si>
  <si>
    <t>Metric</t>
  </si>
  <si>
    <t>Shortcut estimate</t>
  </si>
  <si>
    <t>Consensus at cutoff (CapIQ)</t>
  </si>
  <si>
    <t>Variance</t>
  </si>
  <si>
    <t>Variance %</t>
  </si>
  <si>
    <t>Guidance midpoint</t>
  </si>
  <si>
    <t>Estimate vs guidance</t>
  </si>
  <si>
    <t>Total income (revenue), £m</t>
  </si>
  <si>
    <t>Profit before tax, £m</t>
  </si>
  <si>
    <t>n.g.</t>
  </si>
  <si>
    <t>Net income — attributable to ordinary shareholders (IFRS), £m</t>
  </si>
  <si>
    <t>Net income — normalized (CapIQ basis), £m</t>
  </si>
  <si>
    <t>EPS — normalized, CapIQ basis (GBP; basic share identity)</t>
  </si>
  <si>
    <t>EPS — IFRS diluted (GBP)</t>
  </si>
  <si>
    <t>P(beat consensus EPS)</t>
  </si>
  <si>
    <t>Confidence</t>
  </si>
  <si>
    <t>Overall model check (genuine checks only; identities excluded)</t>
  </si>
  <si>
    <t>Notes</t>
  </si>
  <si>
    <t>n.g. = not guided: Barclays gives no quarterly net income/EPS guidance; revenue guidance column is the FY26 c.£31.5bn target spread over H2 (derived, Guidance tab).</t>
  </si>
  <si>
    <t>Consensus = frozen S&amp;P Capital IQ snapshot (S1). Other consensus recorded separately on Inputs (Investing.com 0.122 / £7.62bn); Barclays company-compiled Q3 consensus (16-Oct-26) unavailable.</t>
  </si>
  <si>
    <t>Normalized EPS is forecast from the model (no beat-rate uplift). A beat at CapIQ 2dp requires reported EPS of at least 12.5p.</t>
  </si>
  <si>
    <t>Forecast balance sheet balances through cash (Balance Sheet!J10 is the plug). Identity rows (0 by construction) are labelled and excluded from C30.</t>
  </si>
  <si>
    <t>Identity (not a check): Cover links to statements</t>
  </si>
  <si>
    <t>Barclays PLC (LSE:BARC)</t>
  </si>
  <si>
    <t>Revenue summary</t>
  </si>
  <si>
    <t>Period</t>
  </si>
  <si>
    <t>1Q25A</t>
  </si>
  <si>
    <t>2Q25A</t>
  </si>
  <si>
    <t>3Q25A</t>
  </si>
  <si>
    <t>4Q25A</t>
  </si>
  <si>
    <t>FY25A</t>
  </si>
  <si>
    <t>1Q26A</t>
  </si>
  <si>
    <t>2Q26A</t>
  </si>
  <si>
    <t>Notes / source</t>
  </si>
  <si>
    <t>Total income by division</t>
  </si>
  <si>
    <t>Barclays UK</t>
  </si>
  <si>
    <t>Link: Segment - Barclays UK</t>
  </si>
  <si>
    <t>% Y/Y</t>
  </si>
  <si>
    <t>n.a.</t>
  </si>
  <si>
    <t>% Q/Q</t>
  </si>
  <si>
    <t>% of total income</t>
  </si>
  <si>
    <t>Barclays UK Corporate Bank</t>
  </si>
  <si>
    <t>Link: Segment - UK Corporate Bank</t>
  </si>
  <si>
    <t>Barclays Private Bank &amp; Wealth Management</t>
  </si>
  <si>
    <t>Link: Segment - Private Bank &amp; WM</t>
  </si>
  <si>
    <t>Barclays Investment Bank</t>
  </si>
  <si>
    <t>Link: Segment - Investment Bank</t>
  </si>
  <si>
    <t>Barclays US Consumer Bank</t>
  </si>
  <si>
    <t>Link: Segment - US Consumer Bank</t>
  </si>
  <si>
    <t>Head Office</t>
  </si>
  <si>
    <t>Link: Segment - Head Office</t>
  </si>
  <si>
    <t>Group total income</t>
  </si>
  <si>
    <t>Q/Q change (abs.)</t>
  </si>
  <si>
    <t>FY25A identity (not a check): sum of quarters less FY column</t>
  </si>
  <si>
    <t>0 by construction: FY column sums the quarterly segment links; excluded from Cover!C30</t>
  </si>
  <si>
    <t>Income by type</t>
  </si>
  <si>
    <t>Net interest income</t>
  </si>
  <si>
    <t>Sum of divisional NII (links)</t>
  </si>
  <si>
    <t>Net fee, commission, trading and other income</t>
  </si>
  <si>
    <t>Total income less NII</t>
  </si>
  <si>
    <t>Check: divisional fee/trading lines less derived (should be 0)</t>
  </si>
  <si>
    <t>Historical columns are genuine checks; 3Q26E is 0 by construction (IB net trading income J86 is the residual), so J is excluded from Cover!C30</t>
  </si>
  <si>
    <t>Group NII excluding Investment Bank and Head Office (issuer guidance basis)</t>
  </si>
  <si>
    <t>Group NII excl. IB and Head Office</t>
  </si>
  <si>
    <t>Guidance FY26 &gt;£13.7bn (S4)</t>
  </si>
  <si>
    <t>Average customer assets excl. IB and HO (£m)</t>
  </si>
  <si>
    <t>Average-loans proxy for metric target average_loans (issuer-defined average customer assets, NIM denominator)</t>
  </si>
  <si>
    <t>Net interest margin excl. IB and HO (derived)</t>
  </si>
  <si>
    <t>Y/Y change (bps)</t>
  </si>
  <si>
    <t>Q/Q change (bps)</t>
  </si>
  <si>
    <t>Net interest margin excl. IB and HO — as reported</t>
  </si>
  <si>
    <t>S3 / S6</t>
  </si>
  <si>
    <t>Growth decomposition — Group and divisions (issuer does not quantify M&amp;A/FX by division)</t>
  </si>
  <si>
    <t>Group — total Y/Y</t>
  </si>
  <si>
    <t>M&amp;A / scope impact</t>
  </si>
  <si>
    <t>n.d.</t>
  </si>
  <si>
    <t>n.d.: not disclosed</t>
  </si>
  <si>
    <t>FX impact</t>
  </si>
  <si>
    <t>n.d.: FX described qualitatively only</t>
  </si>
  <si>
    <t>Organic growth</t>
  </si>
  <si>
    <t>Barclays UK — total Y/Y</t>
  </si>
  <si>
    <t>Barclays UK Corporate Bank — total Y/Y</t>
  </si>
  <si>
    <t>Barclays Private Bank &amp; Wealth Management — total Y/Y</t>
  </si>
  <si>
    <t>Barclays Investment Bank — total Y/Y</t>
  </si>
  <si>
    <t>Barclays US Consumer Bank — total Y/Y</t>
  </si>
  <si>
    <t>n.d.: not quantified by issuer (USCB Q226 includes c.£225m AA gain and Best Egg; shown on USCB tab, not a scope % disclosure)</t>
  </si>
  <si>
    <t>Head Office — total Y/Y</t>
  </si>
  <si>
    <t>Geography (annual disclosure only)</t>
  </si>
  <si>
    <t>United Kingdom — share of FY25 income</t>
  </si>
  <si>
    <t>S29 (MarketScreener summary of FY25 Annual Report income by geography)</t>
  </si>
  <si>
    <t>Europe — share of FY25 income</t>
  </si>
  <si>
    <t>Americas — share of FY25 income</t>
  </si>
  <si>
    <t>Asia — share of FY25 income</t>
  </si>
  <si>
    <t>Africa and Middle East / other — share (residual)</t>
  </si>
  <si>
    <t>Geographic income is disclosed annually only (no quarterly split); Geo tab omitted — see Sources</t>
  </si>
  <si>
    <t>Segment - Barclays UK</t>
  </si>
  <si>
    <t>Net interest income drivers</t>
  </si>
  <si>
    <t>Average customer assets — Q/Q growth assumption</t>
  </si>
  <si>
    <t>Assumption: +1.0% Q/Q (Q226 +0.5% avg, +1.4% period-end loans; S3)</t>
  </si>
  <si>
    <t>Average customer assets (£m)</t>
  </si>
  <si>
    <t>S3 margins &amp; balances (Q225-Q226); Q125 from S6. FY = average of quarters</t>
  </si>
  <si>
    <t>Net interest margin — as reported</t>
  </si>
  <si>
    <t>S3 (Q226 6-K quarterly results by business, 8-quarter tables)</t>
  </si>
  <si>
    <t>Net interest margin — forecast assumption</t>
  </si>
  <si>
    <t>Assumption 3.75%: product margin neutral-to-positive in Q3, hedge roll, card seasonality (S10, S12); consistent with FY26 BUK NII mid-point £8.2bn</t>
  </si>
  <si>
    <t>Income</t>
  </si>
  <si>
    <t>Forecast = avg customer assets x NIM x days/365</t>
  </si>
  <si>
    <t>Net interest margin — derived (NII / avg assets x 365/days)</t>
  </si>
  <si>
    <t>Net fee, commission and other income</t>
  </si>
  <si>
    <t>Assumption £270m: Q3 card seasonality vs Q226 £259m / Q325 £292m (S3)</t>
  </si>
  <si>
    <t>Total income</t>
  </si>
  <si>
    <t>Income by business (disclosed split)</t>
  </si>
  <si>
    <t>Business Banking share of income — assumption</t>
  </si>
  <si>
    <t>Assumption: hold Q226 mix</t>
  </si>
  <si>
    <t>Retail Banking</t>
  </si>
  <si>
    <t>Business Banking</t>
  </si>
  <si>
    <t>Total income (sum of businesses)</t>
  </si>
  <si>
    <t>Check: businesses less total income (should be 0)</t>
  </si>
  <si>
    <t>Historical columns are genuine checks; 3Q26E mix split closes by construction (J36 = J29 - J39), so J is excluded from Cover!C30</t>
  </si>
  <si>
    <t>Operating expenses</t>
  </si>
  <si>
    <t>Underlying operating costs (forecast build)</t>
  </si>
  <si>
    <t>Assumption: underlying run-rate £1,150m (Q226 £1,194m incl. investment/SCA; efficiency savings)</t>
  </si>
  <si>
    <t>Structural cost actions (SCA) allocation</t>
  </si>
  <si>
    <t>Assumption: Q3 SCA c.£250m group (S11/S12: "£250m in each quarter, half for BUK in Q3")</t>
  </si>
  <si>
    <t>Operating costs</t>
  </si>
  <si>
    <t>UK regulatory levies</t>
  </si>
  <si>
    <t>Levies booked Q1/Q4; Q3 history +12/-1 (S3). Forecast assumption</t>
  </si>
  <si>
    <t>Litigation and conduct</t>
  </si>
  <si>
    <t>Forecast assumption: run-rate, no new motor finance charge evidenced (S30)</t>
  </si>
  <si>
    <t>Total operating expenses</t>
  </si>
  <si>
    <t>Other net income/(expenses)</t>
  </si>
  <si>
    <t>Profit before impairment</t>
  </si>
  <si>
    <t>Credit impairment</t>
  </si>
  <si>
    <t>Retail loan loss rate — assumption (annualised)</t>
  </si>
  <si>
    <t>Assumption 29bps on avg Retail loans (Q226 c.33bps, Q126 c.36bps; S3)</t>
  </si>
  <si>
    <t>Retail Banking impairment</t>
  </si>
  <si>
    <t>Business Banking impairment</t>
  </si>
  <si>
    <t>Assumption -£2m (Q126 +1, Q226 +5; S3)</t>
  </si>
  <si>
    <t>Credit impairment charges</t>
  </si>
  <si>
    <t>Profit before tax</t>
  </si>
  <si>
    <t>Profit before tax — as reported (check input)</t>
  </si>
  <si>
    <t>Check: built PBT less reported (should be 0)</t>
  </si>
  <si>
    <t>Attributable profit (as reported)</t>
  </si>
  <si>
    <t>n.f.</t>
  </si>
  <si>
    <t>Divisional attributable profit not forecast (tax/AT1 allocated at Group level on Income Statement)</t>
  </si>
  <si>
    <t>Balance sheet drivers (£bn)</t>
  </si>
  <si>
    <t>Retail loans — Q/Q growth assumption</t>
  </si>
  <si>
    <t>Assumption: +1.2% (Q226 +1.5%, Q126 +0.8%)</t>
  </si>
  <si>
    <t>Retail loans — opening balance</t>
  </si>
  <si>
    <t>Retail loans — net lending (closing less opening)</t>
  </si>
  <si>
    <t>Retail Banking loans (closing)</t>
  </si>
  <si>
    <t>Retail loans — average (opening/closing)</t>
  </si>
  <si>
    <t>Business loans — Q/Q growth assumption</t>
  </si>
  <si>
    <t>Assumption: flat (Q226 flat)</t>
  </si>
  <si>
    <t>Business Banking loans (closing)</t>
  </si>
  <si>
    <t>Loans and advances to customers at amortised cost</t>
  </si>
  <si>
    <t>Retail deposits — Q/Q growth assumption</t>
  </si>
  <si>
    <t>Assumption +0.5%</t>
  </si>
  <si>
    <t>Retail Banking deposits</t>
  </si>
  <si>
    <t>Business deposits — Q/Q growth assumption</t>
  </si>
  <si>
    <t>Assumption: flat</t>
  </si>
  <si>
    <t>Business Banking deposits</t>
  </si>
  <si>
    <t>Customer deposits at amortised cost</t>
  </si>
  <si>
    <t>Loan: deposit ratio</t>
  </si>
  <si>
    <t>Risk weighted assets</t>
  </si>
  <si>
    <t>S3; forecast grows with Retail loans</t>
  </si>
  <si>
    <t>Returns and ratios</t>
  </si>
  <si>
    <t>Cost: income ratio (derived)</t>
  </si>
  <si>
    <t>Cost: income ratio — as reported</t>
  </si>
  <si>
    <t>Loan loss rate (derived, annualised on period-end loans)</t>
  </si>
  <si>
    <t>Derived: -impairment x 365/days / period-end loans (£bn x 1000)</t>
  </si>
  <si>
    <t>Loan loss rate — as reported</t>
  </si>
  <si>
    <t>S3 (Q226 6-K quarterly results by business, 8-quarter tables) (reported in bps)</t>
  </si>
  <si>
    <t>Return on average allocated tangible equity — as reported</t>
  </si>
  <si>
    <t>Average allocated tangible equity (£bn)</t>
  </si>
  <si>
    <t>Growth decomposition — Total income</t>
  </si>
  <si>
    <t>Total Y/Y growth</t>
  </si>
  <si>
    <t>Not disclosed (n.d.): issuer does not quantify scope effects by division</t>
  </si>
  <si>
    <t>Not disclosed (n.d.): FX described qualitatively only (e.g. H126 "4% appreciation of average GBP against USD")</t>
  </si>
  <si>
    <t>Organic growth = (1+Y/Y)/((1+M&amp;A)x(1+FX))-1</t>
  </si>
  <si>
    <t>Evaluates n.d. wherever a component is not disclosed (never silently zero)</t>
  </si>
  <si>
    <t>Segment - UK Corporate Bank</t>
  </si>
  <si>
    <t>Assumption +2.0% Q/Q (Q226 +3.7%, Q126 +2.5%)</t>
  </si>
  <si>
    <t>Assumption 5.60% (flat to Q126-Q226)</t>
  </si>
  <si>
    <t>Assumption £140m (Q226 £145m, Q325 £139m)</t>
  </si>
  <si>
    <t>Income by product (disclosed split)</t>
  </si>
  <si>
    <t>Corporate lending share of income — assumption</t>
  </si>
  <si>
    <t>Corporate lending</t>
  </si>
  <si>
    <t>Transaction banking</t>
  </si>
  <si>
    <t>Total income (sum of products)</t>
  </si>
  <si>
    <t>Check: products less total income (should be 0)</t>
  </si>
  <si>
    <t>Historical columns are genuine checks; 3Q26E mix split closes by construction (J39 = J29 - J36), so J is excluded from Cover!C30</t>
  </si>
  <si>
    <t>Assumption £245m (Q226 £249m)</t>
  </si>
  <si>
    <t>Loan loss rate — assumption (annualised)</t>
  </si>
  <si>
    <t>Assumption 15bps (Q226 20bps, Q126 4bps)</t>
  </si>
  <si>
    <t>Credit impairment (charges)/releases</t>
  </si>
  <si>
    <t>Loans — Q/Q growth assumption</t>
  </si>
  <si>
    <t>Assumption +2.0% (Q226 +1.6%)</t>
  </si>
  <si>
    <t>Loans — opening balance</t>
  </si>
  <si>
    <t>Loans — net lending (closing less opening)</t>
  </si>
  <si>
    <t>Loans and advances to customers at amortised cost (closing)</t>
  </si>
  <si>
    <t>Loans — average (opening/closing)</t>
  </si>
  <si>
    <t>Deposits — Q/Q growth assumption</t>
  </si>
  <si>
    <t>Assumption +1.0%</t>
  </si>
  <si>
    <t>Deposits at amortised cost</t>
  </si>
  <si>
    <t>S3; forecast grows with loans</t>
  </si>
  <si>
    <t>Segment - Private Bank &amp; WM</t>
  </si>
  <si>
    <t>Assumption +0.5% Q/Q</t>
  </si>
  <si>
    <t>Assumption 5.70% (Q226 5.80%, Q126 5.51%; deposit mix)</t>
  </si>
  <si>
    <t>Assumption £148m (Q226 £150m; client assets +1.5%)</t>
  </si>
  <si>
    <t>Assumption £260m (Q226 £267m)</t>
  </si>
  <si>
    <t>Assumption 8bps</t>
  </si>
  <si>
    <t>n.m. = not meaningful (negative or sign-changing base)</t>
  </si>
  <si>
    <t>Client assets &amp; liabilities — Q/Q growth assumption</t>
  </si>
  <si>
    <t>Assumption +1.5% (market levels)</t>
  </si>
  <si>
    <t>Client assets and liabilities</t>
  </si>
  <si>
    <t>Segment - Investment Bank</t>
  </si>
  <si>
    <t>Q3 2026 peer read-across (US banks, reported 13-14 Oct 2026, USD Y/Y)</t>
  </si>
  <si>
    <t>(peer metrics shown in 3Q26E column: FICC Y/Y | Equities Y/Y | IB fees Y/Y on rows below)</t>
  </si>
  <si>
    <t>JPMorgan Chase — FICC revenue Y/Y</t>
  </si>
  <si>
    <t>S16</t>
  </si>
  <si>
    <t>Goldman Sachs — FICC revenue Y/Y</t>
  </si>
  <si>
    <t>S17</t>
  </si>
  <si>
    <t>Morgan Stanley — FICC revenue Y/Y</t>
  </si>
  <si>
    <t>S18</t>
  </si>
  <si>
    <t>Citigroup — FICC revenue Y/Y</t>
  </si>
  <si>
    <t>S19</t>
  </si>
  <si>
    <t>Bank of America — FICC revenue Y/Y</t>
  </si>
  <si>
    <t>S20</t>
  </si>
  <si>
    <t>JPMorgan Chase — Equities revenue Y/Y</t>
  </si>
  <si>
    <t>Goldman Sachs — Equities revenue Y/Y</t>
  </si>
  <si>
    <t>Morgan Stanley — Equities revenue Y/Y</t>
  </si>
  <si>
    <t>Citigroup — Equities revenue Y/Y</t>
  </si>
  <si>
    <t>Bank of America — Equities revenue Y/Y</t>
  </si>
  <si>
    <t>JPMorgan Chase — Investment banking fees Y/Y</t>
  </si>
  <si>
    <t>Goldman Sachs — Investment banking fees Y/Y</t>
  </si>
  <si>
    <t>Morgan Stanley — Investment banking fees Y/Y</t>
  </si>
  <si>
    <t>Citigroup — Investment banking fees Y/Y</t>
  </si>
  <si>
    <t>S19 (Citi: Banking revenue)</t>
  </si>
  <si>
    <t>Bank of America — Investment banking fees Y/Y</t>
  </si>
  <si>
    <t>Peer average — FICC Y/Y</t>
  </si>
  <si>
    <t>Peer average — Equities Y/Y</t>
  </si>
  <si>
    <t>Peer average — IB fees Y/Y</t>
  </si>
  <si>
    <t>Barclays capture ratio — FICC (assumption)</t>
  </si>
  <si>
    <t>Assumption: Barclays FICC outgrew US peers in 2025-26 (Q226 +1% Y/Y); damp the decline</t>
  </si>
  <si>
    <t>Barclays capture ratio — Equities (assumption)</t>
  </si>
  <si>
    <t>Assumption: Q226 Barclays equities +45% vs US peers c.+69% (S3, cityam) =&gt; c.0.65; Q/Q seasonal cross-check (Q325/Q225 -21%) implies c.+43%</t>
  </si>
  <si>
    <t>Barclays capture ratio — Banking fees (assumption)</t>
  </si>
  <si>
    <t>Assumption: DCM-heavy mix; GS DCM +15%, ECM +43%, Advisory +18% (S17)</t>
  </si>
  <si>
    <t>GBP/USD average — 3Q25 (memo)</t>
  </si>
  <si>
    <t>S23 BoE daily rates Jul-Sep 2025, c.1.35</t>
  </si>
  <si>
    <t>GBP/USD average — 3Q26 (memo)</t>
  </si>
  <si>
    <t>S22 BoE: £0.7440 per $ quarter average Jul-Sep 26</t>
  </si>
  <si>
    <t>USD translation effect on USD revenues (memo, not issuer-disclosed)</t>
  </si>
  <si>
    <t>Memo only: c.0.4% tailwind; not used as FX decomposition (issuer does not disclose)</t>
  </si>
  <si>
    <t>Income by product (disclosed)</t>
  </si>
  <si>
    <t>FICC — Y/Y growth assumption</t>
  </si>
  <si>
    <t>FICC</t>
  </si>
  <si>
    <t>Equities — Y/Y growth assumption</t>
  </si>
  <si>
    <t>Equities</t>
  </si>
  <si>
    <t>Global Markets</t>
  </si>
  <si>
    <t>Banking fees — Y/Y growth assumption (each line)</t>
  </si>
  <si>
    <t>Advisory</t>
  </si>
  <si>
    <t>Equity capital markets</t>
  </si>
  <si>
    <t>Debt capital markets</t>
  </si>
  <si>
    <t>Banking Fees and Underwriting</t>
  </si>
  <si>
    <t>Assumption £45m: volatile (incl. hedging/fair value); Q126 16, Q226 37, Q325 68 (S3)</t>
  </si>
  <si>
    <t>Transaction banking — Q/Q growth assumption</t>
  </si>
  <si>
    <t>Assumption +1.8% Q/Q (deposit growth; Q226 +3.8%)</t>
  </si>
  <si>
    <t>International Corporate Banking</t>
  </si>
  <si>
    <t>Investment Banking (BF&amp;U + ICB)</t>
  </si>
  <si>
    <t>Income by type (disclosed)</t>
  </si>
  <si>
    <t>S3; assumption £415m (Q226 £411m)</t>
  </si>
  <si>
    <t>S3; assumption £1,240m (lower banking fees vs Q226 £1,276m)</t>
  </si>
  <si>
    <t>Net trading income</t>
  </si>
  <si>
    <t>S3; forecast = total income less NII and fees (derived residual)</t>
  </si>
  <si>
    <t>Total income (sum of types)</t>
  </si>
  <si>
    <t>Check: types less total income (should be 0)</t>
  </si>
  <si>
    <t>Historical columns are genuine checks; 3Q26E net trading income (J86) is the residual, so J is 0 by construction and excluded from Cover!C30</t>
  </si>
  <si>
    <t>Incremental cost ratio on Y/Y income change (assumption)</t>
  </si>
  <si>
    <t>Assumption: variable comp accrues c.30% of incremental income (Q226 Y/Y +£651m income, +£267m costs = 41%)</t>
  </si>
  <si>
    <t>Formula: 3Q25 operating costs less incremental cost ratio x Y/Y income change</t>
  </si>
  <si>
    <t>MRT compensation restructuring (one-off)</t>
  </si>
  <si>
    <t>Assumption: £100-150m H2 26 weighted to IB (S10); ~£45m in Q3</t>
  </si>
  <si>
    <t>Assumption 20bps on L&amp;A at amortised cost (Q226 13bps; Q126 82bps incl. £228m single name; S3)</t>
  </si>
  <si>
    <t>Loans to customers — Q/Q growth assumption</t>
  </si>
  <si>
    <t>Loans and advances to banks at amortised cost</t>
  </si>
  <si>
    <t>S3; forecast held flat</t>
  </si>
  <si>
    <t>Debt securities at amortised cost</t>
  </si>
  <si>
    <t>L&amp;A at amortised cost — opening balance</t>
  </si>
  <si>
    <t>L&amp;A at amortised cost — net lending (closing less opening)</t>
  </si>
  <si>
    <t>Loans and advances at amortised cost (closing)</t>
  </si>
  <si>
    <t>L&amp;A at amortised cost — average (opening/closing)</t>
  </si>
  <si>
    <t>Trading portfolio assets</t>
  </si>
  <si>
    <t>S3; not forecast</t>
  </si>
  <si>
    <t>Derivative financial instrument assets</t>
  </si>
  <si>
    <t>Financial assets at fair value through the income statement</t>
  </si>
  <si>
    <t>Cash collateral and settlement balances</t>
  </si>
  <si>
    <t>Derivative financial instrument liabilities</t>
  </si>
  <si>
    <t>Assumption +1% (ICB deposit growth)</t>
  </si>
  <si>
    <t>Risk weighted assets — Q/Q growth assumption</t>
  </si>
  <si>
    <t>Assumption +1% (IB RWA growth; separate input, intentionally independent of deposit growth J157; original value retained)</t>
  </si>
  <si>
    <t>S3; forecast = I162 x (1 + J161)</t>
  </si>
  <si>
    <t>Risk weighted assets — average (opening/closing)</t>
  </si>
  <si>
    <t>Income over average RWAs (derived, annualised)</t>
  </si>
  <si>
    <t>Income over average RWAs — as reported</t>
  </si>
  <si>
    <t>Segment - US Consumer Bank</t>
  </si>
  <si>
    <t>Assumption -1.0% (retained, unresolved): Q226 average still included 24 days of the AA portfolio (exited 24-Apr-26) partly offset by growth/Best Egg (S3). S3 does not disclose the AA share of the Q226 average, so the average-base simplification is retained. Sensitivity: rebasing to c.0.976x average loans (J77, auditor analysis, not issuer guidance) would lower NII c.£23m and normalized EPS c.0.0013</t>
  </si>
  <si>
    <t>Assumption 13.30%: mix shift after AA exit, Best Egg personal loans (Q226 13.20%, Q126 12.76%)</t>
  </si>
  <si>
    <t>S3 (Q226 6-K quarterly results by business, 8-quarter tables); forecast = underlying + one-off gain (rows below)</t>
  </si>
  <si>
    <t>of which: gain on sale of AA co-brand portfolio (one-off)</t>
  </si>
  <si>
    <t>S3/S4: c.£225m gain in Q226 (recorded in net fee, commission and other income); none in other quarters; none expected Q3</t>
  </si>
  <si>
    <t>Best Egg incremental month (forecast assumption)</t>
  </si>
  <si>
    <t>Assumption: Best Egg consolidated from 1-May-26 (2 months in Q226); +£35m fee income for third month</t>
  </si>
  <si>
    <t>Underlying net fee, commission, trading and other income</t>
  </si>
  <si>
    <t>Reported less AA gain; forecast = 2Q26 underlying + Best Egg third month</t>
  </si>
  <si>
    <t>Assumption: Q226 £442m + Best Egg third month (c.£13m)</t>
  </si>
  <si>
    <t>Loan loss rate — assumption (annualised, on avg loans)</t>
  </si>
  <si>
    <t>Assumption 6.4% (Q226 c.6.5% on avg loans; Q3 card seasonality; US master-trust NCOs edged up in Aug-26, S32)</t>
  </si>
  <si>
    <t>Assumption +1.5%</t>
  </si>
  <si>
    <t>S3 (excludes AA held-for-sale balances before Q226)</t>
  </si>
  <si>
    <t>Segment - Head Office</t>
  </si>
  <si>
    <t>S3; forecast = average of last four quarters</t>
  </si>
  <si>
    <t>S3; forecast = total income forecast less NII forecast</t>
  </si>
  <si>
    <t>Forecast = average of last four quarters (hedge accounting / treasury items are volatile)</t>
  </si>
  <si>
    <t>Assumption £140m (Q226 £163m; Q325 £162m)</t>
  </si>
  <si>
    <t>S3; forecast = average of last four quarters (associates/JV results)</t>
  </si>
  <si>
    <t>S3; forecast = average of 1Q26-2Q26</t>
  </si>
  <si>
    <t>Other</t>
  </si>
  <si>
    <t>Risk weighted assets (£bn)</t>
  </si>
  <si>
    <t>S3; forecast flat</t>
  </si>
  <si>
    <t>Income Statement</t>
  </si>
  <si>
    <t>Income statement (management format, IFRS)</t>
  </si>
  <si>
    <t>Link: Revenue summary</t>
  </si>
  <si>
    <t>Total income — CapIQ revenue actual (Inputs)</t>
  </si>
  <si>
    <t>Link: Inputs history (S2)</t>
  </si>
  <si>
    <t>Check: model total income less CapIQ actual (should be 0)</t>
  </si>
  <si>
    <t>Sum of divisional links</t>
  </si>
  <si>
    <t>Identity (not a check): PBT less sum of divisional PBT (0 by construction)</t>
  </si>
  <si>
    <t>0 by construction: Group lines are sums of the same segment lines; excluded from Cover!C30</t>
  </si>
  <si>
    <t>Effective tax rate — forecast assumption</t>
  </si>
  <si>
    <t>Assumption 21.0%: H126 22.6%; Q3 ETR was lower in 2024 (18.5%) and 2025 (17.6%) (S3, S6); half-weight on Q3 pattern</t>
  </si>
  <si>
    <t>Tax charge</t>
  </si>
  <si>
    <t>S3</t>
  </si>
  <si>
    <t>Profit after tax</t>
  </si>
  <si>
    <t>Non-controlling interests</t>
  </si>
  <si>
    <t>S3; forecast = average of prior Q1/Q3 quarters (NCI distributions fall in Q2/Q4)</t>
  </si>
  <si>
    <t>Other equity instrument holders (AT1 coupons)</t>
  </si>
  <si>
    <t>Attributable profit (net income to ordinary shareholders)</t>
  </si>
  <si>
    <t>Attributable profit — as reported (check input)</t>
  </si>
  <si>
    <t>S3; FY25 £6,175m (S6)</t>
  </si>
  <si>
    <t>Check: attributable less reported (should be 0)</t>
  </si>
  <si>
    <t>Per share (GBP per ordinary share)</t>
  </si>
  <si>
    <t>Basic weighted average shares (m)</t>
  </si>
  <si>
    <t>Link: Share Count</t>
  </si>
  <si>
    <t>Diluted weighted average shares (m)</t>
  </si>
  <si>
    <t>Basic EPS (GBP) — IFRS</t>
  </si>
  <si>
    <t>Diluted EPS (GBP) — IFRS (GAAP diluted)</t>
  </si>
  <si>
    <t>Quarterly diluted shares are estimates (see Share Count); H1/FY tie to reported diluted EPS</t>
  </si>
  <si>
    <t>Basic EPS — as reported (pence)</t>
  </si>
  <si>
    <t>S3, S6</t>
  </si>
  <si>
    <t>Check: model basic EPS less reported (GBP, rounding tolerance 0.0005)</t>
  </si>
  <si>
    <t>Identity (not a check): EPS = attributable / diluted shares</t>
  </si>
  <si>
    <t>0 by construction: row 59 is defined as row 47 / row 55; excluded from Cover!C30</t>
  </si>
  <si>
    <t>GAAP (IFRS) to normalized bridge — CapIQ consensus basis</t>
  </si>
  <si>
    <t>Attributable profit — IFRS</t>
  </si>
  <si>
    <t>Adj: gain on sale of AA portfolio (after tax)</t>
  </si>
  <si>
    <t>0 on CapIQ basis: CapIQ normalized actual 2Q26 = 0.17 equals reported basic EPS 16.7p incl. the c.£225m gain (Inputs/S2)</t>
  </si>
  <si>
    <t>Adj: motor finance / litigation and conduct provisions</t>
  </si>
  <si>
    <t>0 on CapIQ basis: 3Q25 actual 0.10 = reported 10.4p incl. £235m motor finance charge (S2/S3)</t>
  </si>
  <si>
    <t>Adj: structural cost actions (restructuring)</t>
  </si>
  <si>
    <t>0: Barclays reports all-in; CapIQ history not adjusted</t>
  </si>
  <si>
    <t>Adj: UK regulatory levies</t>
  </si>
  <si>
    <t>0: recurring item, not excluded on CapIQ basis</t>
  </si>
  <si>
    <t>Normalized attributable profit (CapIQ basis)</t>
  </si>
  <si>
    <t>Memo (not modelled): frozen CapIQ consensus implies c.£25m normalized-vs-GAAP gap (net income excl. exceptionals £1,667.3m vs GAAP £1,642.2m, Inputs D78/D79); no 3Q26 exclusion forecast — zero bridge per 6/6-quarter history (unresolved)</t>
  </si>
  <si>
    <t>Normalized EPS (GBP) — CapIQ consensus basis</t>
  </si>
  <si>
    <t>CapIQ "normalized diluted" history equals Barclays reported basic EPS (attributable / basic weighted shares); see Inputs</t>
  </si>
  <si>
    <t>Normalized EPS (GBP, 4dp memo)</t>
  </si>
  <si>
    <t>CapIQ normalized EPS actual (Inputs)</t>
  </si>
  <si>
    <t>Link: Inputs history</t>
  </si>
  <si>
    <t>Check: model normalized EPS (2dp) less CapIQ actual (should be 0)</t>
  </si>
  <si>
    <t>Growth and margins</t>
  </si>
  <si>
    <t>Cost: income ratio</t>
  </si>
  <si>
    <t>Pre-tax margin (PBT / total income)</t>
  </si>
  <si>
    <t>Attributable margin (attributable / total income)</t>
  </si>
  <si>
    <t>Effective tax rate</t>
  </si>
  <si>
    <t>Return on average tangible shareholders' equity — as reported</t>
  </si>
  <si>
    <t>S3 (reported in bps)</t>
  </si>
  <si>
    <t>Balance Sheet</t>
  </si>
  <si>
    <t>Assets</t>
  </si>
  <si>
    <t>Cash and balances at central banks</t>
  </si>
  <si>
    <t>S9 (Mar25), S8 (Jun25), S7 (Sep25), S5 (Dec25, Mar26), S3 (Jun26) condensed consolidated balance sheets. 3Q26E = balancing item</t>
  </si>
  <si>
    <t>Loans and advances at amortised cost to banks</t>
  </si>
  <si>
    <t>Loans and advances at amortised cost to customers</t>
  </si>
  <si>
    <t>Forecast = 2Q26 + change in divisional loans to customers (links to segment tabs)</t>
  </si>
  <si>
    <t>Reverse repurchase agreements at amortised cost</t>
  </si>
  <si>
    <t>Financial assets at FV through the income statement</t>
  </si>
  <si>
    <t>Derivative financial instruments</t>
  </si>
  <si>
    <t>Financial assets at FV through OCI</t>
  </si>
  <si>
    <t>Investments in associates and joint ventures</t>
  </si>
  <si>
    <t>Goodwill and intangible assets</t>
  </si>
  <si>
    <t>Current tax assets</t>
  </si>
  <si>
    <t>Deferred tax assets</t>
  </si>
  <si>
    <t>Assets in disposal groups held for sale</t>
  </si>
  <si>
    <t>Other assets (incl. PP&amp;E and retirement benefit assets)</t>
  </si>
  <si>
    <t>Condensed quarterly format; Jun/Dec = sum of detail rows below</t>
  </si>
  <si>
    <t>of which: property, plant and equipment</t>
  </si>
  <si>
    <t>H1/FY detailed balance sheet only (S8, S3)</t>
  </si>
  <si>
    <t>of which: retirement benefit assets</t>
  </si>
  <si>
    <t>of which: other assets (residual)</t>
  </si>
  <si>
    <t>Total assets</t>
  </si>
  <si>
    <t>Total assets — as reported (check input)</t>
  </si>
  <si>
    <t>Check: total assets less reported (should be 0)</t>
  </si>
  <si>
    <t>Liabilities</t>
  </si>
  <si>
    <t>Deposits at amortised cost from banks</t>
  </si>
  <si>
    <t>Deposits at amortised cost from customers</t>
  </si>
  <si>
    <t>Forecast = 2Q26 + change in divisional deposits (links to segment tabs). Period-end only: average deposits n.d. (not disclosed in cached issuer sources); metric target average_deposits recorded unavailable</t>
  </si>
  <si>
    <t>Repurchase agreements at amortised cost</t>
  </si>
  <si>
    <t>Debt securities in issue</t>
  </si>
  <si>
    <t>Subordinated liabilities</t>
  </si>
  <si>
    <t>Trading portfolio liabilities</t>
  </si>
  <si>
    <t>Financial liabilities designated at fair value</t>
  </si>
  <si>
    <t>Current tax liabilities</t>
  </si>
  <si>
    <t>Deferred tax liabilities</t>
  </si>
  <si>
    <t>Liabilities in disposal groups held for sale</t>
  </si>
  <si>
    <t>Other liabilities (incl. provisions and retirement benefit liabilities)</t>
  </si>
  <si>
    <t>of which: retirement benefit liabilities</t>
  </si>
  <si>
    <t>of which: provisions</t>
  </si>
  <si>
    <t>Includes motor finance provision £430m at Jun-26 (S4)</t>
  </si>
  <si>
    <t>of which: other liabilities (residual)</t>
  </si>
  <si>
    <t>Total liabilities</t>
  </si>
  <si>
    <t>Total liabilities — as reported (check input)</t>
  </si>
  <si>
    <t>Check: total liabilities less reported (should be 0)</t>
  </si>
  <si>
    <t>Equity</t>
  </si>
  <si>
    <t>Called up share capital and share premium</t>
  </si>
  <si>
    <t>Other reserves</t>
  </si>
  <si>
    <t>Forecast: no OCI assumed (n.f. of hedge reserve moves)</t>
  </si>
  <si>
    <t>Retained earnings</t>
  </si>
  <si>
    <t>Forecast = 2Q26 + 3Q26E attributable profit - interim dividend paid - buyback cost (links)</t>
  </si>
  <si>
    <t>Shareholders' equity attributable to ordinary shareholders</t>
  </si>
  <si>
    <t>Other equity instruments (AT1)</t>
  </si>
  <si>
    <t>Total equity excluding non-controlling interests</t>
  </si>
  <si>
    <t>Total equity</t>
  </si>
  <si>
    <t>Total liabilities and equity</t>
  </si>
  <si>
    <t>Check: assets - liabilities - equity (should be 0)</t>
  </si>
  <si>
    <t>Historical columns are genuine checks; 3Q26E balances by construction through the cash plug J10, so J is excluded from Cover!C30</t>
  </si>
  <si>
    <t>3Q26E balancing item: cash and balances at central banks is the plug (other lines held flat or driven by segments)</t>
  </si>
  <si>
    <t>Balance sheet ratios</t>
  </si>
  <si>
    <t>Loans to customers / customer deposits</t>
  </si>
  <si>
    <t>Tangible equity (ordinary SH equity less goodwill &amp; intangibles)</t>
  </si>
  <si>
    <t>TNAV per share (GBP, derived)</t>
  </si>
  <si>
    <t>Reported TNAV/share: 372p, 384p, 392p, 409p, 405p, 423p (S3)</t>
  </si>
  <si>
    <t>Cash Flow Statement</t>
  </si>
  <si>
    <t>1H25A</t>
  </si>
  <si>
    <t>2H25A</t>
  </si>
  <si>
    <t>1H26A</t>
  </si>
  <si>
    <t>Statement period covered</t>
  </si>
  <si>
    <t>Not published</t>
  </si>
  <si>
    <t>6M H1 25</t>
  </si>
  <si>
    <t>H2 25 (calc.)</t>
  </si>
  <si>
    <t>12M FY25</t>
  </si>
  <si>
    <t>6M H1 26</t>
  </si>
  <si>
    <t>Not forecast</t>
  </si>
  <si>
    <t>Barclays publishes a cash flow statement only at H1 and FY (S8, S6, S3); H2 25 = FY25 less H1 25</t>
  </si>
  <si>
    <t>Operating activities</t>
  </si>
  <si>
    <t>n.p.</t>
  </si>
  <si>
    <t>Adjustment for non-cash and other items</t>
  </si>
  <si>
    <t>Net (increase)/decrease in loans and advances at amortised cost</t>
  </si>
  <si>
    <t>Net increase in deposits at amortised cost</t>
  </si>
  <si>
    <t>Net increase/(decrease) in debt securities in issue</t>
  </si>
  <si>
    <t>Changes in other operating assets and liabilities</t>
  </si>
  <si>
    <t>Corporate income tax paid</t>
  </si>
  <si>
    <t>Net cash from operating activities</t>
  </si>
  <si>
    <t>S8, S6, S3</t>
  </si>
  <si>
    <t>Net cash from operating activities — as reported (check input)</t>
  </si>
  <si>
    <t>D/G/I as reported (S8, S6, S3). F19 is derived (H2 25 = FY less H1), so F20 restates D20/G20 and is excluded from Cover!C30</t>
  </si>
  <si>
    <t>Check: operating cash flow less reported (should be 0)</t>
  </si>
  <si>
    <t>Investing and financing activities</t>
  </si>
  <si>
    <t>Net cash from investing activities</t>
  </si>
  <si>
    <t>Capex (purchase of PP&amp;E) not separately shown in condensed statement — capex/FCF unavailable</t>
  </si>
  <si>
    <t>of which: purchase of PP&amp;E and investment in intangibles (capex)</t>
  </si>
  <si>
    <t>S34 (FY25 20-F consolidated cash flow); not shown in H1 condensed statements</t>
  </si>
  <si>
    <t>Net cash from financing activities</t>
  </si>
  <si>
    <t>Effect of exchange rates on cash and cash equivalents</t>
  </si>
  <si>
    <t>Net increase in cash and cash equivalents</t>
  </si>
  <si>
    <t>Cash and cash equivalents at beginning of period</t>
  </si>
  <si>
    <t>H2 25 opening = H1 25 closing; H1 26 opening = FY25 closing</t>
  </si>
  <si>
    <t>Cash and cash equivalents at end of period</t>
  </si>
  <si>
    <t>Cash and cash equivalents at end — as reported (check input)</t>
  </si>
  <si>
    <t>D/G/I as reported. F29 is derived (= FY25 closing G29), so F30 restates G30 and is excluded from Cover!C30</t>
  </si>
  <si>
    <t>Check: closing cash and cash equivalents less reported (should be 0)</t>
  </si>
  <si>
    <t>Ties to other statements</t>
  </si>
  <si>
    <t>Profit before tax — Income Statement (link)</t>
  </si>
  <si>
    <t>Check: cash flow PBT less Income Statement PBT (should be 0)</t>
  </si>
  <si>
    <t>F34 is derived (H2 = FY less H1 on both sides), restating G34 less D34; excluded from Cover!C30</t>
  </si>
  <si>
    <t>Cash and balances at central banks — Balance Sheet (link)</t>
  </si>
  <si>
    <t>Change in Balance Sheet cash and balances at central banks</t>
  </si>
  <si>
    <t>Dec-24 cash at central banks £210,184m (S9 comparative)</t>
  </si>
  <si>
    <t>Cash and balances at central banks at 31-Dec-24 (opening, input)</t>
  </si>
  <si>
    <t>S9 / S8 comparative column</t>
  </si>
  <si>
    <t>CCE component: loans and advances to banks &lt;=3 months</t>
  </si>
  <si>
    <t>S34 20-F note: CCE composition (year-end only)</t>
  </si>
  <si>
    <t>CCE component: cash collateral with central banks &lt;=3 months</t>
  </si>
  <si>
    <t>S34</t>
  </si>
  <si>
    <t>CCE component: treasury and other eligible bills &lt;=3 months</t>
  </si>
  <si>
    <t>Cash and cash equivalents per Balance Sheet cash + disclosed components</t>
  </si>
  <si>
    <t>Check: CCE (cash flow) less Balance Sheet cash and components at period end (should be 0)</t>
  </si>
  <si>
    <t>F42 is derived (H2 closing = FY25 closing), restating G42; excluded from Cover!C30</t>
  </si>
  <si>
    <t>Opening (31-Dec-24) component: loans and advances to banks &lt;=3 months</t>
  </si>
  <si>
    <t>Opening (31-Dec-24) component: cash collateral with central banks &lt;=3 months</t>
  </si>
  <si>
    <t>Opening (31-Dec-24) component: treasury and other eligible bills &lt;=3 months</t>
  </si>
  <si>
    <t>Opening CCE per Balance Sheet cash (31-Dec-24) + components</t>
  </si>
  <si>
    <t>Check: opening CCE less opening Balance Sheet cash and components (should be 0)</t>
  </si>
  <si>
    <t>Check: change in CCE (cash flow) less change in Balance Sheet cash and components (should be 0)</t>
  </si>
  <si>
    <t>Other cash equivalents (CCE less central bank cash; definitional difference)</t>
  </si>
  <si>
    <t>CCE also include short-dated loans to banks/securities; issuer does not publish the reconciliation in the condensed statements</t>
  </si>
  <si>
    <t>Identity (not a check): CCE roll-forward (opening + net change - closing)</t>
  </si>
  <si>
    <t>0 by construction: closing CCE (row 28) is defined as opening + net change; excluded from Cover!C30</t>
  </si>
  <si>
    <t>Identity (not a check): H2 25 opening = H1 25 closing; H1 26 opening = FY25 closing</t>
  </si>
  <si>
    <t>0 by construction: openings F27/I27 link to D28/G28; excluded from Cover!C30</t>
  </si>
  <si>
    <t>Share Count</t>
  </si>
  <si>
    <t>Millions of ordinary shares, except per share (GBP)</t>
  </si>
  <si>
    <t>Reported share data</t>
  </si>
  <si>
    <t>Period-end number of shares</t>
  </si>
  <si>
    <t>S3 quarterly results summary</t>
  </si>
  <si>
    <t>Basic weighted average shares</t>
  </si>
  <si>
    <t>S3; FY25 from S6 EPS note</t>
  </si>
  <si>
    <t>Dilution (diluted EPS disclosed at H1 and FY only)</t>
  </si>
  <si>
    <t>H1 attributable profit (£m) — 6M</t>
  </si>
  <si>
    <t>Link: Income Statement</t>
  </si>
  <si>
    <t>H1 diluted EPS — reported (pence)</t>
  </si>
  <si>
    <t>S8 (H125), S3/S4 (H126)</t>
  </si>
  <si>
    <t>H1 basic weighted average shares — reported</t>
  </si>
  <si>
    <t>S8, S4</t>
  </si>
  <si>
    <t>H1 implied diluted weighted average shares</t>
  </si>
  <si>
    <t>Derived: attributable / diluted EPS (rounded EPS =&gt; approx. +/-25m)</t>
  </si>
  <si>
    <t>H1 implied potential ordinary shares</t>
  </si>
  <si>
    <t>FY25 diluted weighted average shares — reported</t>
  </si>
  <si>
    <t>S6 EPS note</t>
  </si>
  <si>
    <t>Potential dilutive ordinary shares (applied)</t>
  </si>
  <si>
    <t>H1 quarters use H1 disclosure (D22); 3Q25/4Q25 use H2-implied dilution = (FY avg dilution x FY days - H1 dilution x H1 days) / H2 days (c.444m), so day-weighted quarters tie to reported FY25 diluted 14,604m; 1Q26-3Q26 use H1 26 (I22). Quarterly diluted shares not disclosed; historical GAAP diluted only</t>
  </si>
  <si>
    <t>Diluted weighted average shares</t>
  </si>
  <si>
    <t>Capital returns</t>
  </si>
  <si>
    <t>Share buybacks announced with results (£m)</t>
  </si>
  <si>
    <t>S3/S6: FY25 buybacks £2.5bn; H126 £1.5bn</t>
  </si>
  <si>
    <t>Dividend per share declared (pence)</t>
  </si>
  <si>
    <t>S8/S6/S4: interim 3.0p (H125), final 5.6p (FY25), interim 5.9p (H126); no Q3 declaration</t>
  </si>
  <si>
    <t>3Q26E forecast share bridge</t>
  </si>
  <si>
    <t>Shares repurchased 29-Jul to 18-Sep-26 (m)</t>
  </si>
  <si>
    <t>S25 RNS 21-Sep-26: aggregate 111,198,171 shares</t>
  </si>
  <si>
    <t>VWAP of repurchases to 18-Sep-26 (GBP)</t>
  </si>
  <si>
    <t>S25: 498.5216p</t>
  </si>
  <si>
    <t>Shares repurchased 14-18 Sep-26 (m)</t>
  </si>
  <si>
    <t>S25</t>
  </si>
  <si>
    <t>Trading days 14-18 Sep-26</t>
  </si>
  <si>
    <t>Calendar count (Mon-Fri)</t>
  </si>
  <si>
    <t>Daily repurchase rate (m/day)</t>
  </si>
  <si>
    <t>Remaining trading days 21-30 Sep-26</t>
  </si>
  <si>
    <t>Calendar count</t>
  </si>
  <si>
    <t>Assumed price for remaining purchases (GBP)</t>
  </si>
  <si>
    <t>Assumption: LSE close £4.62 on 18-Sep-26 (S35, MarketWatch); price affects buyback cash only, not share count</t>
  </si>
  <si>
    <t>Shares repurchased in 3Q26 (m)</t>
  </si>
  <si>
    <t>Buyback cash cost in 3Q26 (£m)</t>
  </si>
  <si>
    <t>Employee share issuance in 3Q26 (m) — assumption</t>
  </si>
  <si>
    <t>Assumption 0: 4Q25 period-end change (-129m) matched the £500m buyback, i.e. negligible H2 issuance (S3)</t>
  </si>
  <si>
    <t>Weighted-average timing factor for repurchases (assumption)</t>
  </si>
  <si>
    <t>Assumption (forward judgment, retained): pro-rata timing from 29-Jul = 0.35; 3Q25 implied 0.73; use 0.50. Sensitivity: at 0.73 basic WA shares c.13,406m and normalized EPS c.0.1215 (+0.0003); at 4-quarter implied avg 0.86 c.0.1217. Not changed to target consensus</t>
  </si>
  <si>
    <t>Interim dividend paid in 3Q26 (£m)</t>
  </si>
  <si>
    <t>H126 interim 5.9p paid Sep-26 x forecast weighted shares (approximation of record-date shares)</t>
  </si>
  <si>
    <t>Share count behind forecast EPS — basic (m)</t>
  </si>
  <si>
    <t>Share count behind forecast EPS — diluted (m)</t>
  </si>
  <si>
    <t>Guidance</t>
  </si>
  <si>
    <t>GBP millions unless stated; ratios as %</t>
  </si>
  <si>
    <t>Date given</t>
  </si>
  <si>
    <t>Low</t>
  </si>
  <si>
    <t>High</t>
  </si>
  <si>
    <t>Midpoint</t>
  </si>
  <si>
    <t>Actual</t>
  </si>
  <si>
    <t>Beat / miss</t>
  </si>
  <si>
    <t>Source</t>
  </si>
  <si>
    <t>Group NII excl. IB &amp; Head Office (floor "&gt;")</t>
  </si>
  <si>
    <t>FY25</t>
  </si>
  <si>
    <t>S9</t>
  </si>
  <si>
    <t>Raised from c.£12.2bn at Q125</t>
  </si>
  <si>
    <t>S7</t>
  </si>
  <si>
    <t>Raised at Q325</t>
  </si>
  <si>
    <t>Barclays UK NII (floor "&gt;")</t>
  </si>
  <si>
    <t>S6/S7</t>
  </si>
  <si>
    <t>FY25 RA: "meeting 2025 guidance of &gt;£7.6bn"</t>
  </si>
  <si>
    <t>Group RoTE (floor "&gt;")</t>
  </si>
  <si>
    <t>S7/S6</t>
  </si>
  <si>
    <t>FY25 RoTE 11.3% (S6)</t>
  </si>
  <si>
    <t>Group cost: income ratio (c.)</t>
  </si>
  <si>
    <t>c.61%: approximate guide compared at its whole-percent precision (60.9% rounds to 61%), so In line rather than a precise beat</t>
  </si>
  <si>
    <t>Group total income (c.)</t>
  </si>
  <si>
    <t>FY26</t>
  </si>
  <si>
    <t>Pending</t>
  </si>
  <si>
    <t>S6</t>
  </si>
  <si>
    <t>FY25 results / 2028 targets update</t>
  </si>
  <si>
    <t>S4</t>
  </si>
  <si>
    <t>Upgraded at H126; H126 actual £16,501m</t>
  </si>
  <si>
    <t>Superseded Jul-26</t>
  </si>
  <si>
    <t>H126 actual £6,768m</t>
  </si>
  <si>
    <t>Barclays UK NII (range; "around the middle")</t>
  </si>
  <si>
    <t>S4/S10</t>
  </si>
  <si>
    <t>H126 actual £3,986m; Q3 BUK NII growth guided (S10)</t>
  </si>
  <si>
    <t>Group cost: income ratio ("high 50s"; interpreted 57-59%)</t>
  </si>
  <si>
    <t>S4/S11</t>
  </si>
  <si>
    <t>Reiterated 14-Sep-26 incl. extra SCAs</t>
  </si>
  <si>
    <t>Group loan loss rate (around top of 50-60bps)</t>
  </si>
  <si>
    <t>Expected around the top of the range</t>
  </si>
  <si>
    <t>H126 14.8%</t>
  </si>
  <si>
    <t>Structural cost actions in quarter (c.)</t>
  </si>
  <si>
    <t>3Q26</t>
  </si>
  <si>
    <t>S12/S11</t>
  </si>
  <si>
    <t>"£250m in each quarter; in Q3 half for BUK" — used in segment cost builds</t>
  </si>
  <si>
    <t>MRT compensation restructuring (H2, IB-weighted)</t>
  </si>
  <si>
    <t>H2 26</t>
  </si>
  <si>
    <t>S10</t>
  </si>
  <si>
    <t>One-off; ~£45m assumed in 3Q26 (IB tab)</t>
  </si>
  <si>
    <t>Derived: FY26 income guidance implied H2 quarterly average (proxy for 3Q26)</t>
  </si>
  <si>
    <t>3Q26 (derived)</t>
  </si>
  <si>
    <t>S4 (derived)</t>
  </si>
  <si>
    <t>Not issuer quarterly guidance: (c.£31.5bn - H126 income)/2. Barclays gives no quarterly EPS or net income guidance</t>
  </si>
  <si>
    <t>Track record: Barclays met or beat every FY25 guide shown above; company-compiled consensus PBT was beaten in Q226 (£3,252m vs £3,116m, S13) and missed in Q325 (£2,077m vs £2,115m, S14) on a £235m motor finance charge.</t>
  </si>
  <si>
    <t>Memo: 3Q26E SCA allocated in segment cost builds (sum of segment inputs), £m</t>
  </si>
  <si>
    <t>Non-BUK split is a modeller judgment (retained); BUK = half of c.£250m per S11</t>
  </si>
  <si>
    <t>Memo: residual vs guided c.£250m (G23 less G29), £m — unallocated judgment, not a check</t>
  </si>
  <si>
    <t>Retained: guidance is approximate ("broadly split" Q3/Q4, S11). Booking the £5m would lower EPS by c.£0.0003</t>
  </si>
  <si>
    <t>Sources</t>
  </si>
  <si>
    <t>Publication and retrieval dates in UTC; all sources published before the 2026-10-18T21:34:46Z cutoff unless flagged</t>
  </si>
  <si>
    <t>ID</t>
  </si>
  <si>
    <t>Publication date</t>
  </si>
  <si>
    <t>Publisher</t>
  </si>
  <si>
    <t>URL or file</t>
  </si>
  <si>
    <t>What it feeds</t>
  </si>
  <si>
    <t>Retrieved (UTC)</t>
  </si>
  <si>
    <t>S1</t>
  </si>
  <si>
    <t>S&amp;P Capital IQ (supplied)</t>
  </si>
  <si>
    <t>BARC_consensus.json (sha256 34dca3f1…)</t>
  </si>
  <si>
    <t>Inputs summary row; Cover consensus; prior calibration</t>
  </si>
  <si>
    <t>S2</t>
  </si>
  <si>
    <t>BARC_history.csv (sha256 ef5497bc…)</t>
  </si>
  <si>
    <t>Inputs history; IS revenue/EPS checks; beat history</t>
  </si>
  <si>
    <t>Barclays PLC / SEC (Form 6-K)</t>
  </si>
  <si>
    <t>https://www.sec.gov/Archives/edgar/data/312069/000031206926000201/bcs-20260630_d2.htm</t>
  </si>
  <si>
    <t>All 8-quarter divisional &amp; group tables, margins &amp; balances, Jun-26 balance sheet, H126 cash flow</t>
  </si>
  <si>
    <t>https://home.barclays/content/dam/home-barclays/documents/investor-relations/ResultAnnouncements/H12026Results/Q226-BPLC-Results-RA.pdf</t>
  </si>
  <si>
    <t>FY26 guidance, AA gain, Best Egg, motor finance provision</t>
  </si>
  <si>
    <t>S5</t>
  </si>
  <si>
    <t>https://www.sec.gov/Archives/edgar/data/312069/000031206926000100/bplcq126resultsannouncement.htm</t>
  </si>
  <si>
    <t>Mar-26 and Dec-25 condensed balance sheets; Q126 income statement</t>
  </si>
  <si>
    <t>https://home.barclays/content/dam/home-barclays/documents/investor-relations/ResultAnnouncements/FullYear2025Results/FY25-BPLC-Results-RA.pdf</t>
  </si>
  <si>
    <t>FY25 income statement, cash flow, EPS note (diluted shares), Q125 margins</t>
  </si>
  <si>
    <t>https://www.sec.gov/Archives/edgar/data/312069/000031206925000570/bplcq325resultsannouncement.htm</t>
  </si>
  <si>
    <t>Sep-25 balance sheet; FY25 guidance updates</t>
  </si>
  <si>
    <t>S8</t>
  </si>
  <si>
    <t>https://home.barclays/content/dam/home-barclays/documents/investor-relations/ResultAnnouncements/H12025Results/H125-BPLC-Results-RA.pdf</t>
  </si>
  <si>
    <t>Jun-25 balance sheet; H125 cash flow; H125 diluted EPS</t>
  </si>
  <si>
    <t>https://home.barclays/content/dam/home-barclays/documents/investor-relations/ResultAnnouncements/Q12025Results/Q125-BPLC-Results-RA.pdf</t>
  </si>
  <si>
    <t>Mar-25 balance sheet; Dec-24 comparatives; FY25 guidance</t>
  </si>
  <si>
    <t>https://home.barclays/content/dam/home-barclays/documents/investor-relations/ResultAnnouncements/H12026Results/Q226-Sellside-Analyst-Meeting-Transcript.pdf</t>
  </si>
  <si>
    <t>Q3 BUK product margin/NII guidance; SCAs; MRT compensation</t>
  </si>
  <si>
    <t>S11</t>
  </si>
  <si>
    <t>https://home.barclays/content/dam/home-barclays/documents/investor-relations/IRNewsPresentations/2026News/Barclays%2024th%20Annual%20Global%20Financial%20Services%20Conference%202026%20transcript.pdf</t>
  </si>
  <si>
    <t>SCA £500m H2 split Q3/Q4; half of Q3 in BUK; CIR high 50s reiterated</t>
  </si>
  <si>
    <t>S12</t>
  </si>
  <si>
    <t>https://home.barclays/content/dam/home-barclays/documents/investor-relations/IRNewsPresentations/2026News/BofA%2031st%20Annual%20Financials%20CEO%20Conference%20Transcript.pdf</t>
  </si>
  <si>
    <t>£250m SCA per quarter; BUK NII drivers; bank surcharge sensitivity c.£35m per 1pt</t>
  </si>
  <si>
    <t>S13</t>
  </si>
  <si>
    <t>Barclays PLC (company-compiled consensus)</t>
  </si>
  <si>
    <t>https://home.barclays/content/dam/home-barclays/documents/investor-relations/consensus/20260717-Barclays-Pre-Q226-Consensus.pdf</t>
  </si>
  <si>
    <t>Q226 consensus vs actual (track record)</t>
  </si>
  <si>
    <t>S14</t>
  </si>
  <si>
    <t>https://home.barclays/content/dam/home-barclays/documents/investor-relations/consensus/20251010-Barclays-PLC-Consensus.pdf</t>
  </si>
  <si>
    <t>Q325 consensus vs actual (track record)</t>
  </si>
  <si>
    <t>S15</t>
  </si>
  <si>
    <t>Barclays PLC via PUBT</t>
  </si>
  <si>
    <t>https://www.pubt.io/view/672C9FB10B6D76D4ECED9A6B1E0D71BB0371BF23</t>
  </si>
  <si>
    <t>Q3 2026 company-compiled consensus exists; contents not retrievable — unavailable</t>
  </si>
  <si>
    <t>JPMorgan Chase / SEC</t>
  </si>
  <si>
    <t>https://www.sec.gov/Archives/edgar/data/19617/000162828026065582/a3q26erfexhibit991narrative.htm</t>
  </si>
  <si>
    <t>Peer: FICC -4%, Equities +49%, IB fees +14% (Y/Y)</t>
  </si>
  <si>
    <t>Goldman Sachs</t>
  </si>
  <si>
    <t>https://www.goldmansachs.com/pressroom/press-releases/current/pdfs/2026-q3-results.pdf</t>
  </si>
  <si>
    <t>Peer: FICC -1%, Equities +72%, IB fees +21%</t>
  </si>
  <si>
    <t>Morgan Stanley / The Desk</t>
  </si>
  <si>
    <t>https://www.thedeskresearch.com/publications/big-us-banks-third-quarter-stock-trading-leads-d1a44624</t>
  </si>
  <si>
    <t>Peer: Equity +41%, Fixed Income -7%, IB +2%</t>
  </si>
  <si>
    <t>Citigroup</t>
  </si>
  <si>
    <t>https://www.citigroup.com/rcs/citigpa/storage/public/Earnings/Q32026/2026psqtr3rslt.pdf</t>
  </si>
  <si>
    <t>Peer: Fixed income +4%, Equities +14%, Banking +6%</t>
  </si>
  <si>
    <t>Bank of America / Motley Fool transcript</t>
  </si>
  <si>
    <t>https://www.fool.com/earnings/call-transcripts/2026/10/14/bofa-bac-q3-2026-earnings-call-transcript/</t>
  </si>
  <si>
    <t>Peer: FICC -17%, Equities +10%, IB fees -11%</t>
  </si>
  <si>
    <t>S21</t>
  </si>
  <si>
    <t>The Desk</t>
  </si>
  <si>
    <t>Peer summary (IB fees by bank)</t>
  </si>
  <si>
    <t>S22</t>
  </si>
  <si>
    <t>Bank of England database</t>
  </si>
  <si>
    <t>https://www.bankofengland.co.uk/boeapps/database/Rates.asp?into=USD&amp;rateview=A</t>
  </si>
  <si>
    <t>Q3 26 average £0.7440 per USD (GBP/USD 1.3441)</t>
  </si>
  <si>
    <t>S23</t>
  </si>
  <si>
    <t>undated</t>
  </si>
  <si>
    <t>Pound Sterling Live (BoE reference rates 2025)</t>
  </si>
  <si>
    <t>https://www.poundsterlinglive.com/bank-of-england-spot/historical-spot-exchange-rates/usd/GBP-to-USD-2025</t>
  </si>
  <si>
    <t>Q3 25 GBP/USD c.1.35 (memo only)</t>
  </si>
  <si>
    <t>S24</t>
  </si>
  <si>
    <t>Bank of England</t>
  </si>
  <si>
    <t>https://www.bankofengland.co.uk/monetary-policy-summary-and-minutes/2026/september-2026</t>
  </si>
  <si>
    <t>Bank Rate 3.75% held; swap/gilt yields higher (hedge reinvestment context)</t>
  </si>
  <si>
    <t>Barclays PLC RNS via Investegate</t>
  </si>
  <si>
    <t>https://www.investegate.co.uk/announcement/rns/barclays--barc/transaction-in-own-shares/9781583</t>
  </si>
  <si>
    <t>Buyback progress: 111.2m shares at 498.52p to 18-Sep-26</t>
  </si>
  <si>
    <t>S26</t>
  </si>
  <si>
    <t>TipRanks</t>
  </si>
  <si>
    <t>https://www.tipranks.com/stocks/gb:barc/market-cap</t>
  </si>
  <si>
    <t>Market cap £57.68bn (16-Oct-26) for size prior</t>
  </si>
  <si>
    <t>S27</t>
  </si>
  <si>
    <t>Investing.com</t>
  </si>
  <si>
    <t>https://www.investing.com/equities/barclays-earnings</t>
  </si>
  <si>
    <t>Other consensus EPS 0.122 / revenue £7.62bn (recorded separately)</t>
  </si>
  <si>
    <t>S28</t>
  </si>
  <si>
    <t>https://home.barclays/investor-relations/reports-and-events/financial-calendar/</t>
  </si>
  <si>
    <t>Issuer calendar: Q3 2026 results 22-Oct-26 (not yet released at cutoff)</t>
  </si>
  <si>
    <t>S29</t>
  </si>
  <si>
    <t>MarketScreener</t>
  </si>
  <si>
    <t>https://ae.marketscreener.com/news/barclays-raises-key-targets-ce7f51dddb8ff12c</t>
  </si>
  <si>
    <t>Income by geography % (FY25) on Revenue summary</t>
  </si>
  <si>
    <t>S30</t>
  </si>
  <si>
    <t>Law360 / FCA</t>
  </si>
  <si>
    <t>https://www.law360.com/amp/articles/2537819</t>
  </si>
  <si>
    <t>Motor finance: Upper Tribunal hearings delayed; no new Q3 provision evidence</t>
  </si>
  <si>
    <t>S31</t>
  </si>
  <si>
    <t>CNBC</t>
  </si>
  <si>
    <t>https://www.cnbc.com/2026/10/16/banking-tax-london-uk-lenders.html</t>
  </si>
  <si>
    <t>Possible bank surcharge rise in 28-Oct budget (affects future tax, not Q3 P&amp;L)</t>
  </si>
  <si>
    <t>S32</t>
  </si>
  <si>
    <t>Yahoo Finance (Zacks)</t>
  </si>
  <si>
    <t>https://finance.yahoo.com/markets/stocks/articles/u-card-issuers-delinquencies-ncos-173300020.html</t>
  </si>
  <si>
    <t>US card master-trust delinquencies/NCOs Aug-26 (USCB impairment context)</t>
  </si>
  <si>
    <t>S33</t>
  </si>
  <si>
    <t>Investing.com (Sep-26 downgrade note)</t>
  </si>
  <si>
    <t>https://www.investing.com/news/stock-market-news/why-is-barclays-stock-sliding-today-93CH-4883767</t>
  </si>
  <si>
    <t>BofA downgrade 1-Sep-26; FY26 revenue estimate £31.5bn</t>
  </si>
  <si>
    <t>Barclays PLC / SEC (Form 20-F 2025, XBRL R9)</t>
  </si>
  <si>
    <t>https://www.sec.gov/Archives/edgar/data/312069/000031206926000004/R9.htm</t>
  </si>
  <si>
    <t>FY25 cash and cash equivalents composition; FY25 capex</t>
  </si>
  <si>
    <t>S35</t>
  </si>
  <si>
    <t>MarketWatch</t>
  </si>
  <si>
    <t>https://www.marketwatch.com/data-news/barclays-falls-friday-underperforms-market-be297ae7-6a0fb3845030</t>
  </si>
  <si>
    <t>Share Count!J40 buyback price: 'shares shed 3.48% to £4.62 Friday' (article 18-Sep-26, 12:05 p.m. ET); retrieved from cached search result, no page snapshot</t>
  </si>
  <si>
    <t>P1</t>
  </si>
  <si>
    <t>Forecasting playbook (supplied)</t>
  </si>
  <si>
    <t>forecasting-playbook.md</t>
  </si>
  <si>
    <t>Method; size prior; pseudo-count</t>
  </si>
  <si>
    <t>X1</t>
  </si>
  <si>
    <t>The Guardian / FT (EXCLUDED)</t>
  </si>
  <si>
    <t>https://www.theguardian.com/business/2026/oct/19/bank-of-england-said-to-be-reviewing-barclays-handling-of-private-credit-loans</t>
  </si>
  <si>
    <t>Published after cutoff — not used</t>
  </si>
  <si>
    <t>X2</t>
  </si>
  <si>
    <t>Helvetic Markets / Bloomberg Intelligence (EXCLUDED)</t>
  </si>
  <si>
    <t>https://helveticmarkets.com/en/article/us-bank-weakness-hints-fixed-income-slump-ubs-european-peers</t>
  </si>
  <si>
    <t>Geo tab omitted: Barclays discloses income by geography only annually (FY25 Annual Report / S29); no quarterly split in the Q125-Q226 results announcements (S3, S5-S9) — FY25 shares folded into Revenue summary.</t>
  </si>
  <si>
    <t>Target-quarter exposure: Q3 2026 results (due 22-Oct-26, S28) had not been published at the cutoff or at retrieval; no target-quarter actuals were seen or used.</t>
  </si>
  <si>
    <t>Cash flow: issuer publishes cash flow statements only for H1 and FY (S3, S6, S8); quarterly operating cash flow, capex and FCF are unavailable and not forecast.</t>
  </si>
  <si>
    <t>Undated sources S23, S27, S28 and P1: no publication date in the cached evidence (left 'undated', none invented). None feeds the EPS chain (S23 = IB FX memo only; S27 recorded, not used; S28 calendar; P1 method). Retrieved dates are as recorded; no frozen snapshot is asserted.</t>
  </si>
  <si>
    <t>Inputs — S&amp;P Capital IQ snapshot (raw) and prior calibration</t>
  </si>
  <si>
    <t>As supplied (GBP; EPS in GBP per share; revenue GBP millions)</t>
  </si>
  <si>
    <t>BARC_consensus.json — top-level fields (raw)</t>
  </si>
  <si>
    <t>Field</t>
  </si>
  <si>
    <t>Raw value</t>
  </si>
  <si>
    <t>Parsed numeric</t>
  </si>
  <si>
    <t>source</t>
  </si>
  <si>
    <t>S&amp;P Capital IQ</t>
  </si>
  <si>
    <t>ticker</t>
  </si>
  <si>
    <t>company</t>
  </si>
  <si>
    <t>fiscal_period</t>
  </si>
  <si>
    <t>FQ3 2026 - Sep 2026</t>
  </si>
  <si>
    <t>period_end_date</t>
  </si>
  <si>
    <t>2026-09-30</t>
  </si>
  <si>
    <t>as_of_date</t>
  </si>
  <si>
    <t>2026-10-18</t>
  </si>
  <si>
    <t>analyst_count</t>
  </si>
  <si>
    <t>5</t>
  </si>
  <si>
    <t>consensus_eps</t>
  </si>
  <si>
    <t>0.12</t>
  </si>
  <si>
    <t>eps_basis</t>
  </si>
  <si>
    <t>Normalized diluted EPS per ordinary/common share, GBP; verify issuer adjustments and share identity</t>
  </si>
  <si>
    <t>consensus_revenue_m</t>
  </si>
  <si>
    <t>7619.23</t>
  </si>
  <si>
    <t>currency</t>
  </si>
  <si>
    <t>GBP</t>
  </si>
  <si>
    <t>summary_sha256</t>
  </si>
  <si>
    <t>e59b846434f90c9b5de8c2ed951fd1b25c1f6d0217c680f72dea41992051a49d</t>
  </si>
  <si>
    <t>captured_precision</t>
  </si>
  <si>
    <t>date only, user confirmed</t>
  </si>
  <si>
    <t>currency_units_status</t>
  </si>
  <si>
    <t>GBP (EPS in GBP per share, revenue in GBP millions)</t>
  </si>
  <si>
    <t>metric_units.eps_currency</t>
  </si>
  <si>
    <t>metric_units.eps_share_unit</t>
  </si>
  <si>
    <t>diluted ordinary/common share</t>
  </si>
  <si>
    <t>metric_units.revenue_currency</t>
  </si>
  <si>
    <t>metric_units.financial_amount_scale</t>
  </si>
  <si>
    <t>millions</t>
  </si>
  <si>
    <t>target_manifest.targets</t>
  </si>
  <si>
    <t>total_revenue, net_income_to_common, normalized_diluted_eps, gaap_diluted_eps, diluted_shares, revenue_growth, material_segment_revenue, pretax_profit, net_interest_income, fee_noninterest_income, operating_expenses, credit_loss_provisions, net_interest_margin, average_loans, average_deposits, operating_cash_flow, capital_expenditures, issuer_defined_free_cash_flow</t>
  </si>
  <si>
    <t>target_manifest.policy</t>
  </si>
  <si>
    <t>Track applicable disclosed lines; record unavailable/not applicable with a reason. Only normalized EPS is scored.</t>
  </si>
  <si>
    <t>BARC_consensus.json — complete summary_row (raw; blanks preserved as empty cells)</t>
  </si>
  <si>
    <t>company_name</t>
  </si>
  <si>
    <t>exchange_ticker</t>
  </si>
  <si>
    <t>LSE:BARC</t>
  </si>
  <si>
    <t>capiq_company_id</t>
  </si>
  <si>
    <t>323899</t>
  </si>
  <si>
    <t>currency_basis</t>
  </si>
  <si>
    <t>fiscal_year_end</t>
  </si>
  <si>
    <t>Dec-31</t>
  </si>
  <si>
    <t>fiscal_quarter</t>
  </si>
  <si>
    <t>quarter_end_date</t>
  </si>
  <si>
    <t>expected_report_date</t>
  </si>
  <si>
    <t>2026-10-22</t>
  </si>
  <si>
    <t>normalized diluted and GAAP diluted, as labelled</t>
  </si>
  <si>
    <t>eps_normalized_estimates</t>
  </si>
  <si>
    <t>eps_normalized_contributors</t>
  </si>
  <si>
    <t>detail_tab_total_contributors</t>
  </si>
  <si>
    <t>blank in source (unavailable)</t>
  </si>
  <si>
    <t>eps_normalized_mean</t>
  </si>
  <si>
    <t>eps_normalized_median</t>
  </si>
  <si>
    <t>eps_normalized_high</t>
  </si>
  <si>
    <t>0.13</t>
  </si>
  <si>
    <t>eps_normalized_low</t>
  </si>
  <si>
    <t>eps_normalized_std_dev</t>
  </si>
  <si>
    <t>0.0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</si>
  <si>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</si>
  <si>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</si>
  <si>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</si>
  <si>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</si>
  <si>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</si>
  <si>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</si>
  <si>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</si>
  <si>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</si>
  <si>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0.11</t>
  </si>
  <si>
    <t>eps_gaap_std_dev</t>
  </si>
  <si>
    <t>eps_gaap_n_est</t>
  </si>
  <si>
    <t>eps_gaap_guidance</t>
  </si>
  <si>
    <t>eps_gaap_guidance_low</t>
  </si>
  <si>
    <t>eps_gaap_guidance_high</t>
  </si>
  <si>
    <t>revenue_mean</t>
  </si>
  <si>
    <t>revenue_median</t>
  </si>
  <si>
    <t>7624.0</t>
  </si>
  <si>
    <t>revenue_high</t>
  </si>
  <si>
    <t>7715.82</t>
  </si>
  <si>
    <t>revenue_low</t>
  </si>
  <si>
    <t>7504.31</t>
  </si>
  <si>
    <t>revenue_std_dev</t>
  </si>
  <si>
    <t>72.83</t>
  </si>
  <si>
    <t>revenue_n_est</t>
  </si>
  <si>
    <t>revenue_guidance</t>
  </si>
  <si>
    <t>revenue_guidance_low</t>
  </si>
  <si>
    <t>revenue_guidance_high</t>
  </si>
  <si>
    <t>ebitda</t>
  </si>
  <si>
    <t>ebit</t>
  </si>
  <si>
    <t>3023.5</t>
  </si>
  <si>
    <t>ebt_excl_excep</t>
  </si>
  <si>
    <t>2463.36</t>
  </si>
  <si>
    <t>ebt_gaap</t>
  </si>
  <si>
    <t>2439.42</t>
  </si>
  <si>
    <t>net_income_excl_excep</t>
  </si>
  <si>
    <t>1667.31</t>
  </si>
  <si>
    <t>net_income_gaap</t>
  </si>
  <si>
    <t>1642.15</t>
  </si>
  <si>
    <t>gross_margin_pct</t>
  </si>
  <si>
    <t>effective_tax_rate_pct</t>
  </si>
  <si>
    <t>d_and_a</t>
  </si>
  <si>
    <t>capex</t>
  </si>
  <si>
    <t>cfo</t>
  </si>
  <si>
    <t>fcf</t>
  </si>
  <si>
    <t>interest_expense</t>
  </si>
  <si>
    <t>net_debt</t>
  </si>
  <si>
    <t>nav</t>
  </si>
  <si>
    <t>roe_pct</t>
  </si>
  <si>
    <t>10.32</t>
  </si>
  <si>
    <t>target_price_mean</t>
  </si>
  <si>
    <t>5.73</t>
  </si>
  <si>
    <t>target_price_median</t>
  </si>
  <si>
    <t>5.8</t>
  </si>
  <si>
    <t>target_price_high</t>
  </si>
  <si>
    <t>6.8</t>
  </si>
  <si>
    <t>target_price_low</t>
  </si>
  <si>
    <t>4.87</t>
  </si>
  <si>
    <t>target_price_std_dev</t>
  </si>
  <si>
    <t>0.48</t>
  </si>
  <si>
    <t>target_price_n_est</t>
  </si>
  <si>
    <t>17</t>
  </si>
  <si>
    <t>recommendation</t>
  </si>
  <si>
    <t>Outperform</t>
  </si>
  <si>
    <t>recommendation_score</t>
  </si>
  <si>
    <t>1.88</t>
  </si>
  <si>
    <t>last_close_price</t>
  </si>
  <si>
    <t>4.33</t>
  </si>
  <si>
    <t>wk52_high_low</t>
  </si>
  <si>
    <t>5.54/3.54</t>
  </si>
  <si>
    <t>estimates_captured_at</t>
  </si>
  <si>
    <t>notes</t>
  </si>
  <si>
    <t>GBP throughout, in pounds per share not pence; two decimal places means EPS resolution is coarse relative to US names, so surprise percentages are noisy | forward panel is only 5 contributors, far thinner than the 17 carrying target prices, because most UK brokers file half-year rather than quarterly EPS. The CapIQ Consensus grid also shows two already-reported columns before the forward quarter, so the forward column is the third, not the second. A stray "EPS Normalized 0.04" line in the company-level block was excluded. Price 4.33 is LSE:BARC in GBP; the NYSE:BCS ADR is 22.79 USD with its own recommendation of 2.50.</t>
  </si>
  <si>
    <t>BARC_history.csv — all six rows (raw)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</si>
  <si>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</si>
  <si>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</si>
  <si>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</si>
  <si>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</si>
  <si>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</si>
  <si>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</si>
  <si>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</si>
  <si>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norm. surprise (GBP)</t>
  </si>
  <si>
    <t>strict beat?</t>
  </si>
  <si>
    <t>Prior calibration (playbook v2: size and issuer history)</t>
  </si>
  <si>
    <t>Market capitalisation (GBP bn)</t>
  </si>
  <si>
    <t>S26 TipRanks, market cap at 16-Oct-26 close (page dated 18-Oct-26); blank in CapIQ export</t>
  </si>
  <si>
    <t>GBP/USD spot, 15-Oct-26 (BoE)</t>
  </si>
  <si>
    <t>S22 BoE daily spot (last fix before cutoff in retrieved series)</t>
  </si>
  <si>
    <t>Market capitalisation (USD bn)</t>
  </si>
  <si>
    <t>Derived</t>
  </si>
  <si>
    <t>Size bucket</t>
  </si>
  <si>
    <t>Large (&gt; USD 10bn)</t>
  </si>
  <si>
    <t>Playbook: large includes mega above $10bn</t>
  </si>
  <si>
    <t>S&amp;P 500 member</t>
  </si>
  <si>
    <t>No — UK-listed (LSE:BARC); NYSE:BCS ADR is not an S&amp;P 500 constituent</t>
  </si>
  <si>
    <t>Cohort prior</t>
  </si>
  <si>
    <t>Playbook: 0.78 large OR S&amp;P 500 (applied once)</t>
  </si>
  <si>
    <t>b = strict normalized EPS beats in six supplied pairs</t>
  </si>
  <si>
    <t>Inputs history: actual &gt; consensus at 2dp</t>
  </si>
  <si>
    <t>n = valid pairs</t>
  </si>
  <si>
    <t>All six pairs on same CapIQ normalized basis; none excluded</t>
  </si>
  <si>
    <t>Pseudo-count</t>
  </si>
  <si>
    <t>Playbook fixed regularization weight</t>
  </si>
  <si>
    <t>Starting probability p0 = (k x prior + b)/(k + n)</t>
  </si>
  <si>
    <t>Update: model central EPS c.0.121 sits below the 0.125 needed to print 0.13 at CapIQ 2dp (consensus 0.12, mean c.0.122)</t>
  </si>
  <si>
    <t>Quarter-specific: model build (Income Statement)</t>
  </si>
  <si>
    <t>Update: c.£250m Q3 structural cost actions + MRT comp (guided Aug/Sep-26, likely in consensus; residual timing risk)</t>
  </si>
  <si>
    <t>S10-S12</t>
  </si>
  <si>
    <t>Update: US peer equities +37% avg Y/Y; Barclays income beat CapIQ revenue consensus in 6/6 history quarters</t>
  </si>
  <si>
    <t>S16-S21, Inputs history</t>
  </si>
  <si>
    <t>Final P(beat consensus EPS)</t>
  </si>
  <si>
    <t>Linked to Cover and estimate.json</t>
  </si>
  <si>
    <t>low</t>
  </si>
  <si>
    <t>Coarse 2dp EPS; thin 5-contributor panel; model within 0.5p of consensus</t>
  </si>
  <si>
    <t>Mean historical normalized surprise (GBP/share)</t>
  </si>
  <si>
    <t>Seasonally: 3Q25 surprise 0.00 (motor finance charge)</t>
  </si>
  <si>
    <t>Scoring baseline: frozen CapIQ consensus EPS (GBP)</t>
  </si>
  <si>
    <t>Unchanged scoring baseline</t>
  </si>
  <si>
    <t>Newer/other consensus (recorded separately, not used): Investing.com EPS</t>
  </si>
  <si>
    <t>S27 (retrieved 19-Oct-26; publication date not shown)</t>
  </si>
  <si>
    <t>Newer/other consensus: Investing.com revenue (£m)</t>
  </si>
  <si>
    <t>Barclays company-compiled Q3 2026 consensus (published 16-Oct-26)</t>
  </si>
  <si>
    <t>unavailable — PDF contents not retrievable</t>
  </si>
</sst>
</file>

<file path=xl/styles.xml><?xml version="1.0" encoding="utf-8"?>
<styleSheet xmlns="http://schemas.openxmlformats.org/spreadsheetml/2006/main">
  <numFmts count="19">
    <numFmt numFmtId="164" formatCode="#,##0.0_);(#,##0.0);–_)"/>
    <numFmt numFmtId="165" formatCode="dd-mmm-yy"/>
    <numFmt numFmtId="166" formatCode="0.0%_);(0.0%);–_)"/>
    <numFmt numFmtId="167" formatCode="0"/>
    <numFmt numFmtId="168" formatCode="0.0"/>
    <numFmt numFmtId="169" formatCode="0.00"/>
    <numFmt numFmtId="170" formatCode="0.0000"/>
    <numFmt numFmtId="171" formatCode="0.00%_);(0.00%);–_)"/>
    <numFmt numFmtId="172" formatCode="General"/>
    <numFmt numFmtId="173" formatCode="0.0%"/>
    <numFmt numFmtId="174" formatCode="@"/>
    <numFmt numFmtId="175" formatCode="#,##0_);(#,##0);–_)"/>
    <numFmt numFmtId="176" formatCode="0.000"/>
    <numFmt numFmtId="177" formatCode="0.00_);(0.00);–_)"/>
    <numFmt numFmtId="178" formatCode="yyyy-mm-dd"/>
    <numFmt numFmtId="179" formatCode="#,##0.00"/>
    <numFmt numFmtId="180" formatCode="0.0x"/>
    <numFmt numFmtId="181" formatCode="0.0000_);(0.0000);–_)"/>
    <numFmt numFmtId="182" formatCode="0.00x"/>
  </numFmts>
  <fonts count="30">
    <font>
      <sz val="11"/>
      <name val="Calibri"/>
    </font>
    <font>
      <b val="0"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 val="0"/>
      <i val="0"/>
      <strike val="0"/>
      <sz val="10"/>
      <color rgb="FF0000FF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595959"/>
      <name val="Arial"/>
    </font>
    <font>
      <b/>
      <i val="0"/>
      <strike val="0"/>
      <sz val="12"/>
      <color rgb="FF000000"/>
      <name val="Arial"/>
    </font>
    <font>
      <b/>
      <i val="0"/>
      <strike val="0"/>
      <sz val="10"/>
      <color rgb="FF006100"/>
      <name val="Arial"/>
    </font>
    <font>
      <b/>
      <i val="0"/>
      <strike val="0"/>
      <sz val="14"/>
      <color rgb="FF000000"/>
      <name val="Arial"/>
    </font>
    <font>
      <b/>
      <i val="0"/>
      <strike val="0"/>
      <sz val="10"/>
      <color rgb="FF0000FF"/>
      <name val="Arial"/>
    </font>
    <font>
      <b val="0"/>
      <i/>
      <strike val="0"/>
      <sz val="10"/>
      <color rgb="FF0000FF"/>
      <name val="Arial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/>
      <i val="0"/>
      <strike val="0"/>
      <sz val="14"/>
      <color rgb="FF000000"/>
      <name val="Arial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 val="0"/>
      <i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/>
      <i val="0"/>
      <strike val="0"/>
      <sz val="14"/>
      <color rgb="FF000000"/>
      <name val="Arial"/>
    </font>
    <font>
      <b/>
      <i val="0"/>
      <strike val="0"/>
      <sz val="10"/>
      <color rgb="FF006100"/>
      <name val="Arial"/>
    </font>
    <font>
      <b val="0"/>
      <i val="0"/>
      <strike val="0"/>
      <sz val="10"/>
      <color rgb="FF006100"/>
      <name val="Arial"/>
    </font>
    <font>
      <b val="0"/>
      <i val="0"/>
      <strike val="0"/>
      <sz val="10"/>
      <color rgb="FF000000"/>
      <name val="Arial"/>
    </font>
    <font>
      <b val="0"/>
      <i/>
      <strike val="0"/>
      <sz val="10"/>
      <color rgb="FF595959"/>
      <name val="Arial"/>
    </font>
    <font>
      <b val="0"/>
      <i/>
      <strike val="0"/>
      <sz val="10"/>
      <color rgb="FF0000FF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AF1FB"/>
      </patternFill>
    </fill>
  </fills>
  <borders count="4">
    <border>
      <left/>
      <right/>
      <top/>
      <bottom/>
      <diagonal/>
    </border>
    <border>
      <top style="thin">
        <color rgb="FF808080"/>
      </top>
    </border>
    <border>
      <top style="thin">
        <color rgb="FF808080"/>
      </top>
      <bottom style="thin">
        <color rgb="FF808080"/>
      </bottom>
    </border>
    <border>
      <bottom style="thin">
        <color rgb="FF808080"/>
      </bottom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 applyFill="1" applyAlignment="1" applyProtection="1">
      <alignment horizontal="general" vertical="bottom"/>
      <protection locked="1" hidden="0"/>
    </xf>
    <xf numFmtId="164" fontId="1" fillId="0" borderId="0" xfId="0" applyNumberFormat="1" applyFont="1" applyFill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general" vertical="bottom"/>
      <protection locked="1" hidden="0"/>
    </xf>
    <xf numFmtId="164" fontId="3" fillId="0" borderId="0" xfId="0" applyNumberFormat="1" applyFont="1" applyFill="1" applyAlignment="1" applyProtection="1">
      <alignment horizontal="right" vertical="bottom"/>
      <protection locked="1" hidden="0"/>
    </xf>
    <xf numFmtId="165" fontId="4" fillId="0" borderId="0" xfId="0" applyNumberFormat="1" applyFont="1" applyFill="1" applyAlignment="1" applyProtection="1">
      <alignment horizontal="right" vertical="bottom"/>
      <protection locked="1" hidden="0"/>
    </xf>
    <xf numFmtId="0" fontId="1" fillId="2" borderId="1" xfId="0" applyFont="1" applyFill="1" applyBorder="1" applyAlignment="1" applyProtection="1">
      <alignment horizontal="general" vertical="bottom"/>
      <protection locked="1" hidden="0"/>
    </xf>
    <xf numFmtId="0" fontId="1" fillId="2" borderId="0" xfId="0" applyFont="1" applyFill="1" applyAlignment="1" applyProtection="1">
      <alignment horizontal="general" vertical="bottom"/>
      <protection locked="1" hidden="0"/>
    </xf>
    <xf numFmtId="0" fontId="5" fillId="2" borderId="2" xfId="0" applyFont="1" applyFill="1" applyBorder="1" applyAlignment="1" applyProtection="1">
      <alignment horizontal="general" vertical="bottom" wrapText="1"/>
      <protection locked="1" hidden="0"/>
    </xf>
    <xf numFmtId="0" fontId="5" fillId="0" borderId="0" xfId="0" applyFont="1" applyFill="1" applyAlignment="1" applyProtection="1">
      <alignment horizontal="general" vertical="bottom"/>
      <protection locked="1" hidden="0"/>
    </xf>
    <xf numFmtId="166" fontId="1" fillId="0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general" vertical="bottom" wrapText="1"/>
      <protection locked="1" hidden="0"/>
    </xf>
    <xf numFmtId="0" fontId="1" fillId="2" borderId="3" xfId="0" applyFont="1" applyFill="1" applyBorder="1" applyAlignment="1" applyProtection="1">
      <alignment horizontal="general" vertical="bottom"/>
      <protection locked="1" hidden="0"/>
    </xf>
    <xf numFmtId="0" fontId="1" fillId="0" borderId="0" xfId="0" applyFont="1" applyFill="1" applyAlignment="1" applyProtection="1">
      <alignment horizontal="left" vertical="bottom" wrapText="1"/>
      <protection locked="1" hidden="0"/>
    </xf>
    <xf numFmtId="0" fontId="6" fillId="0" borderId="0" xfId="0" applyFont="1" applyFill="1" applyAlignment="1" applyProtection="1">
      <alignment horizontal="general" vertical="bottom"/>
      <protection locked="1" hidden="0"/>
    </xf>
    <xf numFmtId="167" fontId="1" fillId="0" borderId="0" xfId="0" applyNumberFormat="1" applyFont="1" applyFill="1" applyAlignment="1" applyProtection="1">
      <alignment horizontal="right" vertical="bottom"/>
      <protection locked="1" hidden="0"/>
    </xf>
    <xf numFmtId="164" fontId="5" fillId="0" borderId="1" xfId="0" applyNumberFormat="1" applyFont="1" applyFill="1" applyBorder="1" applyAlignment="1" applyProtection="1">
      <alignment horizontal="right" vertical="bottom"/>
      <protection locked="1" hidden="0"/>
    </xf>
    <xf numFmtId="168" fontId="4" fillId="0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left" vertical="bottom"/>
      <protection locked="1" hidden="0"/>
    </xf>
    <xf numFmtId="0" fontId="1" fillId="0" borderId="0" xfId="0" applyFont="1" applyFill="1" applyAlignment="1" applyProtection="1">
      <alignment horizontal="right" vertical="bottom"/>
      <protection locked="1" hidden="0"/>
    </xf>
    <xf numFmtId="0" fontId="5" fillId="0" borderId="0" xfId="0" applyFont="1" applyFill="1" applyAlignment="1" applyProtection="1">
      <alignment horizontal="left" vertical="bottom"/>
      <protection locked="1" hidden="0"/>
    </xf>
    <xf numFmtId="0" fontId="5" fillId="2" borderId="1" xfId="0" applyFont="1" applyFill="1" applyBorder="1" applyAlignment="1" applyProtection="1">
      <alignment horizontal="right" vertical="bottom"/>
      <protection locked="1" hidden="0"/>
    </xf>
    <xf numFmtId="168" fontId="1" fillId="0" borderId="0" xfId="0" applyNumberFormat="1" applyFont="1" applyFill="1" applyAlignment="1" applyProtection="1">
      <alignment horizontal="right" vertical="bottom"/>
      <protection locked="1" hidden="0"/>
    </xf>
    <xf numFmtId="164" fontId="5" fillId="3" borderId="0" xfId="0" applyNumberFormat="1" applyFont="1" applyFill="1" applyAlignment="1" applyProtection="1">
      <alignment horizontal="right" vertical="bottom"/>
      <protection locked="1" hidden="0"/>
    </xf>
    <xf numFmtId="164" fontId="4" fillId="0" borderId="0" xfId="0" applyNumberFormat="1" applyFont="1" applyFill="1" applyAlignment="1" applyProtection="1">
      <alignment horizontal="right" vertical="bottom"/>
      <protection locked="1" hidden="0"/>
    </xf>
    <xf numFmtId="166" fontId="2" fillId="0" borderId="0" xfId="0" applyNumberFormat="1" applyFont="1" applyFill="1" applyAlignment="1" applyProtection="1">
      <alignment horizontal="right" vertical="bottom"/>
      <protection locked="1" hidden="0"/>
    </xf>
    <xf numFmtId="164" fontId="1" fillId="3" borderId="0" xfId="0" applyNumberFormat="1" applyFont="1" applyFill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right" vertical="bottom"/>
      <protection locked="1" hidden="0"/>
    </xf>
    <xf numFmtId="0" fontId="5" fillId="3" borderId="0" xfId="0" applyFont="1" applyFill="1" applyAlignment="1" applyProtection="1">
      <alignment horizontal="right" vertical="bottom"/>
      <protection locked="1" hidden="0"/>
    </xf>
    <xf numFmtId="165" fontId="4" fillId="2" borderId="0" xfId="0" applyNumberFormat="1" applyFont="1" applyFill="1" applyAlignment="1" applyProtection="1">
      <alignment horizontal="right" vertical="bottom"/>
      <protection locked="1" hidden="0"/>
    </xf>
    <xf numFmtId="166" fontId="4" fillId="0" borderId="0" xfId="0" applyNumberFormat="1" applyFont="1" applyFill="1" applyAlignment="1" applyProtection="1">
      <alignment horizontal="right" vertical="bottom"/>
      <protection locked="1" hidden="0"/>
    </xf>
    <xf numFmtId="169" fontId="1" fillId="0" borderId="0" xfId="0" applyNumberFormat="1" applyFont="1" applyFill="1" applyAlignment="1" applyProtection="1">
      <alignment horizontal="right" vertical="bottom"/>
      <protection locked="1" hidden="0"/>
    </xf>
    <xf numFmtId="0" fontId="5" fillId="0" borderId="0" xfId="0" applyFont="1" applyFill="1" applyAlignment="1" applyProtection="1">
      <alignment horizontal="right" vertical="bottom"/>
      <protection locked="1" hidden="0"/>
    </xf>
    <xf numFmtId="164" fontId="1" fillId="0" borderId="0" xfId="0" applyNumberFormat="1" applyFont="1" applyFill="1" applyAlignment="1" applyProtection="1">
      <alignment horizontal="general" vertical="bottom"/>
      <protection locked="1" hidden="0"/>
    </xf>
    <xf numFmtId="167" fontId="1" fillId="2" borderId="3" xfId="0" applyNumberFormat="1" applyFont="1" applyFill="1" applyBorder="1" applyAlignment="1" applyProtection="1">
      <alignment horizontal="right" vertical="bottom"/>
      <protection locked="1" hidden="0"/>
    </xf>
    <xf numFmtId="0" fontId="7" fillId="0" borderId="0" xfId="0" applyFont="1" applyFill="1" applyAlignment="1" applyProtection="1">
      <alignment horizontal="general" vertical="bottom"/>
      <protection locked="1" hidden="0"/>
    </xf>
    <xf numFmtId="0" fontId="5" fillId="0" borderId="0" xfId="0" applyFont="1" applyFill="1" applyAlignment="1" applyProtection="1">
      <alignment horizontal="general" vertical="bottom" indent="7"/>
      <protection locked="1" hidden="0"/>
    </xf>
    <xf numFmtId="0" fontId="2" fillId="0" borderId="0" xfId="0" applyFont="1" applyFill="1" applyAlignment="1" applyProtection="1">
      <alignment horizontal="left" vertical="bottom" indent="2"/>
      <protection locked="1" hidden="0"/>
    </xf>
    <xf numFmtId="164" fontId="5" fillId="0" borderId="0" xfId="0" applyNumberFormat="1" applyFont="1" applyFill="1" applyAlignment="1" applyProtection="1">
      <alignment horizontal="right" vertical="bottom"/>
      <protection locked="1" hidden="0"/>
    </xf>
    <xf numFmtId="164" fontId="4" fillId="3" borderId="0" xfId="0" applyNumberFormat="1" applyFont="1" applyFill="1" applyAlignment="1" applyProtection="1">
      <alignment horizontal="right" vertical="bottom"/>
      <protection locked="1" hidden="0"/>
    </xf>
    <xf numFmtId="0" fontId="5" fillId="3" borderId="1" xfId="0" applyFont="1" applyFill="1" applyBorder="1" applyAlignment="1" applyProtection="1">
      <alignment horizontal="right" vertical="bottom"/>
      <protection locked="1" hidden="0"/>
    </xf>
    <xf numFmtId="170" fontId="1" fillId="0" borderId="0" xfId="0" applyNumberFormat="1" applyFont="1" applyFill="1" applyAlignment="1" applyProtection="1">
      <alignment horizontal="right" vertical="bottom"/>
      <protection locked="1" hidden="0"/>
    </xf>
    <xf numFmtId="169" fontId="4" fillId="3" borderId="0" xfId="0" applyNumberFormat="1" applyFont="1" applyFill="1" applyAlignment="1" applyProtection="1">
      <alignment horizontal="right" vertical="bottom"/>
      <protection locked="1" hidden="0"/>
    </xf>
    <xf numFmtId="167" fontId="1" fillId="3" borderId="3" xfId="0" applyNumberFormat="1" applyFont="1" applyFill="1" applyBorder="1" applyAlignment="1" applyProtection="1">
      <alignment horizontal="right" vertical="bottom"/>
      <protection locked="1" hidden="0"/>
    </xf>
    <xf numFmtId="169" fontId="3" fillId="0" borderId="0" xfId="0" applyNumberFormat="1" applyFont="1" applyFill="1" applyAlignment="1" applyProtection="1">
      <alignment horizontal="right" vertical="bottom"/>
      <protection locked="1" hidden="0"/>
    </xf>
    <xf numFmtId="171" fontId="1" fillId="0" borderId="0" xfId="0" applyNumberFormat="1" applyFont="1" applyFill="1" applyAlignment="1" applyProtection="1">
      <alignment horizontal="right" vertical="bottom"/>
      <protection locked="1" hidden="0"/>
    </xf>
    <xf numFmtId="0" fontId="5" fillId="0" borderId="0" xfId="0" applyFont="1" applyFill="1" applyAlignment="1" applyProtection="1">
      <alignment horizontal="left" vertical="bottom" wrapText="1"/>
      <protection locked="1" hidden="0"/>
    </xf>
    <xf numFmtId="167" fontId="4" fillId="3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left" vertical="bottom" indent="2"/>
      <protection locked="1" hidden="0"/>
    </xf>
    <xf numFmtId="171" fontId="4" fillId="0" borderId="0" xfId="0" applyNumberFormat="1" applyFont="1" applyFill="1" applyAlignment="1" applyProtection="1">
      <alignment horizontal="right" vertical="bottom"/>
      <protection locked="1" hidden="0"/>
    </xf>
    <xf numFmtId="165" fontId="4" fillId="3" borderId="0" xfId="0" applyNumberFormat="1" applyFont="1" applyFill="1" applyAlignment="1" applyProtection="1">
      <alignment horizontal="right" vertical="bottom"/>
      <protection locked="1" hidden="0"/>
    </xf>
    <xf numFmtId="166" fontId="2" fillId="3" borderId="0" xfId="0" applyNumberFormat="1" applyFont="1" applyFill="1" applyAlignment="1" applyProtection="1">
      <alignment horizontal="right" vertical="bottom"/>
      <protection locked="1" hidden="0"/>
    </xf>
    <xf numFmtId="166" fontId="3" fillId="0" borderId="0" xfId="0" applyNumberFormat="1" applyFont="1" applyFill="1" applyAlignment="1" applyProtection="1">
      <alignment horizontal="right" vertical="bottom"/>
      <protection locked="1" hidden="0"/>
    </xf>
    <xf numFmtId="168" fontId="1" fillId="3" borderId="0" xfId="0" applyNumberFormat="1" applyFont="1" applyFill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general" vertical="bottom"/>
      <protection locked="1" hidden="0"/>
    </xf>
    <xf numFmtId="168" fontId="4" fillId="3" borderId="0" xfId="0" applyNumberFormat="1" applyFont="1" applyFill="1" applyAlignment="1" applyProtection="1">
      <alignment horizontal="right" vertical="bottom"/>
      <protection locked="1" hidden="0"/>
    </xf>
    <xf numFmtId="172" fontId="8" fillId="0" borderId="0" xfId="0" applyNumberFormat="1" applyFont="1" applyFill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general" vertical="bottom" indent="7"/>
      <protection locked="1" hidden="0"/>
    </xf>
    <xf numFmtId="172" fontId="3" fillId="0" borderId="0" xfId="0" applyNumberFormat="1" applyFont="1" applyFill="1" applyAlignment="1" applyProtection="1">
      <alignment horizontal="right" vertical="bottom"/>
      <protection locked="1" hidden="0"/>
    </xf>
    <xf numFmtId="0" fontId="9" fillId="0" borderId="0" xfId="0" applyFont="1" applyFill="1" applyAlignment="1" applyProtection="1">
      <alignment horizontal="general" vertical="bottom" indent="7"/>
      <protection locked="1" hidden="0"/>
    </xf>
    <xf numFmtId="173" fontId="3" fillId="0" borderId="0" xfId="0" applyNumberFormat="1" applyFont="1" applyFill="1" applyAlignment="1" applyProtection="1">
      <alignment horizontal="right" vertical="bottom"/>
      <protection locked="1" hidden="0"/>
    </xf>
    <xf numFmtId="165" fontId="1" fillId="0" borderId="0" xfId="0" applyNumberFormat="1" applyFont="1" applyFill="1" applyAlignment="1" applyProtection="1">
      <alignment horizontal="right" vertical="bottom"/>
      <protection locked="1" hidden="0"/>
    </xf>
    <xf numFmtId="164" fontId="10" fillId="0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left" vertical="bottom" wrapText="1" indent="1"/>
      <protection locked="1" hidden="0"/>
    </xf>
    <xf numFmtId="170" fontId="4" fillId="3" borderId="0" xfId="0" applyNumberFormat="1" applyFont="1" applyFill="1" applyAlignment="1" applyProtection="1">
      <alignment horizontal="right" vertical="bottom"/>
      <protection locked="1" hidden="0"/>
    </xf>
    <xf numFmtId="164" fontId="5" fillId="3" borderId="1" xfId="0" applyNumberFormat="1" applyFont="1" applyFill="1" applyBorder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left" vertical="bottom" indent="1"/>
      <protection locked="1" hidden="0"/>
    </xf>
    <xf numFmtId="0" fontId="2" fillId="0" borderId="0" xfId="0" applyFont="1" applyFill="1" applyAlignment="1" applyProtection="1">
      <alignment horizontal="left" vertical="bottom" wrapText="1" indent="1"/>
      <protection locked="1" hidden="0"/>
    </xf>
    <xf numFmtId="174" fontId="5" fillId="0" borderId="0" xfId="0" applyNumberFormat="1" applyFont="1" applyFill="1" applyAlignment="1" applyProtection="1">
      <alignment horizontal="right" vertical="bottom"/>
      <protection locked="1" hidden="0"/>
    </xf>
    <xf numFmtId="174" fontId="5" fillId="3" borderId="0" xfId="0" applyNumberFormat="1" applyFont="1" applyFill="1" applyAlignment="1" applyProtection="1">
      <alignment horizontal="right" vertical="bottom"/>
      <protection locked="1" hidden="0"/>
    </xf>
    <xf numFmtId="174" fontId="2" fillId="0" borderId="0" xfId="0" applyNumberFormat="1" applyFont="1" applyFill="1" applyAlignment="1" applyProtection="1">
      <alignment horizontal="right" vertical="bottom"/>
      <protection locked="1" hidden="0"/>
    </xf>
    <xf numFmtId="175" fontId="1" fillId="0" borderId="0" xfId="0" applyNumberFormat="1" applyFont="1" applyFill="1" applyAlignment="1" applyProtection="1">
      <alignment horizontal="right" vertical="bottom"/>
      <protection locked="1" hidden="0"/>
    </xf>
    <xf numFmtId="175" fontId="1" fillId="3" borderId="0" xfId="0" applyNumberFormat="1" applyFont="1" applyFill="1" applyAlignment="1" applyProtection="1">
      <alignment horizontal="right" vertical="bottom"/>
      <protection locked="1" hidden="0"/>
    </xf>
    <xf numFmtId="0" fontId="4" fillId="0" borderId="0" xfId="0" applyFont="1" applyFill="1" applyAlignment="1" applyProtection="1">
      <alignment horizontal="general" vertical="bottom"/>
      <protection locked="1" hidden="0"/>
    </xf>
    <xf numFmtId="0" fontId="2" fillId="0" borderId="0" xfId="0" applyFont="1" applyFill="1" applyAlignment="1" applyProtection="1">
      <alignment horizontal="left" vertical="bottom"/>
      <protection locked="1" hidden="0"/>
    </xf>
    <xf numFmtId="173" fontId="4" fillId="0" borderId="0" xfId="0" applyNumberFormat="1" applyFont="1" applyFill="1" applyAlignment="1" applyProtection="1">
      <alignment horizontal="right" vertical="bottom"/>
      <protection locked="1" hidden="0"/>
    </xf>
    <xf numFmtId="169" fontId="4" fillId="0" borderId="0" xfId="0" applyNumberFormat="1" applyFont="1" applyFill="1" applyAlignment="1" applyProtection="1">
      <alignment horizontal="general" vertical="bottom"/>
      <protection locked="1" hidden="0"/>
    </xf>
    <xf numFmtId="176" fontId="1" fillId="0" borderId="0" xfId="0" applyNumberFormat="1" applyFont="1" applyFill="1" applyAlignment="1" applyProtection="1">
      <alignment horizontal="right" vertical="bottom"/>
      <protection locked="1" hidden="0"/>
    </xf>
    <xf numFmtId="177" fontId="1" fillId="0" borderId="0" xfId="0" applyNumberFormat="1" applyFont="1" applyFill="1" applyAlignment="1" applyProtection="1">
      <alignment horizontal="general" vertical="bottom"/>
      <protection locked="1" hidden="0"/>
    </xf>
    <xf numFmtId="0" fontId="1" fillId="0" borderId="0" xfId="0" applyFont="1" applyFill="1" applyAlignment="1" applyProtection="1">
      <alignment horizontal="left" vertical="bottom" indent="1"/>
      <protection locked="1" hidden="0"/>
    </xf>
    <xf numFmtId="164" fontId="8" fillId="0" borderId="0" xfId="0" applyNumberFormat="1" applyFont="1" applyFill="1" applyAlignment="1" applyProtection="1">
      <alignment horizontal="right" vertical="bottom"/>
      <protection locked="1" hidden="0"/>
    </xf>
    <xf numFmtId="166" fontId="1" fillId="3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left" vertical="bottom" wrapText="1" indent="2"/>
      <protection locked="1" hidden="0"/>
    </xf>
    <xf numFmtId="178" fontId="4" fillId="0" borderId="0" xfId="0" applyNumberFormat="1" applyFont="1" applyFill="1" applyAlignment="1" applyProtection="1">
      <alignment horizontal="right" vertical="bottom"/>
      <protection locked="1" hidden="0"/>
    </xf>
    <xf numFmtId="179" fontId="4" fillId="0" borderId="0" xfId="0" applyNumberFormat="1" applyFont="1" applyFill="1" applyAlignment="1" applyProtection="1">
      <alignment horizontal="general" vertical="bottom"/>
      <protection locked="1" hidden="0"/>
    </xf>
    <xf numFmtId="166" fontId="11" fillId="3" borderId="0" xfId="0" applyNumberFormat="1" applyFont="1" applyFill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left" vertical="bottom" wrapText="1"/>
      <protection locked="1" hidden="0"/>
    </xf>
    <xf numFmtId="164" fontId="3" fillId="3" borderId="0" xfId="0" applyNumberFormat="1" applyFont="1" applyFill="1" applyAlignment="1" applyProtection="1">
      <alignment horizontal="right" vertical="bottom"/>
      <protection locked="1" hidden="0"/>
    </xf>
    <xf numFmtId="179" fontId="1" fillId="0" borderId="0" xfId="0" applyNumberFormat="1" applyFont="1" applyFill="1" applyAlignment="1" applyProtection="1">
      <alignment horizontal="right" vertical="bottom"/>
      <protection locked="1" hidden="0"/>
    </xf>
    <xf numFmtId="171" fontId="1" fillId="3" borderId="0" xfId="0" applyNumberFormat="1" applyFont="1" applyFill="1" applyAlignment="1" applyProtection="1">
      <alignment horizontal="right" vertical="bottom"/>
      <protection locked="1" hidden="0"/>
    </xf>
    <xf numFmtId="171" fontId="4" fillId="3" borderId="0" xfId="0" applyNumberFormat="1" applyFont="1" applyFill="1" applyAlignment="1" applyProtection="1">
      <alignment horizontal="right" vertical="bottom"/>
      <protection locked="1" hidden="0"/>
    </xf>
    <xf numFmtId="173" fontId="1" fillId="0" borderId="0" xfId="0" applyNumberFormat="1" applyFont="1" applyFill="1" applyAlignment="1" applyProtection="1">
      <alignment horizontal="right" vertical="bottom"/>
      <protection locked="1" hidden="0"/>
    </xf>
    <xf numFmtId="176" fontId="4" fillId="0" borderId="0" xfId="0" applyNumberFormat="1" applyFont="1" applyFill="1" applyAlignment="1" applyProtection="1">
      <alignment horizontal="right" vertical="bottom"/>
      <protection locked="1" hidden="0"/>
    </xf>
    <xf numFmtId="169" fontId="5" fillId="0" borderId="0" xfId="0" applyNumberFormat="1" applyFont="1" applyFill="1" applyAlignment="1" applyProtection="1">
      <alignment horizontal="right" vertical="bottom"/>
      <protection locked="1" hidden="0"/>
    </xf>
    <xf numFmtId="170" fontId="1" fillId="3" borderId="0" xfId="0" applyNumberFormat="1" applyFont="1" applyFill="1" applyAlignment="1" applyProtection="1">
      <alignment horizontal="right" vertical="bottom"/>
      <protection locked="1" hidden="0"/>
    </xf>
    <xf numFmtId="179" fontId="4" fillId="0" borderId="0" xfId="0" applyNumberFormat="1" applyFont="1" applyFill="1" applyAlignment="1" applyProtection="1">
      <alignment horizontal="right" vertical="bottom"/>
      <protection locked="1" hidden="0"/>
    </xf>
    <xf numFmtId="169" fontId="5" fillId="3" borderId="0" xfId="0" applyNumberFormat="1" applyFont="1" applyFill="1" applyAlignment="1" applyProtection="1">
      <alignment horizontal="right" vertical="bottom"/>
      <protection locked="1" hidden="0"/>
    </xf>
    <xf numFmtId="169" fontId="1" fillId="3" borderId="0" xfId="0" applyNumberFormat="1" applyFont="1" applyFill="1" applyAlignment="1" applyProtection="1">
      <alignment horizontal="right" vertical="bottom"/>
      <protection locked="1" hidden="0"/>
    </xf>
    <xf numFmtId="164" fontId="8" fillId="3" borderId="0" xfId="0" applyNumberFormat="1" applyFont="1" applyFill="1" applyAlignment="1" applyProtection="1">
      <alignment horizontal="right" vertical="bottom"/>
      <protection locked="1" hidden="0"/>
    </xf>
    <xf numFmtId="174" fontId="2" fillId="3" borderId="0" xfId="0" applyNumberFormat="1" applyFont="1" applyFill="1" applyAlignment="1" applyProtection="1">
      <alignment horizontal="right" vertical="bottom"/>
      <protection locked="1" hidden="0"/>
    </xf>
    <xf numFmtId="167" fontId="4" fillId="0" borderId="0" xfId="0" applyNumberFormat="1" applyFont="1" applyFill="1" applyAlignment="1" applyProtection="1">
      <alignment horizontal="right" vertical="bottom"/>
      <protection locked="1" hidden="0"/>
    </xf>
    <xf numFmtId="169" fontId="3" fillId="3" borderId="0" xfId="0" applyNumberFormat="1" applyFont="1" applyFill="1" applyAlignment="1" applyProtection="1">
      <alignment horizontal="right" vertical="bottom"/>
      <protection locked="1" hidden="0"/>
    </xf>
    <xf numFmtId="169" fontId="4" fillId="0" borderId="0" xfId="0" applyNumberFormat="1" applyFont="1" applyFill="1" applyAlignment="1" applyProtection="1">
      <alignment horizontal="right" vertical="bottom"/>
      <protection locked="1" hidden="0"/>
    </xf>
    <xf numFmtId="170" fontId="4" fillId="0" borderId="0" xfId="0" applyNumberFormat="1" applyFont="1" applyFill="1" applyAlignment="1" applyProtection="1">
      <alignment horizontal="right" vertical="bottom"/>
      <protection locked="1" hidden="0"/>
    </xf>
    <xf numFmtId="166" fontId="5" fillId="3" borderId="0" xfId="0" applyNumberFormat="1" applyFont="1" applyFill="1" applyAlignment="1" applyProtection="1">
      <alignment horizontal="right" vertical="bottom"/>
      <protection locked="1" hidden="0"/>
    </xf>
    <xf numFmtId="180" fontId="1" fillId="0" borderId="0" xfId="0" applyNumberFormat="1" applyFont="1" applyFill="1" applyAlignment="1" applyProtection="1">
      <alignment horizontal="right" vertical="bottom"/>
      <protection locked="1" hidden="0"/>
    </xf>
    <xf numFmtId="166" fontId="5" fillId="0" borderId="0" xfId="0" applyNumberFormat="1" applyFont="1" applyFill="1" applyAlignment="1" applyProtection="1">
      <alignment horizontal="right" vertical="bottom"/>
      <protection locked="1" hidden="0"/>
    </xf>
    <xf numFmtId="166" fontId="4" fillId="3" borderId="0" xfId="0" applyNumberFormat="1" applyFont="1" applyFill="1" applyAlignment="1" applyProtection="1">
      <alignment horizontal="right" vertical="bottom"/>
      <protection locked="1" hidden="0"/>
    </xf>
    <xf numFmtId="180" fontId="4" fillId="3" borderId="0" xfId="0" applyNumberFormat="1" applyFont="1" applyFill="1" applyAlignment="1" applyProtection="1">
      <alignment horizontal="right" vertical="bottom"/>
      <protection locked="1" hidden="0"/>
    </xf>
    <xf numFmtId="0" fontId="12" fillId="0" borderId="0" xfId="0" applyFont="1" applyFill="1" applyAlignment="1" applyProtection="1">
      <alignment horizontal="general" vertical="bottom"/>
      <protection locked="1" hidden="0"/>
    </xf>
    <xf numFmtId="172" fontId="13" fillId="2" borderId="2" xfId="0" applyNumberFormat="1" applyFont="1" applyFill="1" applyBorder="1" applyAlignment="1" applyProtection="1">
      <alignment horizontal="right" vertical="bottom" textRotation="0" wrapText="1" indent="0" readingOrder="0"/>
      <protection locked="1" hidden="0"/>
    </xf>
    <xf numFmtId="172" fontId="12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72" fontId="13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72" fontId="14" fillId="0" borderId="0" xfId="0" applyNumberFormat="1" applyFont="1" applyFill="1" applyAlignment="1" applyProtection="1">
      <alignment horizontal="left" vertical="bottom" textRotation="0" indent="8" readingOrder="0"/>
      <protection locked="1" hidden="0"/>
    </xf>
    <xf numFmtId="172" fontId="14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0" fontId="12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13" fillId="0" borderId="0" xfId="0" applyNumberFormat="1" applyFont="1" applyFill="1" applyAlignment="1" applyProtection="1">
      <alignment horizontal="left" vertical="bottom" textRotation="0" indent="8" readingOrder="0"/>
      <protection locked="1" hidden="0"/>
    </xf>
    <xf numFmtId="164" fontId="12" fillId="0" borderId="0" xfId="0" applyNumberFormat="1" applyFont="1" applyFill="1" applyAlignment="1" applyProtection="1">
      <alignment horizontal="right" vertical="bottom"/>
      <protection locked="1" hidden="0"/>
    </xf>
    <xf numFmtId="170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16" fillId="0" borderId="0" xfId="0" applyNumberFormat="1" applyFont="1" applyFill="1" applyAlignment="1" applyProtection="1">
      <alignment horizontal="left" vertical="bottom" textRotation="0" indent="8" readingOrder="0"/>
      <protection locked="1" hidden="0"/>
    </xf>
    <xf numFmtId="164" fontId="15" fillId="0" borderId="0" xfId="0" applyNumberFormat="1" applyFont="1" applyFill="1" applyAlignment="1" applyProtection="1">
      <alignment horizontal="right" vertical="bottom"/>
      <protection locked="1" hidden="0"/>
    </xf>
    <xf numFmtId="0" fontId="14" fillId="0" borderId="0" xfId="0" applyFont="1" applyFill="1" applyAlignment="1" applyProtection="1">
      <alignment horizontal="general" vertical="bottom"/>
      <protection locked="1" hidden="0"/>
    </xf>
    <xf numFmtId="172" fontId="13" fillId="0" borderId="0" xfId="0" applyNumberFormat="1" applyFont="1" applyFill="1" applyAlignment="1" applyProtection="1">
      <alignment horizontal="right" vertical="bottom" textRotation="0" wrapText="1" indent="0" readingOrder="0"/>
      <protection locked="1" hidden="0"/>
    </xf>
    <xf numFmtId="172" fontId="1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81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81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19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20" fillId="0" borderId="0" xfId="0" applyNumberFormat="1" applyFont="1" applyFill="1" applyAlignment="1" applyProtection="1">
      <alignment horizontal="right" vertical="bottom"/>
      <protection locked="1" hidden="0"/>
    </xf>
    <xf numFmtId="172" fontId="17" fillId="0" borderId="0" xfId="0" applyNumberFormat="1" applyFont="1" applyFill="1" applyAlignment="1" applyProtection="1">
      <alignment horizontal="general" vertical="bottom" wrapText="1"/>
      <protection locked="1" hidden="0"/>
    </xf>
    <xf numFmtId="172" fontId="21" fillId="0" borderId="0" xfId="0" applyNumberFormat="1" applyFont="1" applyFill="1" applyAlignment="1" applyProtection="1">
      <alignment horizontal="general" vertical="bottom"/>
      <protection locked="1" hidden="0"/>
    </xf>
    <xf numFmtId="172" fontId="17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2" fontId="17" fillId="0" borderId="0" xfId="0" applyNumberFormat="1" applyFont="1" applyFill="1" applyAlignment="1" applyProtection="1">
      <alignment horizontal="general" vertical="bottom"/>
      <protection locked="1" hidden="0"/>
    </xf>
    <xf numFmtId="164" fontId="20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82" fontId="20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22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72" fontId="23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72" fontId="24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4" fontId="2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2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23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27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72" fontId="2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28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2" fontId="2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22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27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27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6" fontId="29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22" fillId="0" borderId="0" xfId="0" applyNumberFormat="1" applyFont="1" applyFill="1" applyAlignment="1" applyProtection="1">
      <alignment horizontal="left" vertical="bottom" textRotation="0" indent="1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theme" Target="theme/theme1.xml"/><Relationship Id="rId18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7</xdr:col>
      <xdr:colOff>371475</xdr:colOff>
      <xdr:row>1</xdr:row>
      <xdr:rowOff>28575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showGridLines="0" tabSelected="1" workbookViewId="0"/>
  </sheetViews>
  <sheetFormatPr defaultRowHeight="15"/>
  <cols>
    <col min="1" max="1" width="2" customWidth="1"/>
    <col min="2" max="2" width="32" customWidth="1"/>
    <col min="3" max="4" width="14" customWidth="1"/>
    <col min="5" max="6" width="12" customWidth="1"/>
    <col min="7" max="8" width="14" customWidth="1"/>
    <col min="9" max="11" width="12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16.5">
      <c r="A2" s="1"/>
      <c r="B2" s="136" t="s">
        <v>0</v>
      </c>
      <c r="C2" s="1"/>
      <c r="D2" s="1"/>
      <c r="E2" s="1"/>
      <c r="F2" s="1"/>
      <c r="G2" s="1"/>
      <c r="H2" s="1"/>
      <c r="I2" s="1"/>
      <c r="J2" s="1"/>
      <c r="K2" s="1"/>
    </row>
    <row r="3" ht="16.5">
      <c r="A3" s="1"/>
      <c r="B3" s="135" t="s">
        <v>1</v>
      </c>
      <c r="C3" s="1"/>
      <c r="D3" s="1"/>
      <c r="E3" s="1"/>
      <c r="F3" s="1"/>
      <c r="G3" s="1"/>
      <c r="H3" s="1"/>
      <c r="I3" s="1"/>
      <c r="J3" s="1"/>
      <c r="K3" s="1"/>
    </row>
    <row r="4" ht="16.5">
      <c r="A4" s="1"/>
      <c r="B4" s="134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6" t="s">
        <v>3</v>
      </c>
      <c r="C5" s="21" t="s">
        <v>4</v>
      </c>
      <c r="D5" s="6"/>
      <c r="E5" s="6"/>
      <c r="F5" s="6"/>
      <c r="G5" s="6"/>
      <c r="H5" s="6"/>
      <c r="I5" s="6"/>
      <c r="J5" s="6"/>
      <c r="K5" s="6"/>
    </row>
    <row r="6">
      <c r="A6" s="1"/>
      <c r="B6" s="7" t="s">
        <v>5</v>
      </c>
      <c r="C6" s="29">
        <v>46295</v>
      </c>
      <c r="D6" s="7"/>
      <c r="E6" s="7"/>
      <c r="F6" s="7"/>
      <c r="G6" s="7"/>
      <c r="H6" s="7"/>
      <c r="I6" s="7"/>
      <c r="J6" s="7"/>
      <c r="K6" s="7"/>
    </row>
    <row r="7">
      <c r="A7" s="1"/>
      <c r="B7" s="12" t="s">
        <v>6</v>
      </c>
      <c r="C7" s="34">
        <f>C6-EOMONTH(C6,-3)</f>
        <v>92</v>
      </c>
      <c r="D7" s="12"/>
      <c r="E7" s="12"/>
      <c r="F7" s="12"/>
      <c r="G7" s="12"/>
      <c r="H7" s="12"/>
      <c r="I7" s="12"/>
      <c r="J7" s="12"/>
      <c r="K7" s="12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9" t="s">
        <v>7</v>
      </c>
      <c r="C9" s="9"/>
      <c r="D9" s="9"/>
      <c r="E9" s="9"/>
      <c r="F9" s="9"/>
      <c r="G9" s="9"/>
      <c r="H9" s="9"/>
      <c r="I9" s="9"/>
      <c r="J9" s="9"/>
      <c r="K9" s="9"/>
    </row>
    <row r="10">
      <c r="A10" s="1"/>
      <c r="B10" s="1" t="s">
        <v>7</v>
      </c>
      <c r="C10" s="1" t="s">
        <v>8</v>
      </c>
      <c r="D10" s="1"/>
      <c r="E10" s="1"/>
      <c r="F10" s="1"/>
      <c r="G10" s="1"/>
      <c r="H10" s="1"/>
      <c r="I10" s="1"/>
      <c r="J10" s="1"/>
      <c r="K10" s="1"/>
    </row>
    <row r="11">
      <c r="A11" s="1"/>
      <c r="B11" s="1" t="s">
        <v>9</v>
      </c>
      <c r="C11" s="1" t="s">
        <v>10</v>
      </c>
      <c r="D11" s="1"/>
      <c r="E11" s="1"/>
      <c r="F11" s="1"/>
      <c r="G11" s="1"/>
      <c r="H11" s="1"/>
      <c r="I11" s="1"/>
      <c r="J11" s="1"/>
      <c r="K11" s="1"/>
    </row>
    <row r="12">
      <c r="A12" s="1"/>
      <c r="B12" s="1" t="s">
        <v>11</v>
      </c>
      <c r="C12" s="1" t="s">
        <v>12</v>
      </c>
      <c r="D12" s="1"/>
      <c r="E12" s="1"/>
      <c r="F12" s="1"/>
      <c r="G12" s="1"/>
      <c r="H12" s="1"/>
      <c r="I12" s="1"/>
      <c r="J12" s="1"/>
      <c r="K12" s="1"/>
    </row>
    <row r="13">
      <c r="A13" s="1"/>
      <c r="B13" s="1" t="s">
        <v>13</v>
      </c>
      <c r="C13" s="1" t="s">
        <v>14</v>
      </c>
      <c r="D13" s="1"/>
      <c r="E13" s="1"/>
      <c r="F13" s="1"/>
      <c r="G13" s="1"/>
      <c r="H13" s="1"/>
      <c r="I13" s="1"/>
      <c r="J13" s="1"/>
      <c r="K13" s="1"/>
    </row>
    <row r="14">
      <c r="A14" s="1"/>
      <c r="B14" s="1" t="s">
        <v>15</v>
      </c>
      <c r="C14" s="1" t="s">
        <v>16</v>
      </c>
      <c r="D14" s="1"/>
      <c r="E14" s="1"/>
      <c r="F14" s="1"/>
      <c r="G14" s="1"/>
      <c r="H14" s="1"/>
      <c r="I14" s="1"/>
      <c r="J14" s="1"/>
      <c r="K14" s="1"/>
    </row>
    <row r="15">
      <c r="A15" s="1"/>
      <c r="B15" s="1" t="s">
        <v>17</v>
      </c>
      <c r="C15" s="1" t="s">
        <v>18</v>
      </c>
      <c r="D15" s="1"/>
      <c r="E15" s="1"/>
      <c r="F15" s="1"/>
      <c r="G15" s="1"/>
      <c r="H15" s="1"/>
      <c r="I15" s="1"/>
      <c r="J15" s="1"/>
      <c r="K15" s="1"/>
    </row>
    <row r="16">
      <c r="A16" s="1"/>
      <c r="B16" s="1" t="s">
        <v>19</v>
      </c>
      <c r="C16" s="1" t="s">
        <v>20</v>
      </c>
      <c r="D16" s="1"/>
      <c r="E16" s="1"/>
      <c r="F16" s="1"/>
      <c r="G16" s="1"/>
      <c r="H16" s="1"/>
      <c r="I16" s="1"/>
      <c r="J16" s="1"/>
      <c r="K16" s="1"/>
    </row>
    <row r="17">
      <c r="A17" s="1"/>
      <c r="B17" s="1" t="s">
        <v>21</v>
      </c>
      <c r="C17" s="1" t="s">
        <v>22</v>
      </c>
      <c r="D17" s="1"/>
      <c r="E17" s="1"/>
      <c r="F17" s="1"/>
      <c r="G17" s="1"/>
      <c r="H17" s="1"/>
      <c r="I17" s="1"/>
      <c r="J17" s="1"/>
      <c r="K17" s="1"/>
    </row>
    <row r="18">
      <c r="A18" s="1"/>
      <c r="B18" s="1" t="s">
        <v>23</v>
      </c>
      <c r="C18" s="1" t="s">
        <v>24</v>
      </c>
      <c r="D18" s="1"/>
      <c r="E18" s="1"/>
      <c r="F18" s="1"/>
      <c r="G18" s="1"/>
      <c r="H18" s="1"/>
      <c r="I18" s="1"/>
      <c r="J18" s="1"/>
      <c r="K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>
      <c r="A20" s="1"/>
      <c r="B20" s="9" t="s">
        <v>25</v>
      </c>
      <c r="C20" s="9"/>
      <c r="D20" s="9"/>
      <c r="E20" s="9"/>
      <c r="F20" s="9"/>
      <c r="G20" s="9"/>
      <c r="H20" s="9"/>
      <c r="I20" s="9"/>
      <c r="J20" s="9"/>
      <c r="K20" s="9"/>
    </row>
    <row r="21" ht="31.875">
      <c r="A21" s="1"/>
      <c r="B21" s="8" t="s">
        <v>26</v>
      </c>
      <c r="C21" s="110" t="s">
        <v>27</v>
      </c>
      <c r="D21" s="110" t="s">
        <v>28</v>
      </c>
      <c r="E21" s="110" t="s">
        <v>29</v>
      </c>
      <c r="F21" s="110" t="s">
        <v>30</v>
      </c>
      <c r="G21" s="110" t="s">
        <v>31</v>
      </c>
      <c r="H21" s="110" t="s">
        <v>32</v>
      </c>
      <c r="I21" s="8"/>
      <c r="J21" s="8"/>
      <c r="K21" s="8"/>
    </row>
    <row r="22">
      <c r="A22" s="1"/>
      <c r="B22" s="11" t="s">
        <v>33</v>
      </c>
      <c r="C22" s="4">
        <f>'Income Statement'!J16</f>
        <v>7597.55217019178</v>
      </c>
      <c r="D22" s="4">
        <f>Inputs!D65</f>
        <v>7619.23</v>
      </c>
      <c r="E22" s="2">
        <f>C22-D22</f>
        <v>-21.67782980821994</v>
      </c>
      <c r="F22" s="25">
        <f>C22/D22-1</f>
        <v>-0.0028451470566212</v>
      </c>
      <c r="G22" s="4">
        <f>Guidance!G25</f>
        <v>7499.5</v>
      </c>
      <c r="H22" s="2">
        <f>IF(ISNUMBER(G22),C22-G22,"n.a.")</f>
        <v>98.05217019177962</v>
      </c>
      <c r="I22" s="1"/>
      <c r="J22" s="1"/>
      <c r="K22" s="1"/>
    </row>
    <row r="23">
      <c r="A23" s="1"/>
      <c r="B23" s="11" t="s">
        <v>34</v>
      </c>
      <c r="C23" s="4">
        <f>'Income Statement'!J36</f>
        <v>2369.924989972601</v>
      </c>
      <c r="D23" s="4">
        <f>Inputs!D77</f>
        <v>2439.42</v>
      </c>
      <c r="E23" s="2">
        <f>C23-D23</f>
        <v>-69.49501002739908</v>
      </c>
      <c r="F23" s="25">
        <f>C23/D23-1</f>
        <v>-0.02848833330357181</v>
      </c>
      <c r="G23" s="2" t="s">
        <v>35</v>
      </c>
      <c r="H23" s="2" t="str">
        <f>IF(ISNUMBER(G23),C23-G23,"n.a.")</f>
        <v>n.a.</v>
      </c>
      <c r="I23" s="1"/>
      <c r="J23" s="1"/>
      <c r="K23" s="1"/>
    </row>
    <row r="24" ht="27">
      <c r="A24" s="1"/>
      <c r="B24" s="11" t="s">
        <v>36</v>
      </c>
      <c r="C24" s="4">
        <f>'Income Statement'!J47</f>
        <v>1628.7407420783547</v>
      </c>
      <c r="D24" s="4">
        <f>Inputs!D79</f>
        <v>1642.15</v>
      </c>
      <c r="E24" s="2">
        <f>C24-D24</f>
        <v>-13.409257921645349</v>
      </c>
      <c r="F24" s="25">
        <f>C24/D24-1</f>
        <v>-0.008165671784943762</v>
      </c>
      <c r="G24" s="2" t="s">
        <v>35</v>
      </c>
      <c r="H24" s="2" t="str">
        <f>IF(ISNUMBER(G24),C24-G24,"n.a.")</f>
        <v>n.a.</v>
      </c>
      <c r="I24" s="1"/>
      <c r="J24" s="1"/>
      <c r="K24" s="1"/>
    </row>
    <row r="25" ht="27">
      <c r="A25" s="1"/>
      <c r="B25" s="11" t="s">
        <v>37</v>
      </c>
      <c r="C25" s="4">
        <f>'Income Statement'!J72</f>
        <v>1628.7407420783547</v>
      </c>
      <c r="D25" s="4">
        <f>Inputs!D78</f>
        <v>1667.31</v>
      </c>
      <c r="E25" s="2">
        <f>C25-D25</f>
        <v>-38.5692579216452</v>
      </c>
      <c r="F25" s="25">
        <f>C25/D25-1</f>
        <v>-0.023132625559521114</v>
      </c>
      <c r="G25" s="2" t="s">
        <v>35</v>
      </c>
      <c r="H25" s="2" t="str">
        <f>IF(ISNUMBER(G25),C25-G25,"n.a.")</f>
        <v>n.a.</v>
      </c>
      <c r="I25" s="1"/>
      <c r="J25" s="1"/>
      <c r="K25" s="1"/>
    </row>
    <row r="26" ht="27">
      <c r="A26" s="1"/>
      <c r="B26" s="11" t="s">
        <v>38</v>
      </c>
      <c r="C26" s="125">
        <f>'Income Statement'!J73</f>
        <v>0.12120273071874295</v>
      </c>
      <c r="D26" s="125">
        <f>Inputs!D47</f>
        <v>0.12</v>
      </c>
      <c r="E26" s="124">
        <f>C26-D26</f>
        <v>0.0012027307187429531</v>
      </c>
      <c r="F26" s="25">
        <f>C26/D26-1</f>
        <v>0.010022755989524512</v>
      </c>
      <c r="G26" s="31" t="s">
        <v>35</v>
      </c>
      <c r="H26" s="31" t="str">
        <f>IF(ISNUMBER(G26),C26-G26,"n.a.")</f>
        <v>n.a.</v>
      </c>
      <c r="I26" s="1"/>
      <c r="J26" s="1"/>
      <c r="K26" s="1"/>
    </row>
    <row r="27">
      <c r="A27" s="1"/>
      <c r="B27" s="11" t="s">
        <v>39</v>
      </c>
      <c r="C27" s="125">
        <f>'Income Statement'!J59</f>
        <v>0.11753996188045715</v>
      </c>
      <c r="D27" s="125">
        <f>Inputs!D56</f>
        <v>0.12</v>
      </c>
      <c r="E27" s="124">
        <f>C27-D27</f>
        <v>-0.0024600381195428456</v>
      </c>
      <c r="F27" s="25">
        <f>C27/D27-1</f>
        <v>-0.020500317662857093</v>
      </c>
      <c r="G27" s="31" t="s">
        <v>35</v>
      </c>
      <c r="H27" s="31" t="str">
        <f>IF(ISNUMBER(G27),C27-G27,"n.a.")</f>
        <v>n.a.</v>
      </c>
      <c r="I27" s="1"/>
      <c r="J27" s="1"/>
      <c r="K27" s="1"/>
    </row>
    <row r="28">
      <c r="A28" s="1"/>
      <c r="B28" s="1" t="s">
        <v>40</v>
      </c>
      <c r="C28" s="60">
        <f>Inputs!C126</f>
        <v>0.5214285714285714</v>
      </c>
      <c r="D28" s="1"/>
      <c r="E28" s="1"/>
      <c r="F28" s="1"/>
      <c r="G28" s="1"/>
      <c r="H28" s="1"/>
      <c r="I28" s="1"/>
      <c r="J28" s="1"/>
      <c r="K28" s="1"/>
    </row>
    <row r="29">
      <c r="A29" s="1"/>
      <c r="B29" s="1" t="s">
        <v>41</v>
      </c>
      <c r="C29" s="58" t="str">
        <f>Inputs!C127</f>
        <v>low</v>
      </c>
      <c r="D29" s="1"/>
      <c r="E29" s="1"/>
      <c r="F29" s="1"/>
      <c r="G29" s="1"/>
      <c r="H29" s="1"/>
      <c r="I29" s="1"/>
      <c r="J29" s="1"/>
      <c r="K29" s="1"/>
    </row>
    <row r="30" ht="27">
      <c r="A30" s="1"/>
      <c r="B30" s="112" t="s">
        <v>42</v>
      </c>
      <c r="C30" s="137" t="str">
        <f>IF(AND(MAX('Segment - Barclays UK'!C72:J72)&lt;0.01,MIN('Segment - Barclays UK'!C72:J72)&gt;-0.01,MAX('Segment - Barclays UK'!C43:I43)&lt;0.01,MIN('Segment - Barclays UK'!C43:I43)&gt;-0.01,MAX('Segment - UK Corporate Bank'!C70:J70)&lt;0.01,MIN('Segment - UK Corporate Bank'!C70:J70)&gt;-0.01,MAX('Segment - UK Corporate Bank'!C43:I43)&lt;0.01,MIN('Segment - UK Corporate Bank'!C43:I43)&gt;-0.01,MAX('Segment - Private Bank &amp; WM'!C59:J59)&lt;0.01,MIN('Segment - Private Bank &amp; WM'!C59:J59)&gt;-0.01,MAX('Segment - Investment Bank'!C119:J119)&lt;0.01,MIN('Segment - Investment Bank'!C119:J119)&gt;-0.01,MAX('Segment - Investment Bank'!C90:I90)&lt;0.01,MIN('Segment - Investment Bank'!C90:I90)&gt;-0.01,MAX('Segment - US Consumer Bank'!C66:J66)&lt;0.01,MIN('Segment - US Consumer Bank'!C66:J66)&gt;-0.01,MAX('Segment - Head Office'!C45:J45)&lt;0.01,MIN('Segment - Head Office'!C45:J45)&gt;-0.01,MAX('Revenue summary'!C48:I48)&lt;0.01,MIN('Revenue summary'!C48:I48)&gt;-0.01,MAX('Income Statement'!C20:J20)&lt;0.01,MIN('Income Statement'!C20:J20)&gt;-0.01,MAX('Income Statement'!C51:J51)&lt;0.01,MIN('Income Statement'!C51:J51)&gt;-0.01,MAX('Income Statement'!C63:J63)&lt;0.01,MIN('Income Statement'!C63:J63)&gt;-0.01,MAX('Income Statement'!C76:J76)&lt;0.01,MIN('Income Statement'!C76:J76)&gt;-0.01,MAX('Balance Sheet'!C73:I73)&lt;0.01,MIN('Balance Sheet'!C73:I73)&gt;-0.01,MAX('Balance Sheet'!C33:J33)&lt;0.01,MIN('Balance Sheet'!C33:J33)&gt;-0.01,MAX('Balance Sheet'!C56:J56)&lt;0.01,MIN('Balance Sheet'!C56:J56)&gt;-0.01,MAX('Cash Flow Statement'!D20,'Cash Flow Statement'!G20,'Cash Flow Statement'!I20)&lt;0.01,MIN('Cash Flow Statement'!D20,'Cash Flow Statement'!G20,'Cash Flow Statement'!I20)&gt;-0.01,MAX('Cash Flow Statement'!D30,'Cash Flow Statement'!G30,'Cash Flow Statement'!I30)&lt;0.01,MIN('Cash Flow Statement'!D30,'Cash Flow Statement'!G30,'Cash Flow Statement'!I30)&gt;-0.01,MAX('Cash Flow Statement'!D34,'Cash Flow Statement'!G34,'Cash Flow Statement'!I34)&lt;0.01,MIN('Cash Flow Statement'!D34,'Cash Flow Statement'!G34,'Cash Flow Statement'!I34)&gt;-0.01,MAX('Cash Flow Statement'!G42)&lt;0.01,MIN('Cash Flow Statement'!G42)&gt;-0.01,MAX('Cash Flow Statement'!C47:J47)&lt;0.01,MIN('Cash Flow Statement'!C47:J47)&gt;-0.01,MAX('Cash Flow Statement'!C48:J48)&lt;0.01,MIN('Cash Flow Statement'!C48:J48)&gt;-0.01),"PASS","FAIL")</f>
        <v>PASS</v>
      </c>
      <c r="D30" s="9"/>
      <c r="E30" s="9"/>
      <c r="F30" s="9"/>
      <c r="G30" s="9"/>
      <c r="H30" s="9"/>
      <c r="I30" s="9"/>
      <c r="J30" s="9"/>
      <c r="K30" s="9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>
      <c r="A32" s="1"/>
      <c r="B32" s="9" t="s">
        <v>43</v>
      </c>
      <c r="C32" s="9"/>
      <c r="D32" s="9"/>
      <c r="E32" s="9"/>
      <c r="F32" s="9"/>
      <c r="G32" s="9"/>
      <c r="H32" s="9"/>
      <c r="I32" s="9"/>
      <c r="J32" s="9"/>
      <c r="K32" s="9"/>
    </row>
    <row r="33">
      <c r="A33" s="1"/>
      <c r="B33" s="3" t="s">
        <v>44</v>
      </c>
      <c r="C33" s="3"/>
      <c r="D33" s="3"/>
      <c r="E33" s="3"/>
      <c r="F33" s="3"/>
      <c r="G33" s="3"/>
      <c r="H33" s="3"/>
      <c r="I33" s="3"/>
      <c r="J33" s="3"/>
      <c r="K33" s="3"/>
    </row>
    <row r="34">
      <c r="A34" s="1"/>
      <c r="B34" s="3" t="s">
        <v>45</v>
      </c>
      <c r="C34" s="3"/>
      <c r="D34" s="3"/>
      <c r="E34" s="3"/>
      <c r="F34" s="3"/>
      <c r="G34" s="3"/>
      <c r="H34" s="3"/>
      <c r="I34" s="3"/>
      <c r="J34" s="3"/>
      <c r="K34" s="3"/>
    </row>
    <row r="35">
      <c r="A35" s="1"/>
      <c r="B35" s="3" t="s">
        <v>46</v>
      </c>
      <c r="C35" s="3"/>
      <c r="D35" s="3"/>
      <c r="E35" s="3"/>
      <c r="F35" s="3"/>
      <c r="G35" s="3"/>
      <c r="H35" s="3"/>
      <c r="I35" s="3"/>
      <c r="J35" s="3"/>
      <c r="K35" s="3"/>
    </row>
    <row r="36">
      <c r="A36" s="1"/>
      <c r="B36" s="114" t="s">
        <v>47</v>
      </c>
      <c r="C36" s="1"/>
      <c r="D36" s="1"/>
      <c r="E36" s="1"/>
      <c r="F36" s="1"/>
      <c r="G36" s="1"/>
      <c r="H36" s="1"/>
      <c r="I36" s="1"/>
      <c r="J36" s="1"/>
      <c r="K36" s="1"/>
    </row>
    <row r="37" ht="27">
      <c r="A37" s="1"/>
      <c r="B37" s="111" t="s">
        <v>48</v>
      </c>
      <c r="C37" s="4">
        <f>ABS(C22-'Income Statement'!J16)+ABS(C24-'Income Statement'!J47)+ABS(C26-'Income Statement'!J73)</f>
        <v>0</v>
      </c>
      <c r="D37" s="1"/>
      <c r="E37" s="1"/>
      <c r="F37" s="1"/>
      <c r="G37" s="1"/>
      <c r="H37" s="1"/>
      <c r="I37" s="1"/>
      <c r="J37" s="1"/>
      <c r="K37" s="1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0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  <col min="11" max="11" width="9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35" t="s">
        <v>49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9" t="s">
        <v>50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3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6" t="s">
        <v>51</v>
      </c>
      <c r="C5" s="21" t="s">
        <v>52</v>
      </c>
      <c r="D5" s="21" t="s">
        <v>53</v>
      </c>
      <c r="E5" s="21" t="s">
        <v>54</v>
      </c>
      <c r="F5" s="21" t="s">
        <v>55</v>
      </c>
      <c r="G5" s="21" t="s">
        <v>56</v>
      </c>
      <c r="H5" s="21" t="s">
        <v>57</v>
      </c>
      <c r="I5" s="21" t="s">
        <v>58</v>
      </c>
      <c r="J5" s="40" t="s">
        <v>4</v>
      </c>
      <c r="K5" s="6" t="s">
        <v>59</v>
      </c>
    </row>
    <row r="6">
      <c r="A6" s="1"/>
      <c r="B6" s="7" t="s">
        <v>5</v>
      </c>
      <c r="C6" s="29">
        <v>45747</v>
      </c>
      <c r="D6" s="29">
        <v>45838</v>
      </c>
      <c r="E6" s="29">
        <v>45930</v>
      </c>
      <c r="F6" s="29">
        <v>46022</v>
      </c>
      <c r="G6" s="29">
        <v>46022</v>
      </c>
      <c r="H6" s="29">
        <v>46112</v>
      </c>
      <c r="I6" s="29">
        <v>46203</v>
      </c>
      <c r="J6" s="50">
        <v>46295</v>
      </c>
      <c r="K6" s="7"/>
    </row>
    <row r="7">
      <c r="A7" s="1"/>
      <c r="B7" s="12" t="s">
        <v>6</v>
      </c>
      <c r="C7" s="34">
        <f>C6-EOMONTH(C6,-3)</f>
        <v>90</v>
      </c>
      <c r="D7" s="34">
        <f>D6-EOMONTH(D6,-3)</f>
        <v>91</v>
      </c>
      <c r="E7" s="34">
        <f>E6-EOMONTH(E6,-3)</f>
        <v>92</v>
      </c>
      <c r="F7" s="34">
        <f>F6-EOMONTH(F6,-3)</f>
        <v>92</v>
      </c>
      <c r="G7" s="34">
        <f>G6-EOMONTH(G6,-12)</f>
        <v>365</v>
      </c>
      <c r="H7" s="34">
        <f>H6-EOMONTH(H6,-3)</f>
        <v>90</v>
      </c>
      <c r="I7" s="34">
        <f>I6-EOMONTH(I6,-3)</f>
        <v>91</v>
      </c>
      <c r="J7" s="43">
        <f>J6-EOMONTH(J6,-3)</f>
        <v>92</v>
      </c>
      <c r="K7" s="12"/>
    </row>
    <row r="8">
      <c r="A8" s="1"/>
      <c r="B8" s="1"/>
      <c r="C8" s="1"/>
      <c r="D8" s="1"/>
      <c r="E8" s="1"/>
      <c r="F8" s="1"/>
      <c r="G8" s="1"/>
      <c r="H8" s="1"/>
      <c r="I8" s="1"/>
      <c r="J8" s="54"/>
      <c r="K8" s="1"/>
    </row>
    <row r="9">
      <c r="A9" s="1"/>
      <c r="B9" s="20" t="s">
        <v>60</v>
      </c>
      <c r="C9" s="32"/>
      <c r="D9" s="32"/>
      <c r="E9" s="32"/>
      <c r="F9" s="32"/>
      <c r="G9" s="32"/>
      <c r="H9" s="32"/>
      <c r="I9" s="32"/>
      <c r="J9" s="28"/>
      <c r="K9" s="14"/>
    </row>
    <row r="10">
      <c r="A10" s="1"/>
      <c r="B10" s="18" t="s">
        <v>61</v>
      </c>
      <c r="C10" s="4">
        <f>'Segment - Barclays UK'!C29</f>
        <v>2074</v>
      </c>
      <c r="D10" s="4">
        <f>'Segment - Barclays UK'!D29</f>
        <v>2119</v>
      </c>
      <c r="E10" s="4">
        <f>'Segment - Barclays UK'!E29</f>
        <v>2253</v>
      </c>
      <c r="F10" s="4">
        <f>'Segment - Barclays UK'!F29</f>
        <v>2262</v>
      </c>
      <c r="G10" s="4">
        <f>'Segment - Barclays UK'!G29</f>
        <v>8708</v>
      </c>
      <c r="H10" s="4">
        <f>'Segment - Barclays UK'!H29</f>
        <v>2258</v>
      </c>
      <c r="I10" s="4">
        <f>'Segment - Barclays UK'!I29</f>
        <v>2259</v>
      </c>
      <c r="J10" s="87">
        <f>'Segment - Barclays UK'!J29</f>
        <v>2349.0340849315066</v>
      </c>
      <c r="K10" s="14" t="s">
        <v>62</v>
      </c>
    </row>
    <row r="11">
      <c r="A11" s="1"/>
      <c r="B11" s="37" t="s">
        <v>63</v>
      </c>
      <c r="C11" s="25" t="s">
        <v>64</v>
      </c>
      <c r="D11" s="25" t="s">
        <v>64</v>
      </c>
      <c r="E11" s="25" t="s">
        <v>64</v>
      </c>
      <c r="F11" s="25" t="s">
        <v>64</v>
      </c>
      <c r="G11" s="25" t="s">
        <v>64</v>
      </c>
      <c r="H11" s="25">
        <f>IFERROR(H10/C10-1,"n.a.")</f>
        <v>0.0887174541947926</v>
      </c>
      <c r="I11" s="25">
        <f>IFERROR(I10/D10-1,"n.a.")</f>
        <v>0.06606890042472857</v>
      </c>
      <c r="J11" s="51">
        <f>IFERROR(J10/E10-1,"n.a.")</f>
        <v>0.04262498221549338</v>
      </c>
      <c r="K11" s="14"/>
    </row>
    <row r="12">
      <c r="A12" s="1"/>
      <c r="B12" s="37" t="s">
        <v>65</v>
      </c>
      <c r="C12" s="25" t="s">
        <v>64</v>
      </c>
      <c r="D12" s="25">
        <f>IFERROR(D10/C10-1,"n.a.")</f>
        <v>0.021697203471552573</v>
      </c>
      <c r="E12" s="25">
        <f>IFERROR(E10/D10-1,"n.a.")</f>
        <v>0.0632373761208116</v>
      </c>
      <c r="F12" s="25">
        <f>IFERROR(F10/E10-1,"n.a.")</f>
        <v>0.003994673768308976</v>
      </c>
      <c r="G12" s="25" t="s">
        <v>64</v>
      </c>
      <c r="H12" s="25">
        <f>IFERROR(H10/F10-1,"n.a.")</f>
        <v>-0.0017683465959328348</v>
      </c>
      <c r="I12" s="25">
        <f>IFERROR(I10/H10-1,"n.a.")</f>
        <v>0.0004428697962799433</v>
      </c>
      <c r="J12" s="51">
        <f>IFERROR(J10/I10-1,"n.a.")</f>
        <v>0.03985572595462883</v>
      </c>
      <c r="K12" s="14"/>
    </row>
    <row r="13">
      <c r="A13" s="1"/>
      <c r="B13" s="37" t="s">
        <v>66</v>
      </c>
      <c r="C13" s="25">
        <f>IFERROR(C10/C34,"n.a.")</f>
        <v>0.269036191464522</v>
      </c>
      <c r="D13" s="25">
        <f>IFERROR(D10/D34,"n.a.")</f>
        <v>0.29483790176707947</v>
      </c>
      <c r="E13" s="25">
        <f>IFERROR(E10/E34,"n.a.")</f>
        <v>0.3143574717455002</v>
      </c>
      <c r="F13" s="25">
        <f>IFERROR(F10/F34,"n.a.")</f>
        <v>0.31962696057651546</v>
      </c>
      <c r="G13" s="25">
        <f>IFERROR(G10/G34,"n.a.")</f>
        <v>0.2988332189430336</v>
      </c>
      <c r="H13" s="25">
        <f>IFERROR(H10/H34,"n.a.")</f>
        <v>0.2766139899546735</v>
      </c>
      <c r="I13" s="25">
        <f>IFERROR(I10/I34,"n.a.")</f>
        <v>0.27092828016310866</v>
      </c>
      <c r="J13" s="51">
        <f>IFERROR(J10/J34,"n.a.")</f>
        <v>0.3091830147804318</v>
      </c>
      <c r="K13" s="14"/>
    </row>
    <row r="14">
      <c r="A14" s="1"/>
      <c r="B14" s="18" t="s">
        <v>67</v>
      </c>
      <c r="C14" s="4">
        <f>'Segment - UK Corporate Bank'!C29</f>
        <v>484</v>
      </c>
      <c r="D14" s="4">
        <f>'Segment - UK Corporate Bank'!D29</f>
        <v>519</v>
      </c>
      <c r="E14" s="4">
        <f>'Segment - UK Corporate Bank'!E29</f>
        <v>522</v>
      </c>
      <c r="F14" s="4">
        <f>'Segment - UK Corporate Bank'!F29</f>
        <v>539</v>
      </c>
      <c r="G14" s="4">
        <f>'Segment - UK Corporate Bank'!G29</f>
        <v>2064</v>
      </c>
      <c r="H14" s="4">
        <f>'Segment - UK Corporate Bank'!H29</f>
        <v>530</v>
      </c>
      <c r="I14" s="4">
        <f>'Segment - UK Corporate Bank'!I29</f>
        <v>558</v>
      </c>
      <c r="J14" s="87">
        <f>'Segment - UK Corporate Bank'!J29</f>
        <v>566.2053400547945</v>
      </c>
      <c r="K14" s="14" t="s">
        <v>68</v>
      </c>
    </row>
    <row r="15">
      <c r="A15" s="1"/>
      <c r="B15" s="37" t="s">
        <v>63</v>
      </c>
      <c r="C15" s="25" t="s">
        <v>64</v>
      </c>
      <c r="D15" s="25" t="s">
        <v>64</v>
      </c>
      <c r="E15" s="25" t="s">
        <v>64</v>
      </c>
      <c r="F15" s="25" t="s">
        <v>64</v>
      </c>
      <c r="G15" s="25" t="s">
        <v>64</v>
      </c>
      <c r="H15" s="25">
        <f>IFERROR(H14/C14-1,"n.a.")</f>
        <v>0.0950413223140496</v>
      </c>
      <c r="I15" s="25">
        <f>IFERROR(I14/D14-1,"n.a.")</f>
        <v>0.07514450867052025</v>
      </c>
      <c r="J15" s="51">
        <f>IFERROR(J14/E14-1,"n.a.")</f>
        <v>0.08468455949194365</v>
      </c>
      <c r="K15" s="14"/>
    </row>
    <row r="16">
      <c r="A16" s="1"/>
      <c r="B16" s="37" t="s">
        <v>65</v>
      </c>
      <c r="C16" s="25" t="s">
        <v>64</v>
      </c>
      <c r="D16" s="25">
        <f>IFERROR(D14/C14-1,"n.a.")</f>
        <v>0.0723140495867769</v>
      </c>
      <c r="E16" s="25">
        <f>IFERROR(E14/D14-1,"n.a.")</f>
        <v>0.005780346820809301</v>
      </c>
      <c r="F16" s="25">
        <f>IFERROR(F14/E14-1,"n.a.")</f>
        <v>0.03256704980842917</v>
      </c>
      <c r="G16" s="25" t="s">
        <v>64</v>
      </c>
      <c r="H16" s="25">
        <f>IFERROR(H14/F14-1,"n.a.")</f>
        <v>-0.016697588126159513</v>
      </c>
      <c r="I16" s="25">
        <f>IFERROR(I14/H14-1,"n.a.")</f>
        <v>0.05283018867924527</v>
      </c>
      <c r="J16" s="51">
        <f>IFERROR(J14/I14-1,"n.a.")</f>
        <v>0.014704910492463252</v>
      </c>
      <c r="K16" s="14"/>
    </row>
    <row r="17">
      <c r="A17" s="1"/>
      <c r="B17" s="37" t="s">
        <v>66</v>
      </c>
      <c r="C17" s="25">
        <f>IFERROR(C14/C34,"n.a.")</f>
        <v>0.06278375924244389</v>
      </c>
      <c r="D17" s="25">
        <f>IFERROR(D14/D34,"n.a.")</f>
        <v>0.07221371921524976</v>
      </c>
      <c r="E17" s="25">
        <f>IFERROR(E14/E34,"n.a.")</f>
        <v>0.07283382168271244</v>
      </c>
      <c r="F17" s="25">
        <f>IFERROR(F14/F34,"n.a.")</f>
        <v>0.076162215628091</v>
      </c>
      <c r="G17" s="25">
        <f>IFERROR(G14/G34,"n.a.")</f>
        <v>0.07083047357584077</v>
      </c>
      <c r="H17" s="25">
        <f>IFERROR(H14/H34,"n.a.")</f>
        <v>0.06492711013107925</v>
      </c>
      <c r="I17" s="25">
        <f>IFERROR(I14/I34,"n.a.")</f>
        <v>0.06692252338690334</v>
      </c>
      <c r="J17" s="51">
        <f>IFERROR(J14/J34,"n.a.")</f>
        <v>0.07452470576987195</v>
      </c>
      <c r="K17" s="14"/>
    </row>
    <row r="18" ht="14.624267578125">
      <c r="A18" s="1"/>
      <c r="B18" s="13" t="s">
        <v>69</v>
      </c>
      <c r="C18" s="4">
        <f>'Segment - Private Bank &amp; WM'!C29</f>
        <v>349</v>
      </c>
      <c r="D18" s="4">
        <f>'Segment - Private Bank &amp; WM'!D29</f>
        <v>348</v>
      </c>
      <c r="E18" s="4">
        <f>'Segment - Private Bank &amp; WM'!E29</f>
        <v>335</v>
      </c>
      <c r="F18" s="4">
        <f>'Segment - Private Bank &amp; WM'!F29</f>
        <v>348</v>
      </c>
      <c r="G18" s="4">
        <f>'Segment - Private Bank &amp; WM'!G29</f>
        <v>1380</v>
      </c>
      <c r="H18" s="4">
        <f>'Segment - Private Bank &amp; WM'!H29</f>
        <v>347</v>
      </c>
      <c r="I18" s="4">
        <f>'Segment - Private Bank &amp; WM'!I29</f>
        <v>366</v>
      </c>
      <c r="J18" s="87">
        <f>'Segment - Private Bank &amp; WM'!J29</f>
        <v>363.6602901917808</v>
      </c>
      <c r="K18" s="14" t="s">
        <v>70</v>
      </c>
    </row>
    <row r="19">
      <c r="A19" s="1"/>
      <c r="B19" s="37" t="s">
        <v>63</v>
      </c>
      <c r="C19" s="25" t="s">
        <v>64</v>
      </c>
      <c r="D19" s="25" t="s">
        <v>64</v>
      </c>
      <c r="E19" s="25" t="s">
        <v>64</v>
      </c>
      <c r="F19" s="25" t="s">
        <v>64</v>
      </c>
      <c r="G19" s="25" t="s">
        <v>64</v>
      </c>
      <c r="H19" s="25">
        <f>IFERROR(H18/C18-1,"n.a.")</f>
        <v>-0.005730659025787954</v>
      </c>
      <c r="I19" s="25">
        <f>IFERROR(I18/D18-1,"n.a.")</f>
        <v>0.051724137931034475</v>
      </c>
      <c r="J19" s="51">
        <f>IFERROR(J18/E18-1,"n.a.")</f>
        <v>0.08555310505009195</v>
      </c>
      <c r="K19" s="14"/>
    </row>
    <row r="20">
      <c r="A20" s="1"/>
      <c r="B20" s="37" t="s">
        <v>65</v>
      </c>
      <c r="C20" s="25" t="s">
        <v>64</v>
      </c>
      <c r="D20" s="25">
        <f>IFERROR(D18/C18-1,"n.a.")</f>
        <v>-0.002865329512893977</v>
      </c>
      <c r="E20" s="25">
        <f>IFERROR(E18/D18-1,"n.a.")</f>
        <v>-0.03735632183908044</v>
      </c>
      <c r="F20" s="25">
        <f>IFERROR(F18/E18-1,"n.a.")</f>
        <v>0.0388059701492538</v>
      </c>
      <c r="G20" s="25" t="s">
        <v>64</v>
      </c>
      <c r="H20" s="25">
        <f>IFERROR(H18/F18-1,"n.a.")</f>
        <v>-0.002873563218390829</v>
      </c>
      <c r="I20" s="25">
        <f>IFERROR(I18/H18-1,"n.a.")</f>
        <v>0.05475504322766578</v>
      </c>
      <c r="J20" s="51">
        <f>IFERROR(J18/I18-1,"n.a.")</f>
        <v>-0.006392649749232815</v>
      </c>
      <c r="K20" s="14"/>
    </row>
    <row r="21">
      <c r="A21" s="1"/>
      <c r="B21" s="37" t="s">
        <v>66</v>
      </c>
      <c r="C21" s="25">
        <f>IFERROR(C18/C34,"n.a.")</f>
        <v>0.04527176028019198</v>
      </c>
      <c r="D21" s="25">
        <f>IFERROR(D18/D34,"n.a.")</f>
        <v>0.04842075970502296</v>
      </c>
      <c r="E21" s="25">
        <f>IFERROR(E18/E34,"n.a.")</f>
        <v>0.04674201199944188</v>
      </c>
      <c r="F21" s="25">
        <f>IFERROR(F18/F34,"n.a.")</f>
        <v>0.04917337855023315</v>
      </c>
      <c r="G21" s="25">
        <f>IFERROR(G18/G34,"n.a.")</f>
        <v>0.04735758407687028</v>
      </c>
      <c r="H21" s="25">
        <f>IFERROR(H18/H34,"n.a.")</f>
        <v>0.042508881538650005</v>
      </c>
      <c r="I21" s="25">
        <f>IFERROR(I18/I34,"n.a.")</f>
        <v>0.043895418565603264</v>
      </c>
      <c r="J21" s="51">
        <f>IFERROR(J18/J34,"n.a.")</f>
        <v>0.047865454826169516</v>
      </c>
      <c r="K21" s="14"/>
    </row>
    <row r="22">
      <c r="A22" s="1"/>
      <c r="B22" s="18" t="s">
        <v>71</v>
      </c>
      <c r="C22" s="4">
        <f>'Segment - Investment Bank'!C74</f>
        <v>3873</v>
      </c>
      <c r="D22" s="4">
        <f>'Segment - Investment Bank'!D74</f>
        <v>3307</v>
      </c>
      <c r="E22" s="4">
        <f>'Segment - Investment Bank'!E74</f>
        <v>3083</v>
      </c>
      <c r="F22" s="4">
        <f>'Segment - Investment Bank'!F74</f>
        <v>2792</v>
      </c>
      <c r="G22" s="4">
        <f>'Segment - Investment Bank'!G74</f>
        <v>13055</v>
      </c>
      <c r="H22" s="4">
        <f>'Segment - Investment Bank'!H74</f>
        <v>4028</v>
      </c>
      <c r="I22" s="4">
        <f>'Segment - Investment Bank'!I74</f>
        <v>3958</v>
      </c>
      <c r="J22" s="87">
        <f>'Segment - Investment Bank'!J74</f>
        <v>3317.8178</v>
      </c>
      <c r="K22" s="14" t="s">
        <v>72</v>
      </c>
    </row>
    <row r="23">
      <c r="A23" s="1"/>
      <c r="B23" s="37" t="s">
        <v>63</v>
      </c>
      <c r="C23" s="25" t="s">
        <v>64</v>
      </c>
      <c r="D23" s="25" t="s">
        <v>64</v>
      </c>
      <c r="E23" s="25" t="s">
        <v>64</v>
      </c>
      <c r="F23" s="25" t="s">
        <v>64</v>
      </c>
      <c r="G23" s="25" t="s">
        <v>64</v>
      </c>
      <c r="H23" s="25">
        <f>IFERROR(H22/C22-1,"n.a.")</f>
        <v>0.04002065582235992</v>
      </c>
      <c r="I23" s="25">
        <f>IFERROR(I22/D22-1,"n.a.")</f>
        <v>0.19685515573026913</v>
      </c>
      <c r="J23" s="51">
        <f>IFERROR(J22/E22-1,"n.a.")</f>
        <v>0.07616535841712602</v>
      </c>
      <c r="K23" s="14"/>
    </row>
    <row r="24">
      <c r="A24" s="1"/>
      <c r="B24" s="37" t="s">
        <v>65</v>
      </c>
      <c r="C24" s="25" t="s">
        <v>64</v>
      </c>
      <c r="D24" s="25">
        <f>IFERROR(D22/C22-1,"n.a.")</f>
        <v>-0.1461399431964885</v>
      </c>
      <c r="E24" s="25">
        <f>IFERROR(E22/D22-1,"n.a.")</f>
        <v>-0.06773510734804955</v>
      </c>
      <c r="F24" s="25">
        <f>IFERROR(F22/E22-1,"n.a.")</f>
        <v>-0.0943885825494648</v>
      </c>
      <c r="G24" s="25" t="s">
        <v>64</v>
      </c>
      <c r="H24" s="25">
        <f>IFERROR(H22/F22-1,"n.a.")</f>
        <v>0.44269340974212024</v>
      </c>
      <c r="I24" s="25">
        <f>IFERROR(I22/H22-1,"n.a.")</f>
        <v>-0.0173783515392254</v>
      </c>
      <c r="J24" s="51">
        <f>IFERROR(J22/I22-1,"n.a.")</f>
        <v>-0.16174386053562406</v>
      </c>
      <c r="K24" s="14"/>
    </row>
    <row r="25">
      <c r="A25" s="1"/>
      <c r="B25" s="37" t="s">
        <v>66</v>
      </c>
      <c r="C25" s="25">
        <f>IFERROR(C22/C34,"n.a.")</f>
        <v>0.5023997924503827</v>
      </c>
      <c r="D25" s="25">
        <f>IFERROR(D22/D34,"n.a.")</f>
        <v>0.460136357311813</v>
      </c>
      <c r="E25" s="25">
        <f>IFERROR(E22/E34,"n.a.")</f>
        <v>0.43016603878889353</v>
      </c>
      <c r="F25" s="25">
        <f>IFERROR(F22/F34,"n.a.")</f>
        <v>0.39451745089727286</v>
      </c>
      <c r="G25" s="25">
        <f>IFERROR(G22/G34,"n.a.")</f>
        <v>0.44800960878517504</v>
      </c>
      <c r="H25" s="25">
        <f>IFERROR(H22/H34,"n.a.")</f>
        <v>0.4934460369962024</v>
      </c>
      <c r="I25" s="25">
        <f>IFERROR(I22/I34,"n.a.")</f>
        <v>0.47469417126409214</v>
      </c>
      <c r="J25" s="51">
        <f>IFERROR(J22/J34,"n.a.")</f>
        <v>0.4366956258644882</v>
      </c>
      <c r="K25" s="14"/>
    </row>
    <row r="26">
      <c r="A26" s="1"/>
      <c r="B26" s="18" t="s">
        <v>73</v>
      </c>
      <c r="C26" s="4">
        <f>'Segment - US Consumer Bank'!C36</f>
        <v>864</v>
      </c>
      <c r="D26" s="4">
        <f>'Segment - US Consumer Bank'!D36</f>
        <v>823</v>
      </c>
      <c r="E26" s="4">
        <f>'Segment - US Consumer Bank'!E36</f>
        <v>941</v>
      </c>
      <c r="F26" s="4">
        <f>'Segment - US Consumer Bank'!F36</f>
        <v>1053</v>
      </c>
      <c r="G26" s="4">
        <f>'Segment - US Consumer Bank'!G36</f>
        <v>3681</v>
      </c>
      <c r="H26" s="4">
        <f>'Segment - US Consumer Bank'!H36</f>
        <v>983</v>
      </c>
      <c r="I26" s="4">
        <f>'Segment - US Consumer Bank'!I36</f>
        <v>1136</v>
      </c>
      <c r="J26" s="87">
        <f>'Segment - US Consumer Bank'!J36</f>
        <v>952.3346550136987</v>
      </c>
      <c r="K26" s="14" t="s">
        <v>74</v>
      </c>
    </row>
    <row r="27">
      <c r="A27" s="1"/>
      <c r="B27" s="37" t="s">
        <v>63</v>
      </c>
      <c r="C27" s="25" t="s">
        <v>64</v>
      </c>
      <c r="D27" s="25" t="s">
        <v>64</v>
      </c>
      <c r="E27" s="25" t="s">
        <v>64</v>
      </c>
      <c r="F27" s="25" t="s">
        <v>64</v>
      </c>
      <c r="G27" s="25" t="s">
        <v>64</v>
      </c>
      <c r="H27" s="25">
        <f>IFERROR(H26/C26-1,"n.a.")</f>
        <v>0.1377314814814814</v>
      </c>
      <c r="I27" s="25">
        <f>IFERROR(I26/D26-1,"n.a.")</f>
        <v>0.38031591737545556</v>
      </c>
      <c r="J27" s="51">
        <f>IFERROR(J26/E26-1,"n.a.")</f>
        <v>0.01204532945132697</v>
      </c>
      <c r="K27" s="14"/>
    </row>
    <row r="28">
      <c r="A28" s="1"/>
      <c r="B28" s="37" t="s">
        <v>65</v>
      </c>
      <c r="C28" s="25" t="s">
        <v>64</v>
      </c>
      <c r="D28" s="25">
        <f>IFERROR(D26/C26-1,"n.a.")</f>
        <v>-0.04745370370370372</v>
      </c>
      <c r="E28" s="25">
        <f>IFERROR(E26/D26-1,"n.a.")</f>
        <v>0.14337788578371802</v>
      </c>
      <c r="F28" s="25">
        <f>IFERROR(F26/E26-1,"n.a.")</f>
        <v>0.11902231668437824</v>
      </c>
      <c r="G28" s="25" t="s">
        <v>64</v>
      </c>
      <c r="H28" s="25">
        <f>IFERROR(H26/F26-1,"n.a.")</f>
        <v>-0.06647673314339986</v>
      </c>
      <c r="I28" s="25">
        <f>IFERROR(I26/H26-1,"n.a.")</f>
        <v>0.15564598168870813</v>
      </c>
      <c r="J28" s="51">
        <f>IFERROR(J26/I26-1,"n.a.")</f>
        <v>-0.16167724030484265</v>
      </c>
      <c r="K28" s="14"/>
    </row>
    <row r="29">
      <c r="A29" s="1"/>
      <c r="B29" s="37" t="s">
        <v>66</v>
      </c>
      <c r="C29" s="25">
        <f>IFERROR(C26/C34,"n.a.")</f>
        <v>0.11207679335841225</v>
      </c>
      <c r="D29" s="25">
        <f>IFERROR(D26/D34,"n.a.")</f>
        <v>0.1145123139000974</v>
      </c>
      <c r="E29" s="25">
        <f>IFERROR(E26/E34,"n.a.")</f>
        <v>0.13129621878052183</v>
      </c>
      <c r="F29" s="25">
        <f>IFERROR(F26/F34,"n.a.")</f>
        <v>0.14879186095803307</v>
      </c>
      <c r="G29" s="25">
        <f>IFERROR(G26/G34,"n.a.")</f>
        <v>0.12632120796156485</v>
      </c>
      <c r="H29" s="25">
        <f>IFERROR(H26/H34,"n.a.")</f>
        <v>0.12042141369594511</v>
      </c>
      <c r="I29" s="25">
        <f>IFERROR(I26/I34,"n.a.")</f>
        <v>0.13624370352602544</v>
      </c>
      <c r="J29" s="51">
        <f>IFERROR(J26/J34,"n.a.")</f>
        <v>0.12534756375218936</v>
      </c>
      <c r="K29" s="14"/>
    </row>
    <row r="30">
      <c r="A30" s="1"/>
      <c r="B30" s="18" t="s">
        <v>75</v>
      </c>
      <c r="C30" s="4">
        <f>'Segment - Head Office'!C16</f>
        <v>65</v>
      </c>
      <c r="D30" s="4">
        <f>'Segment - Head Office'!D16</f>
        <v>71</v>
      </c>
      <c r="E30" s="4">
        <f>'Segment - Head Office'!E16</f>
        <v>33</v>
      </c>
      <c r="F30" s="4">
        <f>'Segment - Head Office'!F16</f>
        <v>83</v>
      </c>
      <c r="G30" s="4">
        <f>'Segment - Head Office'!G16</f>
        <v>252</v>
      </c>
      <c r="H30" s="4">
        <f>'Segment - Head Office'!H16</f>
        <v>17</v>
      </c>
      <c r="I30" s="4">
        <f>'Segment - Head Office'!I16</f>
        <v>61</v>
      </c>
      <c r="J30" s="87">
        <f>'Segment - Head Office'!J16</f>
        <v>48.5</v>
      </c>
      <c r="K30" s="14" t="s">
        <v>76</v>
      </c>
    </row>
    <row r="31">
      <c r="A31" s="1"/>
      <c r="B31" s="37" t="s">
        <v>63</v>
      </c>
      <c r="C31" s="25" t="s">
        <v>64</v>
      </c>
      <c r="D31" s="25" t="s">
        <v>64</v>
      </c>
      <c r="E31" s="25" t="s">
        <v>64</v>
      </c>
      <c r="F31" s="25" t="s">
        <v>64</v>
      </c>
      <c r="G31" s="25" t="s">
        <v>64</v>
      </c>
      <c r="H31" s="25">
        <f>IFERROR(H30/C30-1,"n.a.")</f>
        <v>-0.7384615384615385</v>
      </c>
      <c r="I31" s="25">
        <f>IFERROR(I30/D30-1,"n.a.")</f>
        <v>-0.14084507042253525</v>
      </c>
      <c r="J31" s="51">
        <f>IFERROR(J30/E30-1,"n.a.")</f>
        <v>0.4696969696969697</v>
      </c>
      <c r="K31" s="14"/>
    </row>
    <row r="32">
      <c r="A32" s="1"/>
      <c r="B32" s="37" t="s">
        <v>65</v>
      </c>
      <c r="C32" s="25" t="s">
        <v>64</v>
      </c>
      <c r="D32" s="25">
        <f>IFERROR(D30/C30-1,"n.a.")</f>
        <v>0.0923076923076922</v>
      </c>
      <c r="E32" s="25">
        <f>IFERROR(E30/D30-1,"n.a.")</f>
        <v>-0.5352112676056338</v>
      </c>
      <c r="F32" s="25">
        <f>IFERROR(F30/E30-1,"n.a.")</f>
        <v>1.5151515151515151</v>
      </c>
      <c r="G32" s="25" t="s">
        <v>64</v>
      </c>
      <c r="H32" s="25">
        <f>IFERROR(H30/F30-1,"n.a.")</f>
        <v>-0.7951807228915663</v>
      </c>
      <c r="I32" s="25">
        <f>IFERROR(I30/H30-1,"n.a.")</f>
        <v>2.588235294117647</v>
      </c>
      <c r="J32" s="51">
        <f>IFERROR(J30/I30-1,"n.a.")</f>
        <v>-0.20491803278688525</v>
      </c>
      <c r="K32" s="14"/>
    </row>
    <row r="33">
      <c r="A33" s="1"/>
      <c r="B33" s="37" t="s">
        <v>66</v>
      </c>
      <c r="C33" s="25">
        <f>IFERROR(C30/C34,"n.a.")</f>
        <v>0.008431703204047217</v>
      </c>
      <c r="D33" s="25">
        <f>IFERROR(D30/D34,"n.a.")</f>
        <v>0.009878948100737443</v>
      </c>
      <c r="E33" s="25">
        <f>IFERROR(E30/E34,"n.a.")</f>
        <v>0.0046044370029300966</v>
      </c>
      <c r="F33" s="25">
        <f>IFERROR(F30/F34,"n.a.")</f>
        <v>0.011728133389854458</v>
      </c>
      <c r="G33" s="25">
        <f>IFERROR(G30/G34,"n.a.")</f>
        <v>0.008647906657515443</v>
      </c>
      <c r="H33" s="25">
        <f>IFERROR(H30/H34,"n.a.")</f>
        <v>0.002082567683449712</v>
      </c>
      <c r="I33" s="25">
        <f>IFERROR(I30/I34,"n.a.")</f>
        <v>0.007315903094267211</v>
      </c>
      <c r="J33" s="51">
        <f>IFERROR(J30/J34,"n.a.")</f>
        <v>0.0063836350068492845</v>
      </c>
      <c r="K33" s="14"/>
    </row>
    <row r="34">
      <c r="A34" s="1"/>
      <c r="B34" s="20" t="s">
        <v>77</v>
      </c>
      <c r="C34" s="16">
        <f>C10+C14+C18+C22+C26+C30</f>
        <v>7709</v>
      </c>
      <c r="D34" s="16">
        <f>D10+D14+D18+D22+D26+D30</f>
        <v>7187</v>
      </c>
      <c r="E34" s="16">
        <f>E10+E14+E18+E22+E26+E30</f>
        <v>7167</v>
      </c>
      <c r="F34" s="16">
        <f>F10+F14+F18+F22+F26+F30</f>
        <v>7077</v>
      </c>
      <c r="G34" s="16">
        <f>G10+G14+G18+G22+G26+G30</f>
        <v>29140</v>
      </c>
      <c r="H34" s="16">
        <f>H10+H14+H18+H22+H26+H30</f>
        <v>8163</v>
      </c>
      <c r="I34" s="16">
        <f>I10+I14+I18+I22+I26+I30</f>
        <v>8338</v>
      </c>
      <c r="J34" s="65">
        <f>J10+J14+J18+J22+J26+J30</f>
        <v>7597.55217019178</v>
      </c>
      <c r="K34" s="14"/>
    </row>
    <row r="35">
      <c r="A35" s="1"/>
      <c r="B35" s="37" t="s">
        <v>63</v>
      </c>
      <c r="C35" s="25" t="s">
        <v>64</v>
      </c>
      <c r="D35" s="25" t="s">
        <v>64</v>
      </c>
      <c r="E35" s="25" t="s">
        <v>64</v>
      </c>
      <c r="F35" s="25" t="s">
        <v>64</v>
      </c>
      <c r="G35" s="25" t="s">
        <v>64</v>
      </c>
      <c r="H35" s="25">
        <f>IFERROR(H34/C34-1,"n.a.")</f>
        <v>0.05889220391749905</v>
      </c>
      <c r="I35" s="25">
        <f>IFERROR(I34/D34-1,"n.a.")</f>
        <v>0.16015027132322257</v>
      </c>
      <c r="J35" s="51">
        <f>IFERROR(J34/E34-1,"n.a.")</f>
        <v>0.06007425285220869</v>
      </c>
      <c r="K35" s="14"/>
    </row>
    <row r="36">
      <c r="A36" s="1"/>
      <c r="B36" s="37" t="s">
        <v>65</v>
      </c>
      <c r="C36" s="25" t="s">
        <v>64</v>
      </c>
      <c r="D36" s="25">
        <f>IFERROR(D34/C34-1,"n.a.")</f>
        <v>-0.06771306265404076</v>
      </c>
      <c r="E36" s="25">
        <f>IFERROR(E34/D34-1,"n.a.")</f>
        <v>-0.002782802281897867</v>
      </c>
      <c r="F36" s="25">
        <f>IFERROR(F34/E34-1,"n.a.")</f>
        <v>-0.012557555462536674</v>
      </c>
      <c r="G36" s="25" t="s">
        <v>64</v>
      </c>
      <c r="H36" s="25">
        <f>IFERROR(H34/F34-1,"n.a.")</f>
        <v>0.15345485375158963</v>
      </c>
      <c r="I36" s="25">
        <f>IFERROR(I34/H34-1,"n.a.")</f>
        <v>0.021438196741394133</v>
      </c>
      <c r="J36" s="51">
        <f>IFERROR(J34/I34-1,"n.a.")</f>
        <v>-0.08880400933176069</v>
      </c>
      <c r="K36" s="14"/>
    </row>
    <row r="37">
      <c r="A37" s="1"/>
      <c r="B37" s="48" t="s">
        <v>78</v>
      </c>
      <c r="C37" s="2" t="s">
        <v>64</v>
      </c>
      <c r="D37" s="2">
        <f>IFERROR(D34-C34,"n.a.")</f>
        <v>-522</v>
      </c>
      <c r="E37" s="2">
        <f>IFERROR(E34-D34,"n.a.")</f>
        <v>-20</v>
      </c>
      <c r="F37" s="2">
        <f>IFERROR(F34-E34,"n.a.")</f>
        <v>-90</v>
      </c>
      <c r="G37" s="2" t="s">
        <v>64</v>
      </c>
      <c r="H37" s="2">
        <f>IFERROR(H34-F34,"n.a.")</f>
        <v>1086</v>
      </c>
      <c r="I37" s="2">
        <f>IFERROR(I34-H34,"n.a.")</f>
        <v>175</v>
      </c>
      <c r="J37" s="26">
        <f>IFERROR(J34-I34,"n.a.")</f>
        <v>-740.4478298082204</v>
      </c>
      <c r="K37" s="14"/>
    </row>
    <row r="38">
      <c r="A38" s="1"/>
      <c r="B38" s="37" t="s">
        <v>66</v>
      </c>
      <c r="C38" s="25">
        <f>C34/C34</f>
        <v>1</v>
      </c>
      <c r="D38" s="25">
        <f>D34/D34</f>
        <v>1</v>
      </c>
      <c r="E38" s="25">
        <f>E34/E34</f>
        <v>1</v>
      </c>
      <c r="F38" s="25">
        <f>F34/F34</f>
        <v>1</v>
      </c>
      <c r="G38" s="25">
        <f>G34/G34</f>
        <v>1</v>
      </c>
      <c r="H38" s="25">
        <f>H34/H34</f>
        <v>1</v>
      </c>
      <c r="I38" s="25">
        <f>I34/I34</f>
        <v>1</v>
      </c>
      <c r="J38" s="51">
        <f>J34/J34</f>
        <v>1</v>
      </c>
      <c r="K38" s="14"/>
    </row>
    <row r="39" ht="23.24853515625">
      <c r="A39" s="1"/>
      <c r="B39" s="63" t="s">
        <v>79</v>
      </c>
      <c r="C39" s="2"/>
      <c r="D39" s="2"/>
      <c r="E39" s="2"/>
      <c r="F39" s="2"/>
      <c r="G39" s="2">
        <f>SUM(C34:F34)-G34</f>
        <v>0</v>
      </c>
      <c r="H39" s="2"/>
      <c r="I39" s="2"/>
      <c r="J39" s="26"/>
      <c r="K39" s="14" t="s">
        <v>80</v>
      </c>
    </row>
    <row r="40">
      <c r="A40" s="1"/>
      <c r="B40" s="18"/>
      <c r="C40" s="19"/>
      <c r="D40" s="19"/>
      <c r="E40" s="19"/>
      <c r="F40" s="19"/>
      <c r="G40" s="19"/>
      <c r="H40" s="19"/>
      <c r="I40" s="19"/>
      <c r="J40" s="27"/>
      <c r="K40" s="14"/>
    </row>
    <row r="41">
      <c r="A41" s="1"/>
      <c r="B41" s="20" t="s">
        <v>81</v>
      </c>
      <c r="C41" s="32"/>
      <c r="D41" s="32"/>
      <c r="E41" s="32"/>
      <c r="F41" s="32"/>
      <c r="G41" s="32"/>
      <c r="H41" s="32"/>
      <c r="I41" s="32"/>
      <c r="J41" s="28"/>
      <c r="K41" s="14"/>
    </row>
    <row r="42">
      <c r="A42" s="1"/>
      <c r="B42" s="18" t="s">
        <v>82</v>
      </c>
      <c r="C42" s="4">
        <f>'Segment - Barclays UK'!C20+'Segment - UK Corporate Bank'!C20+'Segment - Private Bank &amp; WM'!C20+'Segment - Investment Bank'!C80+'Segment - US Consumer Bank'!C20+'Segment - Head Office'!C10</f>
        <v>3517</v>
      </c>
      <c r="D42" s="4">
        <f>'Segment - Barclays UK'!D20+'Segment - UK Corporate Bank'!D20+'Segment - Private Bank &amp; WM'!D20+'Segment - Investment Bank'!D80+'Segment - US Consumer Bank'!D20+'Segment - Head Office'!D10</f>
        <v>3505</v>
      </c>
      <c r="E42" s="4">
        <f>'Segment - Barclays UK'!E20+'Segment - UK Corporate Bank'!E20+'Segment - Private Bank &amp; WM'!E20+'Segment - Investment Bank'!E80+'Segment - US Consumer Bank'!E20+'Segment - Head Office'!E10</f>
        <v>3745</v>
      </c>
      <c r="F42" s="4">
        <f>'Segment - Barclays UK'!F20+'Segment - UK Corporate Bank'!F20+'Segment - Private Bank &amp; WM'!F20+'Segment - Investment Bank'!F80+'Segment - US Consumer Bank'!F20+'Segment - Head Office'!F10</f>
        <v>3734</v>
      </c>
      <c r="G42" s="4">
        <f>'Segment - Barclays UK'!G20+'Segment - UK Corporate Bank'!G20+'Segment - Private Bank &amp; WM'!G20+'Segment - Investment Bank'!G80+'Segment - US Consumer Bank'!G20+'Segment - Head Office'!G10</f>
        <v>14501</v>
      </c>
      <c r="H42" s="4">
        <f>'Segment - Barclays UK'!H20+'Segment - UK Corporate Bank'!H20+'Segment - Private Bank &amp; WM'!H20+'Segment - Investment Bank'!H80+'Segment - US Consumer Bank'!H20+'Segment - Head Office'!H10</f>
        <v>3737</v>
      </c>
      <c r="I42" s="4">
        <f>'Segment - Barclays UK'!I20+'Segment - UK Corporate Bank'!I20+'Segment - Private Bank &amp; WM'!I20+'Segment - Investment Bank'!I80+'Segment - US Consumer Bank'!I20+'Segment - Head Office'!I10</f>
        <v>3921</v>
      </c>
      <c r="J42" s="87">
        <f>'Segment - Barclays UK'!J20+'Segment - UK Corporate Bank'!J20+'Segment - Private Bank &amp; WM'!J20+'Segment - Investment Bank'!J80+'Segment - US Consumer Bank'!J20+'Segment - Head Office'!J10</f>
        <v>3929.9843701917807</v>
      </c>
      <c r="K42" s="14" t="s">
        <v>83</v>
      </c>
    </row>
    <row r="43">
      <c r="A43" s="1"/>
      <c r="B43" s="37" t="s">
        <v>63</v>
      </c>
      <c r="C43" s="25" t="s">
        <v>64</v>
      </c>
      <c r="D43" s="25" t="s">
        <v>64</v>
      </c>
      <c r="E43" s="25" t="s">
        <v>64</v>
      </c>
      <c r="F43" s="25" t="s">
        <v>64</v>
      </c>
      <c r="G43" s="25" t="s">
        <v>64</v>
      </c>
      <c r="H43" s="25">
        <f>IFERROR(H42/C42-1,"n.a.")</f>
        <v>0.06255331248222906</v>
      </c>
      <c r="I43" s="25">
        <f>IFERROR(I42/D42-1,"n.a.")</f>
        <v>0.11868758915834521</v>
      </c>
      <c r="J43" s="51">
        <f>IFERROR(J42/E42-1,"n.a.")</f>
        <v>0.049395025418365934</v>
      </c>
      <c r="K43" s="14"/>
    </row>
    <row r="44">
      <c r="A44" s="1"/>
      <c r="B44" s="37" t="s">
        <v>65</v>
      </c>
      <c r="C44" s="25" t="s">
        <v>64</v>
      </c>
      <c r="D44" s="25">
        <f>IFERROR(D42/C42-1,"n.a.")</f>
        <v>-0.003411998862667076</v>
      </c>
      <c r="E44" s="25">
        <f>IFERROR(E42/D42-1,"n.a.")</f>
        <v>0.0684736091298146</v>
      </c>
      <c r="F44" s="25">
        <f>IFERROR(F42/E42-1,"n.a.")</f>
        <v>-0.002937249666221664</v>
      </c>
      <c r="G44" s="25" t="s">
        <v>64</v>
      </c>
      <c r="H44" s="25">
        <f>IFERROR(H42/F42-1,"n.a.")</f>
        <v>0.0008034279592930016</v>
      </c>
      <c r="I44" s="25">
        <f>IFERROR(I42/H42-1,"n.a.")</f>
        <v>0.04923735616804925</v>
      </c>
      <c r="J44" s="51">
        <f>IFERROR(J42/I42-1,"n.a.")</f>
        <v>0.0022913466441674135</v>
      </c>
      <c r="K44" s="14"/>
    </row>
    <row r="45" ht="14.624267578125">
      <c r="A45" s="1"/>
      <c r="B45" s="13" t="s">
        <v>84</v>
      </c>
      <c r="C45" s="2">
        <f>C34-C42</f>
        <v>4192</v>
      </c>
      <c r="D45" s="2">
        <f>D34-D42</f>
        <v>3682</v>
      </c>
      <c r="E45" s="2">
        <f>E34-E42</f>
        <v>3422</v>
      </c>
      <c r="F45" s="2">
        <f>F34-F42</f>
        <v>3343</v>
      </c>
      <c r="G45" s="2">
        <f>G34-G42</f>
        <v>14639</v>
      </c>
      <c r="H45" s="2">
        <f>H34-H42</f>
        <v>4426</v>
      </c>
      <c r="I45" s="2">
        <f>I34-I42</f>
        <v>4417</v>
      </c>
      <c r="J45" s="26">
        <f>J34-J42</f>
        <v>3667.567799999999</v>
      </c>
      <c r="K45" s="14" t="s">
        <v>85</v>
      </c>
    </row>
    <row r="46">
      <c r="A46" s="1"/>
      <c r="B46" s="37" t="s">
        <v>63</v>
      </c>
      <c r="C46" s="25" t="s">
        <v>64</v>
      </c>
      <c r="D46" s="25" t="s">
        <v>64</v>
      </c>
      <c r="E46" s="25" t="s">
        <v>64</v>
      </c>
      <c r="F46" s="25" t="s">
        <v>64</v>
      </c>
      <c r="G46" s="25" t="s">
        <v>64</v>
      </c>
      <c r="H46" s="25">
        <f>IFERROR(H45/C45-1,"n.a.")</f>
        <v>0.05582061068702293</v>
      </c>
      <c r="I46" s="25">
        <f>IFERROR(I45/D45-1,"n.a.")</f>
        <v>0.19961977186311786</v>
      </c>
      <c r="J46" s="51">
        <f>IFERROR(J45/E45-1,"n.a.")</f>
        <v>0.07176148451198094</v>
      </c>
      <c r="K46" s="14"/>
    </row>
    <row r="47">
      <c r="A47" s="1"/>
      <c r="B47" s="37" t="s">
        <v>65</v>
      </c>
      <c r="C47" s="25" t="s">
        <v>64</v>
      </c>
      <c r="D47" s="25">
        <f>IFERROR(D45/C45-1,"n.a.")</f>
        <v>-0.12166030534351147</v>
      </c>
      <c r="E47" s="25">
        <f>IFERROR(E45/D45-1,"n.a.")</f>
        <v>-0.07061379684953828</v>
      </c>
      <c r="F47" s="25">
        <f>IFERROR(F45/E45-1,"n.a.")</f>
        <v>-0.023085914669783714</v>
      </c>
      <c r="G47" s="25" t="s">
        <v>64</v>
      </c>
      <c r="H47" s="25">
        <f>IFERROR(H45/F45-1,"n.a.")</f>
        <v>0.32396051450792696</v>
      </c>
      <c r="I47" s="25">
        <f>IFERROR(I45/H45-1,"n.a.")</f>
        <v>-0.002033438770899232</v>
      </c>
      <c r="J47" s="51">
        <f>IFERROR(J45/I45-1,"n.a.")</f>
        <v>-0.1696699569843788</v>
      </c>
      <c r="K47" s="14"/>
    </row>
    <row r="48" ht="23.24853515625">
      <c r="A48" s="1"/>
      <c r="B48" s="63" t="s">
        <v>86</v>
      </c>
      <c r="C48" s="4">
        <f>'Segment - Barclays UK'!C26+'Segment - UK Corporate Bank'!C26+'Segment - Private Bank &amp; WM'!C26+'Segment - Investment Bank'!C83+'Segment - US Consumer Bank'!C26+'Segment - Head Office'!C13+'Segment - Investment Bank'!C86-C45</f>
        <v>0</v>
      </c>
      <c r="D48" s="4">
        <f>'Segment - Barclays UK'!D26+'Segment - UK Corporate Bank'!D26+'Segment - Private Bank &amp; WM'!D26+'Segment - Investment Bank'!D83+'Segment - US Consumer Bank'!D26+'Segment - Head Office'!D13+'Segment - Investment Bank'!D86-D45</f>
        <v>0</v>
      </c>
      <c r="E48" s="4">
        <f>'Segment - Barclays UK'!E26+'Segment - UK Corporate Bank'!E26+'Segment - Private Bank &amp; WM'!E26+'Segment - Investment Bank'!E83+'Segment - US Consumer Bank'!E26+'Segment - Head Office'!E13+'Segment - Investment Bank'!E86-E45</f>
        <v>0</v>
      </c>
      <c r="F48" s="4">
        <f>'Segment - Barclays UK'!F26+'Segment - UK Corporate Bank'!F26+'Segment - Private Bank &amp; WM'!F26+'Segment - Investment Bank'!F83+'Segment - US Consumer Bank'!F26+'Segment - Head Office'!F13+'Segment - Investment Bank'!F86-F45</f>
        <v>0</v>
      </c>
      <c r="G48" s="4">
        <f>'Segment - Barclays UK'!G26+'Segment - UK Corporate Bank'!G26+'Segment - Private Bank &amp; WM'!G26+'Segment - Investment Bank'!G83+'Segment - US Consumer Bank'!G26+'Segment - Head Office'!G13+'Segment - Investment Bank'!G86-G45</f>
        <v>0</v>
      </c>
      <c r="H48" s="4">
        <f>'Segment - Barclays UK'!H26+'Segment - UK Corporate Bank'!H26+'Segment - Private Bank &amp; WM'!H26+'Segment - Investment Bank'!H83+'Segment - US Consumer Bank'!H26+'Segment - Head Office'!H13+'Segment - Investment Bank'!H86-H45</f>
        <v>0</v>
      </c>
      <c r="I48" s="4">
        <f>'Segment - Barclays UK'!I26+'Segment - UK Corporate Bank'!I26+'Segment - Private Bank &amp; WM'!I26+'Segment - Investment Bank'!I83+'Segment - US Consumer Bank'!I26+'Segment - Head Office'!I13+'Segment - Investment Bank'!I86-I45</f>
        <v>0</v>
      </c>
      <c r="J48" s="87">
        <f>'Segment - Barclays UK'!J26+'Segment - UK Corporate Bank'!J26+'Segment - Private Bank &amp; WM'!J26+'Segment - Investment Bank'!J83+'Segment - US Consumer Bank'!J26+'Segment - Head Office'!J13+'Segment - Investment Bank'!J86-J45</f>
        <v>0</v>
      </c>
      <c r="K48" s="14" t="s">
        <v>87</v>
      </c>
    </row>
    <row r="49">
      <c r="A49" s="1"/>
      <c r="B49" s="18"/>
      <c r="C49" s="19"/>
      <c r="D49" s="19"/>
      <c r="E49" s="19"/>
      <c r="F49" s="19"/>
      <c r="G49" s="19"/>
      <c r="H49" s="19"/>
      <c r="I49" s="19"/>
      <c r="J49" s="27"/>
      <c r="K49" s="14"/>
    </row>
    <row r="50">
      <c r="A50" s="1"/>
      <c r="B50" s="20" t="s">
        <v>88</v>
      </c>
      <c r="C50" s="32"/>
      <c r="D50" s="32"/>
      <c r="E50" s="32"/>
      <c r="F50" s="32"/>
      <c r="G50" s="32"/>
      <c r="H50" s="32"/>
      <c r="I50" s="32"/>
      <c r="J50" s="28"/>
      <c r="K50" s="14"/>
    </row>
    <row r="51">
      <c r="A51" s="1"/>
      <c r="B51" s="20" t="s">
        <v>89</v>
      </c>
      <c r="C51" s="80">
        <f>'Segment - Barclays UK'!C20+'Segment - UK Corporate Bank'!C20+'Segment - Private Bank &amp; WM'!C20+'Segment - US Consumer Bank'!C20</f>
        <v>3046</v>
      </c>
      <c r="D51" s="80">
        <f>'Segment - Barclays UK'!D20+'Segment - UK Corporate Bank'!D20+'Segment - Private Bank &amp; WM'!D20+'Segment - US Consumer Bank'!D20</f>
        <v>3057</v>
      </c>
      <c r="E51" s="80">
        <f>'Segment - Barclays UK'!E20+'Segment - UK Corporate Bank'!E20+'Segment - Private Bank &amp; WM'!E20+'Segment - US Consumer Bank'!E20</f>
        <v>3260</v>
      </c>
      <c r="F51" s="80">
        <f>'Segment - Barclays UK'!F20+'Segment - UK Corporate Bank'!F20+'Segment - Private Bank &amp; WM'!F20+'Segment - US Consumer Bank'!F20</f>
        <v>3389</v>
      </c>
      <c r="G51" s="80">
        <f>'Segment - Barclays UK'!G20+'Segment - UK Corporate Bank'!G20+'Segment - Private Bank &amp; WM'!G20+'Segment - US Consumer Bank'!G20</f>
        <v>12752</v>
      </c>
      <c r="H51" s="80">
        <f>'Segment - Barclays UK'!H20+'Segment - UK Corporate Bank'!H20+'Segment - Private Bank &amp; WM'!H20+'Segment - US Consumer Bank'!H20</f>
        <v>3407</v>
      </c>
      <c r="I51" s="80">
        <f>'Segment - Barclays UK'!I20+'Segment - UK Corporate Bank'!I20+'Segment - Private Bank &amp; WM'!I20+'Segment - US Consumer Bank'!I20</f>
        <v>3361</v>
      </c>
      <c r="J51" s="98">
        <f>'Segment - Barclays UK'!J20+'Segment - UK Corporate Bank'!J20+'Segment - Private Bank &amp; WM'!J20+'Segment - US Consumer Bank'!J20</f>
        <v>3459.2343701917807</v>
      </c>
      <c r="K51" s="14" t="s">
        <v>90</v>
      </c>
    </row>
    <row r="52">
      <c r="A52" s="1"/>
      <c r="B52" s="37" t="s">
        <v>63</v>
      </c>
      <c r="C52" s="25" t="s">
        <v>64</v>
      </c>
      <c r="D52" s="25" t="s">
        <v>64</v>
      </c>
      <c r="E52" s="25" t="s">
        <v>64</v>
      </c>
      <c r="F52" s="25" t="s">
        <v>64</v>
      </c>
      <c r="G52" s="25" t="s">
        <v>64</v>
      </c>
      <c r="H52" s="25">
        <f>IFERROR(H51/C51-1,"n.a.")</f>
        <v>0.11851608667104396</v>
      </c>
      <c r="I52" s="25">
        <f>IFERROR(I51/D51-1,"n.a.")</f>
        <v>0.09944389924762831</v>
      </c>
      <c r="J52" s="51">
        <f>IFERROR(J51/E51-1,"n.a.")</f>
        <v>0.061114837482141304</v>
      </c>
      <c r="K52" s="14"/>
    </row>
    <row r="53">
      <c r="A53" s="1"/>
      <c r="B53" s="48" t="s">
        <v>78</v>
      </c>
      <c r="C53" s="2" t="s">
        <v>64</v>
      </c>
      <c r="D53" s="2">
        <f>IFERROR(D51-C51,"n.a.")</f>
        <v>11</v>
      </c>
      <c r="E53" s="2">
        <f>IFERROR(E51-D51,"n.a.")</f>
        <v>203</v>
      </c>
      <c r="F53" s="2">
        <f>IFERROR(F51-E51,"n.a.")</f>
        <v>129</v>
      </c>
      <c r="G53" s="2" t="s">
        <v>64</v>
      </c>
      <c r="H53" s="2">
        <f>IFERROR(H51-F51,"n.a.")</f>
        <v>18</v>
      </c>
      <c r="I53" s="2">
        <f>IFERROR(I51-H51,"n.a.")</f>
        <v>-46</v>
      </c>
      <c r="J53" s="26">
        <f>IFERROR(J51-I51,"n.a.")</f>
        <v>98.23437019178073</v>
      </c>
      <c r="K53" s="14"/>
    </row>
    <row r="54" ht="14.624267578125">
      <c r="A54" s="1"/>
      <c r="B54" s="13" t="s">
        <v>91</v>
      </c>
      <c r="C54" s="4">
        <f>'Segment - Barclays UK'!C11+'Segment - UK Corporate Bank'!C11+'Segment - Private Bank &amp; WM'!C11+'Segment - US Consumer Bank'!C11</f>
        <v>273690</v>
      </c>
      <c r="D54" s="4">
        <f>'Segment - Barclays UK'!D11+'Segment - UK Corporate Bank'!D11+'Segment - Private Bank &amp; WM'!D11+'Segment - US Consumer Bank'!D11</f>
        <v>273569</v>
      </c>
      <c r="E54" s="4">
        <f>'Segment - Barclays UK'!E11+'Segment - UK Corporate Bank'!E11+'Segment - Private Bank &amp; WM'!E11+'Segment - US Consumer Bank'!E11</f>
        <v>277868</v>
      </c>
      <c r="F54" s="4">
        <f>'Segment - Barclays UK'!F11+'Segment - UK Corporate Bank'!F11+'Segment - Private Bank &amp; WM'!F11+'Segment - US Consumer Bank'!F11</f>
        <v>284186</v>
      </c>
      <c r="G54" s="4">
        <f>'Segment - Barclays UK'!G11+'Segment - UK Corporate Bank'!G11+'Segment - Private Bank &amp; WM'!G11+'Segment - US Consumer Bank'!G11</f>
        <v>277328.25</v>
      </c>
      <c r="H54" s="4">
        <f>'Segment - Barclays UK'!H11+'Segment - UK Corporate Bank'!H11+'Segment - Private Bank &amp; WM'!H11+'Segment - US Consumer Bank'!H11</f>
        <v>286344</v>
      </c>
      <c r="I54" s="4">
        <f>'Segment - Barclays UK'!I11+'Segment - UK Corporate Bank'!I11+'Segment - Private Bank &amp; WM'!I11+'Segment - US Consumer Bank'!I11</f>
        <v>284564</v>
      </c>
      <c r="J54" s="87">
        <f>'Segment - Barclays UK'!J11+'Segment - UK Corporate Bank'!J11+'Segment - Private Bank &amp; WM'!J11+'Segment - US Consumer Bank'!J11</f>
        <v>287186.05000000005</v>
      </c>
      <c r="K54" s="14" t="s">
        <v>92</v>
      </c>
    </row>
    <row r="55">
      <c r="A55" s="1"/>
      <c r="B55" s="37" t="s">
        <v>63</v>
      </c>
      <c r="C55" s="25" t="s">
        <v>64</v>
      </c>
      <c r="D55" s="25" t="s">
        <v>64</v>
      </c>
      <c r="E55" s="25" t="s">
        <v>64</v>
      </c>
      <c r="F55" s="25" t="s">
        <v>64</v>
      </c>
      <c r="G55" s="25" t="s">
        <v>64</v>
      </c>
      <c r="H55" s="25">
        <f>IFERROR(H54/C54-1,"n.a.")</f>
        <v>0.04623479118710949</v>
      </c>
      <c r="I55" s="25">
        <f>IFERROR(I54/D54-1,"n.a.")</f>
        <v>0.04019095730875932</v>
      </c>
      <c r="J55" s="51">
        <f>IFERROR(J54/E54-1,"n.a.")</f>
        <v>0.03353408812817604</v>
      </c>
      <c r="K55" s="14"/>
    </row>
    <row r="56">
      <c r="A56" s="1"/>
      <c r="B56" s="48" t="s">
        <v>78</v>
      </c>
      <c r="C56" s="2" t="s">
        <v>64</v>
      </c>
      <c r="D56" s="2">
        <f>IFERROR(D54-C54,"n.a.")</f>
        <v>-121</v>
      </c>
      <c r="E56" s="2">
        <f>IFERROR(E54-D54,"n.a.")</f>
        <v>4299</v>
      </c>
      <c r="F56" s="2">
        <f>IFERROR(F54-E54,"n.a.")</f>
        <v>6318</v>
      </c>
      <c r="G56" s="2" t="s">
        <v>64</v>
      </c>
      <c r="H56" s="2">
        <f>IFERROR(H54-F54,"n.a.")</f>
        <v>2158</v>
      </c>
      <c r="I56" s="2">
        <f>IFERROR(I54-H54,"n.a.")</f>
        <v>-1780</v>
      </c>
      <c r="J56" s="26">
        <f>IFERROR(J54-I54,"n.a.")</f>
        <v>2622.0500000000466</v>
      </c>
      <c r="K56" s="14"/>
    </row>
    <row r="57" ht="14.624267578125">
      <c r="A57" s="1"/>
      <c r="B57" s="13" t="s">
        <v>93</v>
      </c>
      <c r="C57" s="45">
        <f>C51/C54*365/C$7</f>
        <v>0.045135818708108524</v>
      </c>
      <c r="D57" s="45">
        <f>D51/D54*365/D$7</f>
        <v>0.044820843760051056</v>
      </c>
      <c r="E57" s="45">
        <f>E51/E54*365/E$7</f>
        <v>0.046546186146565686</v>
      </c>
      <c r="F57" s="45">
        <f>F51/F54*365/F$7</f>
        <v>0.047312285370971055</v>
      </c>
      <c r="G57" s="45">
        <f>G51/G54*365/G$7</f>
        <v>0.04598161204276882</v>
      </c>
      <c r="H57" s="45">
        <f>H51/H54*365/H$7</f>
        <v>0.04825412014143051</v>
      </c>
      <c r="I57" s="45">
        <f>I51/I54*365/I$7</f>
        <v>0.04737399694245958</v>
      </c>
      <c r="J57" s="89">
        <f>J51/J54*365/J$7</f>
        <v>0.047788311305510825</v>
      </c>
      <c r="K57" s="14"/>
    </row>
    <row r="58">
      <c r="A58" s="1"/>
      <c r="B58" s="48" t="s">
        <v>94</v>
      </c>
      <c r="C58" s="71" t="s">
        <v>64</v>
      </c>
      <c r="D58" s="71" t="s">
        <v>64</v>
      </c>
      <c r="E58" s="71" t="s">
        <v>64</v>
      </c>
      <c r="F58" s="71" t="s">
        <v>64</v>
      </c>
      <c r="G58" s="71" t="s">
        <v>64</v>
      </c>
      <c r="H58" s="71">
        <f>IFERROR((H57-C57)*10000,"n.a.")</f>
        <v>31.183014333219862</v>
      </c>
      <c r="I58" s="71">
        <f>IFERROR((I57-D57)*10000,"n.a.")</f>
        <v>25.531531824085214</v>
      </c>
      <c r="J58" s="72">
        <f>IFERROR((J57-E57)*10000,"n.a.")</f>
        <v>12.421251589451385</v>
      </c>
      <c r="K58" s="14"/>
    </row>
    <row r="59">
      <c r="A59" s="1"/>
      <c r="B59" s="48" t="s">
        <v>95</v>
      </c>
      <c r="C59" s="71" t="s">
        <v>64</v>
      </c>
      <c r="D59" s="71">
        <f>IFERROR((D57-C57)*10000,"n.a.")</f>
        <v>-3.1497494805746844</v>
      </c>
      <c r="E59" s="71">
        <f>IFERROR((E57-D57)*10000,"n.a.")</f>
        <v>17.253423865146306</v>
      </c>
      <c r="F59" s="71">
        <f>IFERROR((F57-E57)*10000,"n.a.")</f>
        <v>7.660992244053685</v>
      </c>
      <c r="G59" s="71" t="s">
        <v>64</v>
      </c>
      <c r="H59" s="71">
        <f>IFERROR((H57-F57)*10000,"n.a.")</f>
        <v>9.418347704594558</v>
      </c>
      <c r="I59" s="71">
        <f>IFERROR((I57-H57)*10000,"n.a.")</f>
        <v>-8.801231989709335</v>
      </c>
      <c r="J59" s="72">
        <f>IFERROR((J57-I57)*10000,"n.a.")</f>
        <v>4.143143630512477</v>
      </c>
      <c r="K59" s="14"/>
    </row>
    <row r="60" ht="23.24853515625">
      <c r="A60" s="1"/>
      <c r="B60" s="63" t="s">
        <v>96</v>
      </c>
      <c r="C60" s="49">
        <v>0.0451</v>
      </c>
      <c r="D60" s="49">
        <v>0.0448</v>
      </c>
      <c r="E60" s="49">
        <v>0.0465</v>
      </c>
      <c r="F60" s="49">
        <v>0.0473</v>
      </c>
      <c r="G60" s="45" t="s">
        <v>64</v>
      </c>
      <c r="H60" s="49">
        <v>0.0483</v>
      </c>
      <c r="I60" s="49">
        <v>0.0474</v>
      </c>
      <c r="J60" s="89" t="s">
        <v>64</v>
      </c>
      <c r="K60" s="14" t="s">
        <v>97</v>
      </c>
    </row>
    <row r="61">
      <c r="A61" s="1"/>
      <c r="B61" s="48" t="s">
        <v>94</v>
      </c>
      <c r="C61" s="71" t="s">
        <v>64</v>
      </c>
      <c r="D61" s="71" t="s">
        <v>64</v>
      </c>
      <c r="E61" s="71" t="s">
        <v>64</v>
      </c>
      <c r="F61" s="71" t="s">
        <v>64</v>
      </c>
      <c r="G61" s="71" t="s">
        <v>64</v>
      </c>
      <c r="H61" s="71">
        <f>IFERROR((H60-C60)*10000,"n.a.")</f>
        <v>32.000000000000014</v>
      </c>
      <c r="I61" s="71">
        <f>IFERROR((I60-D60)*10000,"n.a.")</f>
        <v>25.999999999999982</v>
      </c>
      <c r="J61" s="72" t="str">
        <f>IFERROR((J60-E60)*10000,"n.a.")</f>
        <v>n.a.</v>
      </c>
      <c r="K61" s="14"/>
    </row>
    <row r="62">
      <c r="A62" s="1"/>
      <c r="B62" s="48" t="s">
        <v>95</v>
      </c>
      <c r="C62" s="71" t="s">
        <v>64</v>
      </c>
      <c r="D62" s="71">
        <f>IFERROR((D60-C60)*10000,"n.a.")</f>
        <v>-3.0000000000000164</v>
      </c>
      <c r="E62" s="71">
        <f>IFERROR((E60-D60)*10000,"n.a.")</f>
        <v>17</v>
      </c>
      <c r="F62" s="71">
        <f>IFERROR((F60-E60)*10000,"n.a.")</f>
        <v>8.000000000000021</v>
      </c>
      <c r="G62" s="71" t="s">
        <v>64</v>
      </c>
      <c r="H62" s="71">
        <f>IFERROR((H60-F60)*10000,"n.a.")</f>
        <v>10.000000000000009</v>
      </c>
      <c r="I62" s="71">
        <f>IFERROR((I60-H60)*10000,"n.a.")</f>
        <v>-9.00000000000005</v>
      </c>
      <c r="J62" s="72" t="str">
        <f>IFERROR((J60-I60)*10000,"n.a.")</f>
        <v>n.a.</v>
      </c>
      <c r="K62" s="14"/>
    </row>
    <row r="63">
      <c r="A63" s="1"/>
      <c r="B63" s="18"/>
      <c r="C63" s="19"/>
      <c r="D63" s="19"/>
      <c r="E63" s="19"/>
      <c r="F63" s="19"/>
      <c r="G63" s="19"/>
      <c r="H63" s="19"/>
      <c r="I63" s="19"/>
      <c r="J63" s="27"/>
      <c r="K63" s="14"/>
    </row>
    <row r="64">
      <c r="A64" s="1"/>
      <c r="B64" s="20" t="s">
        <v>98</v>
      </c>
      <c r="C64" s="32"/>
      <c r="D64" s="32"/>
      <c r="E64" s="32"/>
      <c r="F64" s="32"/>
      <c r="G64" s="32"/>
      <c r="H64" s="32"/>
      <c r="I64" s="32"/>
      <c r="J64" s="28"/>
      <c r="K64" s="14"/>
    </row>
    <row r="65">
      <c r="A65" s="1"/>
      <c r="B65" s="74" t="s">
        <v>99</v>
      </c>
      <c r="C65" s="25" t="s">
        <v>64</v>
      </c>
      <c r="D65" s="25" t="s">
        <v>64</v>
      </c>
      <c r="E65" s="25" t="s">
        <v>64</v>
      </c>
      <c r="F65" s="25" t="s">
        <v>64</v>
      </c>
      <c r="G65" s="25" t="s">
        <v>64</v>
      </c>
      <c r="H65" s="25">
        <f>IFERROR(H34/C34-1,"n.a.")</f>
        <v>0.05889220391749905</v>
      </c>
      <c r="I65" s="25">
        <f>IFERROR(I34/D34-1,"n.a.")</f>
        <v>0.16015027132322257</v>
      </c>
      <c r="J65" s="51">
        <f>IFERROR(J34/E34-1,"n.a.")</f>
        <v>0.06007425285220869</v>
      </c>
      <c r="K65" s="14"/>
    </row>
    <row r="66">
      <c r="A66" s="1"/>
      <c r="B66" s="37" t="s">
        <v>100</v>
      </c>
      <c r="C66" s="25" t="s">
        <v>101</v>
      </c>
      <c r="D66" s="25" t="s">
        <v>101</v>
      </c>
      <c r="E66" s="25" t="s">
        <v>101</v>
      </c>
      <c r="F66" s="25" t="s">
        <v>101</v>
      </c>
      <c r="G66" s="25" t="s">
        <v>101</v>
      </c>
      <c r="H66" s="25" t="s">
        <v>101</v>
      </c>
      <c r="I66" s="25" t="s">
        <v>101</v>
      </c>
      <c r="J66" s="51" t="s">
        <v>101</v>
      </c>
      <c r="K66" s="14" t="s">
        <v>102</v>
      </c>
    </row>
    <row r="67">
      <c r="A67" s="1"/>
      <c r="B67" s="37" t="s">
        <v>103</v>
      </c>
      <c r="C67" s="25" t="s">
        <v>101</v>
      </c>
      <c r="D67" s="25" t="s">
        <v>101</v>
      </c>
      <c r="E67" s="25" t="s">
        <v>101</v>
      </c>
      <c r="F67" s="25" t="s">
        <v>101</v>
      </c>
      <c r="G67" s="25" t="s">
        <v>101</v>
      </c>
      <c r="H67" s="25" t="s">
        <v>101</v>
      </c>
      <c r="I67" s="25" t="s">
        <v>101</v>
      </c>
      <c r="J67" s="51" t="s">
        <v>101</v>
      </c>
      <c r="K67" s="14" t="s">
        <v>104</v>
      </c>
    </row>
    <row r="68">
      <c r="A68" s="1"/>
      <c r="B68" s="37" t="s">
        <v>105</v>
      </c>
      <c r="C68" s="25" t="str">
        <f>IF(OR(ISTEXT(C65),ISTEXT(C66),ISTEXT(C67)),"n.d.",(1+C65)/((1+C66)*(1+C67))-1)</f>
        <v>n.d.</v>
      </c>
      <c r="D68" s="25" t="str">
        <f>IF(OR(ISTEXT(D65),ISTEXT(D66),ISTEXT(D67)),"n.d.",(1+D65)/((1+D66)*(1+D67))-1)</f>
        <v>n.d.</v>
      </c>
      <c r="E68" s="25" t="str">
        <f>IF(OR(ISTEXT(E65),ISTEXT(E66),ISTEXT(E67)),"n.d.",(1+E65)/((1+E66)*(1+E67))-1)</f>
        <v>n.d.</v>
      </c>
      <c r="F68" s="25" t="str">
        <f>IF(OR(ISTEXT(F65),ISTEXT(F66),ISTEXT(F67)),"n.d.",(1+F65)/((1+F66)*(1+F67))-1)</f>
        <v>n.d.</v>
      </c>
      <c r="G68" s="25" t="str">
        <f>IF(OR(ISTEXT(G65),ISTEXT(G66),ISTEXT(G67)),"n.d.",(1+G65)/((1+G66)*(1+G67))-1)</f>
        <v>n.d.</v>
      </c>
      <c r="H68" s="25" t="str">
        <f>IF(OR(ISTEXT(H65),ISTEXT(H66),ISTEXT(H67)),"n.d.",(1+H65)/((1+H66)*(1+H67))-1)</f>
        <v>n.d.</v>
      </c>
      <c r="I68" s="25" t="str">
        <f>IF(OR(ISTEXT(I65),ISTEXT(I66),ISTEXT(I67)),"n.d.",(1+I65)/((1+I66)*(1+I67))-1)</f>
        <v>n.d.</v>
      </c>
      <c r="J68" s="51" t="str">
        <f>IF(OR(ISTEXT(J65),ISTEXT(J66),ISTEXT(J67)),"n.d.",(1+J65)/((1+J66)*(1+J67))-1)</f>
        <v>n.d.</v>
      </c>
      <c r="K68" s="14"/>
    </row>
    <row r="69">
      <c r="A69" s="1"/>
      <c r="B69" s="74" t="s">
        <v>106</v>
      </c>
      <c r="C69" s="25" t="s">
        <v>64</v>
      </c>
      <c r="D69" s="25" t="s">
        <v>64</v>
      </c>
      <c r="E69" s="25" t="s">
        <v>64</v>
      </c>
      <c r="F69" s="25" t="s">
        <v>64</v>
      </c>
      <c r="G69" s="25" t="s">
        <v>64</v>
      </c>
      <c r="H69" s="25">
        <f>IFERROR(H10/C10-1,"n.a.")</f>
        <v>0.0887174541947926</v>
      </c>
      <c r="I69" s="25">
        <f>IFERROR(I10/D10-1,"n.a.")</f>
        <v>0.06606890042472857</v>
      </c>
      <c r="J69" s="51">
        <f>IFERROR(J10/E10-1,"n.a.")</f>
        <v>0.04262498221549338</v>
      </c>
      <c r="K69" s="14"/>
    </row>
    <row r="70">
      <c r="A70" s="1"/>
      <c r="B70" s="37" t="s">
        <v>100</v>
      </c>
      <c r="C70" s="25" t="s">
        <v>101</v>
      </c>
      <c r="D70" s="25" t="s">
        <v>101</v>
      </c>
      <c r="E70" s="25" t="s">
        <v>101</v>
      </c>
      <c r="F70" s="25" t="s">
        <v>101</v>
      </c>
      <c r="G70" s="25" t="s">
        <v>101</v>
      </c>
      <c r="H70" s="25" t="s">
        <v>101</v>
      </c>
      <c r="I70" s="25" t="s">
        <v>101</v>
      </c>
      <c r="J70" s="51" t="s">
        <v>101</v>
      </c>
      <c r="K70" s="14" t="s">
        <v>102</v>
      </c>
    </row>
    <row r="71" ht="14.624267578125">
      <c r="A71" s="1"/>
      <c r="B71" s="37" t="s">
        <v>103</v>
      </c>
      <c r="C71" s="25" t="s">
        <v>101</v>
      </c>
      <c r="D71" s="25" t="s">
        <v>101</v>
      </c>
      <c r="E71" s="25" t="s">
        <v>101</v>
      </c>
      <c r="F71" s="25" t="s">
        <v>101</v>
      </c>
      <c r="G71" s="25" t="s">
        <v>101</v>
      </c>
      <c r="H71" s="25" t="s">
        <v>101</v>
      </c>
      <c r="I71" s="25" t="s">
        <v>101</v>
      </c>
      <c r="J71" s="51" t="s">
        <v>101</v>
      </c>
      <c r="K71" s="14" t="s">
        <v>104</v>
      </c>
    </row>
    <row r="72">
      <c r="A72" s="1"/>
      <c r="B72" s="37" t="s">
        <v>105</v>
      </c>
      <c r="C72" s="25" t="str">
        <f>IF(OR(ISTEXT(C69),ISTEXT(C70),ISTEXT(C71)),"n.d.",(1+C69)/((1+C70)*(1+C71))-1)</f>
        <v>n.d.</v>
      </c>
      <c r="D72" s="25" t="str">
        <f>IF(OR(ISTEXT(D69),ISTEXT(D70),ISTEXT(D71)),"n.d.",(1+D69)/((1+D70)*(1+D71))-1)</f>
        <v>n.d.</v>
      </c>
      <c r="E72" s="25" t="str">
        <f>IF(OR(ISTEXT(E69),ISTEXT(E70),ISTEXT(E71)),"n.d.",(1+E69)/((1+E70)*(1+E71))-1)</f>
        <v>n.d.</v>
      </c>
      <c r="F72" s="25" t="str">
        <f>IF(OR(ISTEXT(F69),ISTEXT(F70),ISTEXT(F71)),"n.d.",(1+F69)/((1+F70)*(1+F71))-1)</f>
        <v>n.d.</v>
      </c>
      <c r="G72" s="25" t="str">
        <f>IF(OR(ISTEXT(G69),ISTEXT(G70),ISTEXT(G71)),"n.d.",(1+G69)/((1+G70)*(1+G71))-1)</f>
        <v>n.d.</v>
      </c>
      <c r="H72" s="25" t="str">
        <f>IF(OR(ISTEXT(H69),ISTEXT(H70),ISTEXT(H71)),"n.d.",(1+H69)/((1+H70)*(1+H71))-1)</f>
        <v>n.d.</v>
      </c>
      <c r="I72" s="25" t="str">
        <f>IF(OR(ISTEXT(I69),ISTEXT(I70),ISTEXT(I71)),"n.d.",(1+I69)/((1+I70)*(1+I71))-1)</f>
        <v>n.d.</v>
      </c>
      <c r="J72" s="51" t="str">
        <f>IF(OR(ISTEXT(J69),ISTEXT(J70),ISTEXT(J71)),"n.d.",(1+J69)/((1+J70)*(1+J71))-1)</f>
        <v>n.d.</v>
      </c>
      <c r="K72" s="14"/>
    </row>
    <row r="73" ht="14.624267578125">
      <c r="A73" s="1"/>
      <c r="B73" s="86" t="s">
        <v>107</v>
      </c>
      <c r="C73" s="25" t="s">
        <v>64</v>
      </c>
      <c r="D73" s="25" t="s">
        <v>64</v>
      </c>
      <c r="E73" s="25" t="s">
        <v>64</v>
      </c>
      <c r="F73" s="25" t="s">
        <v>64</v>
      </c>
      <c r="G73" s="25" t="s">
        <v>64</v>
      </c>
      <c r="H73" s="25">
        <f>IFERROR(H14/C14-1,"n.a.")</f>
        <v>0.0950413223140496</v>
      </c>
      <c r="I73" s="25">
        <f>IFERROR(I14/D14-1,"n.a.")</f>
        <v>0.07514450867052025</v>
      </c>
      <c r="J73" s="51">
        <f>IFERROR(J14/E14-1,"n.a.")</f>
        <v>0.08468455949194365</v>
      </c>
      <c r="K73" s="14"/>
    </row>
    <row r="74">
      <c r="A74" s="1"/>
      <c r="B74" s="37" t="s">
        <v>100</v>
      </c>
      <c r="C74" s="25" t="s">
        <v>101</v>
      </c>
      <c r="D74" s="25" t="s">
        <v>101</v>
      </c>
      <c r="E74" s="25" t="s">
        <v>101</v>
      </c>
      <c r="F74" s="25" t="s">
        <v>101</v>
      </c>
      <c r="G74" s="25" t="s">
        <v>101</v>
      </c>
      <c r="H74" s="25" t="s">
        <v>101</v>
      </c>
      <c r="I74" s="25" t="s">
        <v>101</v>
      </c>
      <c r="J74" s="51" t="s">
        <v>101</v>
      </c>
      <c r="K74" s="14" t="s">
        <v>102</v>
      </c>
    </row>
    <row r="75" ht="23.24853515625">
      <c r="A75" s="1"/>
      <c r="B75" s="37" t="s">
        <v>103</v>
      </c>
      <c r="C75" s="25" t="s">
        <v>101</v>
      </c>
      <c r="D75" s="25" t="s">
        <v>101</v>
      </c>
      <c r="E75" s="25" t="s">
        <v>101</v>
      </c>
      <c r="F75" s="25" t="s">
        <v>101</v>
      </c>
      <c r="G75" s="25" t="s">
        <v>101</v>
      </c>
      <c r="H75" s="25" t="s">
        <v>101</v>
      </c>
      <c r="I75" s="25" t="s">
        <v>101</v>
      </c>
      <c r="J75" s="51" t="s">
        <v>101</v>
      </c>
      <c r="K75" s="14" t="s">
        <v>104</v>
      </c>
    </row>
    <row r="76">
      <c r="A76" s="1"/>
      <c r="B76" s="37" t="s">
        <v>105</v>
      </c>
      <c r="C76" s="25" t="str">
        <f>IF(OR(ISTEXT(C73),ISTEXT(C74),ISTEXT(C75)),"n.d.",(1+C73)/((1+C74)*(1+C75))-1)</f>
        <v>n.d.</v>
      </c>
      <c r="D76" s="25" t="str">
        <f>IF(OR(ISTEXT(D73),ISTEXT(D74),ISTEXT(D75)),"n.d.",(1+D73)/((1+D74)*(1+D75))-1)</f>
        <v>n.d.</v>
      </c>
      <c r="E76" s="25" t="str">
        <f>IF(OR(ISTEXT(E73),ISTEXT(E74),ISTEXT(E75)),"n.d.",(1+E73)/((1+E74)*(1+E75))-1)</f>
        <v>n.d.</v>
      </c>
      <c r="F76" s="25" t="str">
        <f>IF(OR(ISTEXT(F73),ISTEXT(F74),ISTEXT(F75)),"n.d.",(1+F73)/((1+F74)*(1+F75))-1)</f>
        <v>n.d.</v>
      </c>
      <c r="G76" s="25" t="str">
        <f>IF(OR(ISTEXT(G73),ISTEXT(G74),ISTEXT(G75)),"n.d.",(1+G73)/((1+G74)*(1+G75))-1)</f>
        <v>n.d.</v>
      </c>
      <c r="H76" s="25" t="str">
        <f>IF(OR(ISTEXT(H73),ISTEXT(H74),ISTEXT(H75)),"n.d.",(1+H73)/((1+H74)*(1+H75))-1)</f>
        <v>n.d.</v>
      </c>
      <c r="I76" s="25" t="str">
        <f>IF(OR(ISTEXT(I73),ISTEXT(I74),ISTEXT(I75)),"n.d.",(1+I73)/((1+I74)*(1+I75))-1)</f>
        <v>n.d.</v>
      </c>
      <c r="J76" s="51" t="str">
        <f>IF(OR(ISTEXT(J73),ISTEXT(J74),ISTEXT(J75)),"n.d.",(1+J73)/((1+J74)*(1+J75))-1)</f>
        <v>n.d.</v>
      </c>
      <c r="K76" s="14"/>
    </row>
    <row r="77" ht="23.24853515625">
      <c r="A77" s="1"/>
      <c r="B77" s="86" t="s">
        <v>108</v>
      </c>
      <c r="C77" s="25" t="s">
        <v>64</v>
      </c>
      <c r="D77" s="25" t="s">
        <v>64</v>
      </c>
      <c r="E77" s="25" t="s">
        <v>64</v>
      </c>
      <c r="F77" s="25" t="s">
        <v>64</v>
      </c>
      <c r="G77" s="25" t="s">
        <v>64</v>
      </c>
      <c r="H77" s="25">
        <f>IFERROR(H18/C18-1,"n.a.")</f>
        <v>-0.005730659025787954</v>
      </c>
      <c r="I77" s="25">
        <f>IFERROR(I18/D18-1,"n.a.")</f>
        <v>0.051724137931034475</v>
      </c>
      <c r="J77" s="51">
        <f>IFERROR(J18/E18-1,"n.a.")</f>
        <v>0.08555310505009195</v>
      </c>
      <c r="K77" s="14"/>
    </row>
    <row r="78">
      <c r="A78" s="1"/>
      <c r="B78" s="37" t="s">
        <v>100</v>
      </c>
      <c r="C78" s="25" t="s">
        <v>101</v>
      </c>
      <c r="D78" s="25" t="s">
        <v>101</v>
      </c>
      <c r="E78" s="25" t="s">
        <v>101</v>
      </c>
      <c r="F78" s="25" t="s">
        <v>101</v>
      </c>
      <c r="G78" s="25" t="s">
        <v>101</v>
      </c>
      <c r="H78" s="25" t="s">
        <v>101</v>
      </c>
      <c r="I78" s="25" t="s">
        <v>101</v>
      </c>
      <c r="J78" s="51" t="s">
        <v>101</v>
      </c>
      <c r="K78" s="14" t="s">
        <v>102</v>
      </c>
    </row>
    <row r="79" ht="14.624267578125">
      <c r="A79" s="1"/>
      <c r="B79" s="37" t="s">
        <v>103</v>
      </c>
      <c r="C79" s="25" t="s">
        <v>101</v>
      </c>
      <c r="D79" s="25" t="s">
        <v>101</v>
      </c>
      <c r="E79" s="25" t="s">
        <v>101</v>
      </c>
      <c r="F79" s="25" t="s">
        <v>101</v>
      </c>
      <c r="G79" s="25" t="s">
        <v>101</v>
      </c>
      <c r="H79" s="25" t="s">
        <v>101</v>
      </c>
      <c r="I79" s="25" t="s">
        <v>101</v>
      </c>
      <c r="J79" s="51" t="s">
        <v>101</v>
      </c>
      <c r="K79" s="14" t="s">
        <v>104</v>
      </c>
    </row>
    <row r="80">
      <c r="A80" s="1"/>
      <c r="B80" s="37" t="s">
        <v>105</v>
      </c>
      <c r="C80" s="25" t="str">
        <f>IF(OR(ISTEXT(C77),ISTEXT(C78),ISTEXT(C79)),"n.d.",(1+C77)/((1+C78)*(1+C79))-1)</f>
        <v>n.d.</v>
      </c>
      <c r="D80" s="25" t="str">
        <f>IF(OR(ISTEXT(D77),ISTEXT(D78),ISTEXT(D79)),"n.d.",(1+D77)/((1+D78)*(1+D79))-1)</f>
        <v>n.d.</v>
      </c>
      <c r="E80" s="25" t="str">
        <f>IF(OR(ISTEXT(E77),ISTEXT(E78),ISTEXT(E79)),"n.d.",(1+E77)/((1+E78)*(1+E79))-1)</f>
        <v>n.d.</v>
      </c>
      <c r="F80" s="25" t="str">
        <f>IF(OR(ISTEXT(F77),ISTEXT(F78),ISTEXT(F79)),"n.d.",(1+F77)/((1+F78)*(1+F79))-1)</f>
        <v>n.d.</v>
      </c>
      <c r="G80" s="25" t="str">
        <f>IF(OR(ISTEXT(G77),ISTEXT(G78),ISTEXT(G79)),"n.d.",(1+G77)/((1+G78)*(1+G79))-1)</f>
        <v>n.d.</v>
      </c>
      <c r="H80" s="25" t="str">
        <f>IF(OR(ISTEXT(H77),ISTEXT(H78),ISTEXT(H79)),"n.d.",(1+H77)/((1+H78)*(1+H79))-1)</f>
        <v>n.d.</v>
      </c>
      <c r="I80" s="25" t="str">
        <f>IF(OR(ISTEXT(I77),ISTEXT(I78),ISTEXT(I79)),"n.d.",(1+I77)/((1+I78)*(1+I79))-1)</f>
        <v>n.d.</v>
      </c>
      <c r="J80" s="51" t="str">
        <f>IF(OR(ISTEXT(J77),ISTEXT(J78),ISTEXT(J79)),"n.d.",(1+J77)/((1+J78)*(1+J79))-1)</f>
        <v>n.d.</v>
      </c>
      <c r="K80" s="14"/>
    </row>
    <row r="81" ht="14.624267578125">
      <c r="A81" s="1"/>
      <c r="B81" s="86" t="s">
        <v>109</v>
      </c>
      <c r="C81" s="25" t="s">
        <v>64</v>
      </c>
      <c r="D81" s="25" t="s">
        <v>64</v>
      </c>
      <c r="E81" s="25" t="s">
        <v>64</v>
      </c>
      <c r="F81" s="25" t="s">
        <v>64</v>
      </c>
      <c r="G81" s="25" t="s">
        <v>64</v>
      </c>
      <c r="H81" s="25">
        <f>IFERROR(H22/C22-1,"n.a.")</f>
        <v>0.04002065582235992</v>
      </c>
      <c r="I81" s="25">
        <f>IFERROR(I22/D22-1,"n.a.")</f>
        <v>0.19685515573026913</v>
      </c>
      <c r="J81" s="51">
        <f>IFERROR(J22/E22-1,"n.a.")</f>
        <v>0.07616535841712602</v>
      </c>
      <c r="K81" s="14"/>
    </row>
    <row r="82">
      <c r="A82" s="1"/>
      <c r="B82" s="37" t="s">
        <v>100</v>
      </c>
      <c r="C82" s="25" t="s">
        <v>101</v>
      </c>
      <c r="D82" s="25" t="s">
        <v>101</v>
      </c>
      <c r="E82" s="25" t="s">
        <v>101</v>
      </c>
      <c r="F82" s="25" t="s">
        <v>101</v>
      </c>
      <c r="G82" s="25" t="s">
        <v>101</v>
      </c>
      <c r="H82" s="25" t="s">
        <v>101</v>
      </c>
      <c r="I82" s="25" t="s">
        <v>101</v>
      </c>
      <c r="J82" s="51" t="s">
        <v>101</v>
      </c>
      <c r="K82" s="14" t="s">
        <v>102</v>
      </c>
    </row>
    <row r="83" ht="14.624267578125">
      <c r="A83" s="1"/>
      <c r="B83" s="37" t="s">
        <v>103</v>
      </c>
      <c r="C83" s="25" t="s">
        <v>101</v>
      </c>
      <c r="D83" s="25" t="s">
        <v>101</v>
      </c>
      <c r="E83" s="25" t="s">
        <v>101</v>
      </c>
      <c r="F83" s="25" t="s">
        <v>101</v>
      </c>
      <c r="G83" s="25" t="s">
        <v>101</v>
      </c>
      <c r="H83" s="25" t="s">
        <v>101</v>
      </c>
      <c r="I83" s="25" t="s">
        <v>101</v>
      </c>
      <c r="J83" s="51" t="s">
        <v>101</v>
      </c>
      <c r="K83" s="14" t="s">
        <v>104</v>
      </c>
    </row>
    <row r="84">
      <c r="A84" s="1"/>
      <c r="B84" s="37" t="s">
        <v>105</v>
      </c>
      <c r="C84" s="25" t="str">
        <f>IF(OR(ISTEXT(C81),ISTEXT(C82),ISTEXT(C83)),"n.d.",(1+C81)/((1+C82)*(1+C83))-1)</f>
        <v>n.d.</v>
      </c>
      <c r="D84" s="25" t="str">
        <f>IF(OR(ISTEXT(D81),ISTEXT(D82),ISTEXT(D83)),"n.d.",(1+D81)/((1+D82)*(1+D83))-1)</f>
        <v>n.d.</v>
      </c>
      <c r="E84" s="25" t="str">
        <f>IF(OR(ISTEXT(E81),ISTEXT(E82),ISTEXT(E83)),"n.d.",(1+E81)/((1+E82)*(1+E83))-1)</f>
        <v>n.d.</v>
      </c>
      <c r="F84" s="25" t="str">
        <f>IF(OR(ISTEXT(F81),ISTEXT(F82),ISTEXT(F83)),"n.d.",(1+F81)/((1+F82)*(1+F83))-1)</f>
        <v>n.d.</v>
      </c>
      <c r="G84" s="25" t="str">
        <f>IF(OR(ISTEXT(G81),ISTEXT(G82),ISTEXT(G83)),"n.d.",(1+G81)/((1+G82)*(1+G83))-1)</f>
        <v>n.d.</v>
      </c>
      <c r="H84" s="25" t="str">
        <f>IF(OR(ISTEXT(H81),ISTEXT(H82),ISTEXT(H83)),"n.d.",(1+H81)/((1+H82)*(1+H83))-1)</f>
        <v>n.d.</v>
      </c>
      <c r="I84" s="25" t="str">
        <f>IF(OR(ISTEXT(I81),ISTEXT(I82),ISTEXT(I83)),"n.d.",(1+I81)/((1+I82)*(1+I83))-1)</f>
        <v>n.d.</v>
      </c>
      <c r="J84" s="51" t="str">
        <f>IF(OR(ISTEXT(J81),ISTEXT(J82),ISTEXT(J83)),"n.d.",(1+J81)/((1+J82)*(1+J83))-1)</f>
        <v>n.d.</v>
      </c>
      <c r="K84" s="14"/>
    </row>
    <row r="85" ht="14.624267578125">
      <c r="A85" s="1"/>
      <c r="B85" s="86" t="s">
        <v>110</v>
      </c>
      <c r="C85" s="25" t="s">
        <v>64</v>
      </c>
      <c r="D85" s="25" t="s">
        <v>64</v>
      </c>
      <c r="E85" s="25" t="s">
        <v>64</v>
      </c>
      <c r="F85" s="25" t="s">
        <v>64</v>
      </c>
      <c r="G85" s="25" t="s">
        <v>64</v>
      </c>
      <c r="H85" s="25">
        <f>IFERROR(H26/C26-1,"n.a.")</f>
        <v>0.1377314814814814</v>
      </c>
      <c r="I85" s="25">
        <f>IFERROR(I26/D26-1,"n.a.")</f>
        <v>0.38031591737545556</v>
      </c>
      <c r="J85" s="51">
        <f>IFERROR(J26/E26-1,"n.a.")</f>
        <v>0.01204532945132697</v>
      </c>
      <c r="K85" s="14"/>
    </row>
    <row r="86">
      <c r="A86" s="1"/>
      <c r="B86" s="37" t="s">
        <v>100</v>
      </c>
      <c r="C86" s="25" t="s">
        <v>101</v>
      </c>
      <c r="D86" s="25" t="s">
        <v>101</v>
      </c>
      <c r="E86" s="25" t="s">
        <v>101</v>
      </c>
      <c r="F86" s="25" t="s">
        <v>101</v>
      </c>
      <c r="G86" s="25" t="s">
        <v>101</v>
      </c>
      <c r="H86" s="25" t="s">
        <v>101</v>
      </c>
      <c r="I86" s="25" t="s">
        <v>101</v>
      </c>
      <c r="J86" s="51" t="s">
        <v>101</v>
      </c>
      <c r="K86" s="14" t="s">
        <v>111</v>
      </c>
    </row>
    <row r="87">
      <c r="A87" s="1"/>
      <c r="B87" s="37" t="s">
        <v>103</v>
      </c>
      <c r="C87" s="25" t="s">
        <v>101</v>
      </c>
      <c r="D87" s="25" t="s">
        <v>101</v>
      </c>
      <c r="E87" s="25" t="s">
        <v>101</v>
      </c>
      <c r="F87" s="25" t="s">
        <v>101</v>
      </c>
      <c r="G87" s="25" t="s">
        <v>101</v>
      </c>
      <c r="H87" s="25" t="s">
        <v>101</v>
      </c>
      <c r="I87" s="25" t="s">
        <v>101</v>
      </c>
      <c r="J87" s="51" t="s">
        <v>101</v>
      </c>
      <c r="K87" s="14" t="s">
        <v>104</v>
      </c>
    </row>
    <row r="88">
      <c r="A88" s="1"/>
      <c r="B88" s="37" t="s">
        <v>105</v>
      </c>
      <c r="C88" s="25" t="str">
        <f>IF(OR(ISTEXT(C85),ISTEXT(C86),ISTEXT(C87)),"n.d.",(1+C85)/((1+C86)*(1+C87))-1)</f>
        <v>n.d.</v>
      </c>
      <c r="D88" s="25" t="str">
        <f>IF(OR(ISTEXT(D85),ISTEXT(D86),ISTEXT(D87)),"n.d.",(1+D85)/((1+D86)*(1+D87))-1)</f>
        <v>n.d.</v>
      </c>
      <c r="E88" s="25" t="str">
        <f>IF(OR(ISTEXT(E85),ISTEXT(E86),ISTEXT(E87)),"n.d.",(1+E85)/((1+E86)*(1+E87))-1)</f>
        <v>n.d.</v>
      </c>
      <c r="F88" s="25" t="str">
        <f>IF(OR(ISTEXT(F85),ISTEXT(F86),ISTEXT(F87)),"n.d.",(1+F85)/((1+F86)*(1+F87))-1)</f>
        <v>n.d.</v>
      </c>
      <c r="G88" s="25" t="str">
        <f>IF(OR(ISTEXT(G85),ISTEXT(G86),ISTEXT(G87)),"n.d.",(1+G85)/((1+G86)*(1+G87))-1)</f>
        <v>n.d.</v>
      </c>
      <c r="H88" s="25" t="str">
        <f>IF(OR(ISTEXT(H85),ISTEXT(H86),ISTEXT(H87)),"n.d.",(1+H85)/((1+H86)*(1+H87))-1)</f>
        <v>n.d.</v>
      </c>
      <c r="I88" s="25" t="str">
        <f>IF(OR(ISTEXT(I85),ISTEXT(I86),ISTEXT(I87)),"n.d.",(1+I85)/((1+I86)*(1+I87))-1)</f>
        <v>n.d.</v>
      </c>
      <c r="J88" s="51" t="str">
        <f>IF(OR(ISTEXT(J85),ISTEXT(J86),ISTEXT(J87)),"n.d.",(1+J85)/((1+J86)*(1+J87))-1)</f>
        <v>n.d.</v>
      </c>
      <c r="K88" s="14"/>
    </row>
    <row r="89">
      <c r="A89" s="1"/>
      <c r="B89" s="74" t="s">
        <v>112</v>
      </c>
      <c r="C89" s="25" t="s">
        <v>64</v>
      </c>
      <c r="D89" s="25" t="s">
        <v>64</v>
      </c>
      <c r="E89" s="25" t="s">
        <v>64</v>
      </c>
      <c r="F89" s="25" t="s">
        <v>64</v>
      </c>
      <c r="G89" s="25" t="s">
        <v>64</v>
      </c>
      <c r="H89" s="25">
        <f>IFERROR(H30/C30-1,"n.a.")</f>
        <v>-0.7384615384615385</v>
      </c>
      <c r="I89" s="25">
        <f>IFERROR(I30/D30-1,"n.a.")</f>
        <v>-0.14084507042253525</v>
      </c>
      <c r="J89" s="51">
        <f>IFERROR(J30/E30-1,"n.a.")</f>
        <v>0.4696969696969697</v>
      </c>
      <c r="K89" s="14"/>
    </row>
    <row r="90">
      <c r="A90" s="1"/>
      <c r="B90" s="37" t="s">
        <v>100</v>
      </c>
      <c r="C90" s="25" t="s">
        <v>101</v>
      </c>
      <c r="D90" s="25" t="s">
        <v>101</v>
      </c>
      <c r="E90" s="25" t="s">
        <v>101</v>
      </c>
      <c r="F90" s="25" t="s">
        <v>101</v>
      </c>
      <c r="G90" s="25" t="s">
        <v>101</v>
      </c>
      <c r="H90" s="25" t="s">
        <v>101</v>
      </c>
      <c r="I90" s="25" t="s">
        <v>101</v>
      </c>
      <c r="J90" s="51" t="s">
        <v>101</v>
      </c>
      <c r="K90" s="14" t="s">
        <v>102</v>
      </c>
    </row>
    <row r="91">
      <c r="A91" s="1"/>
      <c r="B91" s="37" t="s">
        <v>103</v>
      </c>
      <c r="C91" s="25" t="s">
        <v>101</v>
      </c>
      <c r="D91" s="25" t="s">
        <v>101</v>
      </c>
      <c r="E91" s="25" t="s">
        <v>101</v>
      </c>
      <c r="F91" s="25" t="s">
        <v>101</v>
      </c>
      <c r="G91" s="25" t="s">
        <v>101</v>
      </c>
      <c r="H91" s="25" t="s">
        <v>101</v>
      </c>
      <c r="I91" s="25" t="s">
        <v>101</v>
      </c>
      <c r="J91" s="51" t="s">
        <v>101</v>
      </c>
      <c r="K91" s="14" t="s">
        <v>104</v>
      </c>
    </row>
    <row r="92">
      <c r="A92" s="1"/>
      <c r="B92" s="37" t="s">
        <v>105</v>
      </c>
      <c r="C92" s="25" t="str">
        <f>IF(OR(ISTEXT(C89),ISTEXT(C90),ISTEXT(C91)),"n.d.",(1+C89)/((1+C90)*(1+C91))-1)</f>
        <v>n.d.</v>
      </c>
      <c r="D92" s="25" t="str">
        <f>IF(OR(ISTEXT(D89),ISTEXT(D90),ISTEXT(D91)),"n.d.",(1+D89)/((1+D90)*(1+D91))-1)</f>
        <v>n.d.</v>
      </c>
      <c r="E92" s="25" t="str">
        <f>IF(OR(ISTEXT(E89),ISTEXT(E90),ISTEXT(E91)),"n.d.",(1+E89)/((1+E90)*(1+E91))-1)</f>
        <v>n.d.</v>
      </c>
      <c r="F92" s="25" t="str">
        <f>IF(OR(ISTEXT(F89),ISTEXT(F90),ISTEXT(F91)),"n.d.",(1+F89)/((1+F90)*(1+F91))-1)</f>
        <v>n.d.</v>
      </c>
      <c r="G92" s="25" t="str">
        <f>IF(OR(ISTEXT(G89),ISTEXT(G90),ISTEXT(G91)),"n.d.",(1+G89)/((1+G90)*(1+G91))-1)</f>
        <v>n.d.</v>
      </c>
      <c r="H92" s="25" t="str">
        <f>IF(OR(ISTEXT(H89),ISTEXT(H90),ISTEXT(H91)),"n.d.",(1+H89)/((1+H90)*(1+H91))-1)</f>
        <v>n.d.</v>
      </c>
      <c r="I92" s="25" t="str">
        <f>IF(OR(ISTEXT(I89),ISTEXT(I90),ISTEXT(I91)),"n.d.",(1+I89)/((1+I90)*(1+I91))-1)</f>
        <v>n.d.</v>
      </c>
      <c r="J92" s="51" t="str">
        <f>IF(OR(ISTEXT(J89),ISTEXT(J90),ISTEXT(J91)),"n.d.",(1+J89)/((1+J90)*(1+J91))-1)</f>
        <v>n.d.</v>
      </c>
      <c r="K92" s="14"/>
    </row>
    <row r="93" ht="14.624267578125">
      <c r="A93" s="1"/>
      <c r="B93" s="18"/>
      <c r="C93" s="19"/>
      <c r="D93" s="19"/>
      <c r="E93" s="19"/>
      <c r="F93" s="19"/>
      <c r="G93" s="19"/>
      <c r="H93" s="19"/>
      <c r="I93" s="19"/>
      <c r="J93" s="27"/>
      <c r="K93" s="14"/>
    </row>
    <row r="94">
      <c r="A94" s="1"/>
      <c r="B94" s="20" t="s">
        <v>113</v>
      </c>
      <c r="C94" s="32"/>
      <c r="D94" s="32"/>
      <c r="E94" s="32"/>
      <c r="F94" s="32"/>
      <c r="G94" s="32"/>
      <c r="H94" s="32"/>
      <c r="I94" s="32"/>
      <c r="J94" s="28"/>
      <c r="K94" s="14"/>
    </row>
    <row r="95" ht="14.624267578125">
      <c r="A95" s="1"/>
      <c r="B95" s="63" t="s">
        <v>114</v>
      </c>
      <c r="C95" s="10"/>
      <c r="D95" s="10"/>
      <c r="E95" s="10"/>
      <c r="F95" s="10"/>
      <c r="G95" s="30">
        <v>0.542</v>
      </c>
      <c r="H95" s="10"/>
      <c r="I95" s="10"/>
      <c r="J95" s="81"/>
      <c r="K95" s="14" t="s">
        <v>115</v>
      </c>
    </row>
    <row r="96">
      <c r="A96" s="1"/>
      <c r="B96" s="79" t="s">
        <v>116</v>
      </c>
      <c r="C96" s="10"/>
      <c r="D96" s="10"/>
      <c r="E96" s="10"/>
      <c r="F96" s="10"/>
      <c r="G96" s="30">
        <v>0.078</v>
      </c>
      <c r="H96" s="10"/>
      <c r="I96" s="10"/>
      <c r="J96" s="81"/>
      <c r="K96" s="14" t="s">
        <v>115</v>
      </c>
    </row>
    <row r="97" ht="14.624267578125">
      <c r="A97" s="1"/>
      <c r="B97" s="79" t="s">
        <v>117</v>
      </c>
      <c r="C97" s="10"/>
      <c r="D97" s="10"/>
      <c r="E97" s="10"/>
      <c r="F97" s="10"/>
      <c r="G97" s="30">
        <v>0.328</v>
      </c>
      <c r="H97" s="10"/>
      <c r="I97" s="10"/>
      <c r="J97" s="81"/>
      <c r="K97" s="14" t="s">
        <v>115</v>
      </c>
    </row>
    <row r="98">
      <c r="A98" s="1"/>
      <c r="B98" s="79" t="s">
        <v>118</v>
      </c>
      <c r="C98" s="10"/>
      <c r="D98" s="10"/>
      <c r="E98" s="10"/>
      <c r="F98" s="10"/>
      <c r="G98" s="30">
        <v>0.049</v>
      </c>
      <c r="H98" s="10"/>
      <c r="I98" s="10"/>
      <c r="J98" s="81"/>
      <c r="K98" s="14" t="s">
        <v>115</v>
      </c>
    </row>
    <row r="99" ht="14.624267578125">
      <c r="A99" s="1"/>
      <c r="B99" s="63" t="s">
        <v>119</v>
      </c>
      <c r="C99" s="10"/>
      <c r="D99" s="10"/>
      <c r="E99" s="10"/>
      <c r="F99" s="10"/>
      <c r="G99" s="10">
        <f>1-SUM(G95:G98)</f>
        <v>0.0029999999999998916</v>
      </c>
      <c r="H99" s="10"/>
      <c r="I99" s="10"/>
      <c r="J99" s="81"/>
      <c r="K99" s="14"/>
    </row>
    <row r="100">
      <c r="A100" s="1"/>
      <c r="B100" s="74" t="s">
        <v>120</v>
      </c>
      <c r="C100" s="70"/>
      <c r="D100" s="70"/>
      <c r="E100" s="70"/>
      <c r="F100" s="70"/>
      <c r="G100" s="70"/>
      <c r="H100" s="70"/>
      <c r="I100" s="70"/>
      <c r="J100" s="99"/>
      <c r="K100" s="14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K135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  <col min="11" max="11" width="9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35" t="s">
        <v>49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9" t="s">
        <v>121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3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6" t="s">
        <v>51</v>
      </c>
      <c r="C5" s="21" t="s">
        <v>52</v>
      </c>
      <c r="D5" s="21" t="s">
        <v>53</v>
      </c>
      <c r="E5" s="21" t="s">
        <v>54</v>
      </c>
      <c r="F5" s="21" t="s">
        <v>55</v>
      </c>
      <c r="G5" s="21" t="s">
        <v>56</v>
      </c>
      <c r="H5" s="21" t="s">
        <v>57</v>
      </c>
      <c r="I5" s="21" t="s">
        <v>58</v>
      </c>
      <c r="J5" s="40" t="s">
        <v>4</v>
      </c>
      <c r="K5" s="6" t="s">
        <v>59</v>
      </c>
    </row>
    <row r="6">
      <c r="A6" s="1"/>
      <c r="B6" s="7" t="s">
        <v>5</v>
      </c>
      <c r="C6" s="29">
        <v>45747</v>
      </c>
      <c r="D6" s="29">
        <v>45838</v>
      </c>
      <c r="E6" s="29">
        <v>45930</v>
      </c>
      <c r="F6" s="29">
        <v>46022</v>
      </c>
      <c r="G6" s="29">
        <v>46022</v>
      </c>
      <c r="H6" s="29">
        <v>46112</v>
      </c>
      <c r="I6" s="29">
        <v>46203</v>
      </c>
      <c r="J6" s="50">
        <v>46295</v>
      </c>
      <c r="K6" s="7"/>
    </row>
    <row r="7">
      <c r="A7" s="1"/>
      <c r="B7" s="12" t="s">
        <v>6</v>
      </c>
      <c r="C7" s="34">
        <f>C6-EOMONTH(C6,-3)</f>
        <v>90</v>
      </c>
      <c r="D7" s="34">
        <f>D6-EOMONTH(D6,-3)</f>
        <v>91</v>
      </c>
      <c r="E7" s="34">
        <f>E6-EOMONTH(E6,-3)</f>
        <v>92</v>
      </c>
      <c r="F7" s="34">
        <f>F6-EOMONTH(F6,-3)</f>
        <v>92</v>
      </c>
      <c r="G7" s="34">
        <f>G6-EOMONTH(G6,-12)</f>
        <v>365</v>
      </c>
      <c r="H7" s="34">
        <f>H6-EOMONTH(H6,-3)</f>
        <v>90</v>
      </c>
      <c r="I7" s="34">
        <f>I6-EOMONTH(I6,-3)</f>
        <v>91</v>
      </c>
      <c r="J7" s="43">
        <f>J6-EOMONTH(J6,-3)</f>
        <v>92</v>
      </c>
      <c r="K7" s="12"/>
    </row>
    <row r="8">
      <c r="A8" s="1"/>
      <c r="B8" s="1"/>
      <c r="C8" s="1"/>
      <c r="D8" s="1"/>
      <c r="E8" s="1"/>
      <c r="F8" s="1"/>
      <c r="G8" s="1"/>
      <c r="H8" s="1"/>
      <c r="I8" s="1"/>
      <c r="J8" s="54"/>
      <c r="K8" s="1"/>
    </row>
    <row r="9">
      <c r="A9" s="1"/>
      <c r="B9" s="20" t="s">
        <v>122</v>
      </c>
      <c r="C9" s="32"/>
      <c r="D9" s="32"/>
      <c r="E9" s="32"/>
      <c r="F9" s="32"/>
      <c r="G9" s="32"/>
      <c r="H9" s="32"/>
      <c r="I9" s="32"/>
      <c r="J9" s="28"/>
      <c r="K9" s="14"/>
    </row>
    <row r="10" ht="23.24853515625">
      <c r="A10" s="1"/>
      <c r="B10" s="67" t="s">
        <v>123</v>
      </c>
      <c r="C10" s="25" t="s">
        <v>64</v>
      </c>
      <c r="D10" s="25" t="s">
        <v>64</v>
      </c>
      <c r="E10" s="25" t="s">
        <v>64</v>
      </c>
      <c r="F10" s="25" t="s">
        <v>64</v>
      </c>
      <c r="G10" s="25" t="s">
        <v>64</v>
      </c>
      <c r="H10" s="25" t="s">
        <v>64</v>
      </c>
      <c r="I10" s="25" t="s">
        <v>64</v>
      </c>
      <c r="J10" s="85">
        <v>0.01</v>
      </c>
      <c r="K10" s="14" t="s">
        <v>124</v>
      </c>
    </row>
    <row r="11">
      <c r="A11" s="1"/>
      <c r="B11" s="18" t="s">
        <v>125</v>
      </c>
      <c r="C11" s="24">
        <v>208305</v>
      </c>
      <c r="D11" s="24">
        <v>209649</v>
      </c>
      <c r="E11" s="24">
        <v>211384</v>
      </c>
      <c r="F11" s="24">
        <v>214770</v>
      </c>
      <c r="G11" s="2">
        <f>AVERAGE(C11:F11)</f>
        <v>211027</v>
      </c>
      <c r="H11" s="24">
        <v>216623</v>
      </c>
      <c r="I11" s="24">
        <v>217778</v>
      </c>
      <c r="J11" s="26">
        <f>I11*(1+J10)</f>
        <v>219955.78</v>
      </c>
      <c r="K11" s="14" t="s">
        <v>126</v>
      </c>
    </row>
    <row r="12">
      <c r="A12" s="1"/>
      <c r="B12" s="37" t="s">
        <v>63</v>
      </c>
      <c r="C12" s="25" t="s">
        <v>64</v>
      </c>
      <c r="D12" s="25" t="s">
        <v>64</v>
      </c>
      <c r="E12" s="25" t="s">
        <v>64</v>
      </c>
      <c r="F12" s="25" t="s">
        <v>64</v>
      </c>
      <c r="G12" s="25" t="s">
        <v>64</v>
      </c>
      <c r="H12" s="25">
        <f>IFERROR(H11/C11-1,"n.a.")</f>
        <v>0.0399318307289791</v>
      </c>
      <c r="I12" s="25">
        <f>IFERROR(I11/D11-1,"n.a.")</f>
        <v>0.03877433233642891</v>
      </c>
      <c r="J12" s="51">
        <f>IFERROR(J11/E11-1,"n.a.")</f>
        <v>0.04055075123945051</v>
      </c>
      <c r="K12" s="14"/>
    </row>
    <row r="13">
      <c r="A13" s="1"/>
      <c r="B13" s="48" t="s">
        <v>78</v>
      </c>
      <c r="C13" s="2" t="s">
        <v>64</v>
      </c>
      <c r="D13" s="2">
        <f>IFERROR(D11-C11,"n.a.")</f>
        <v>1344</v>
      </c>
      <c r="E13" s="2">
        <f>IFERROR(E11-D11,"n.a.")</f>
        <v>1735</v>
      </c>
      <c r="F13" s="2">
        <f>IFERROR(F11-E11,"n.a.")</f>
        <v>3386</v>
      </c>
      <c r="G13" s="2" t="s">
        <v>64</v>
      </c>
      <c r="H13" s="2">
        <f>IFERROR(H11-F11,"n.a.")</f>
        <v>1853</v>
      </c>
      <c r="I13" s="2">
        <f>IFERROR(I11-H11,"n.a.")</f>
        <v>1155</v>
      </c>
      <c r="J13" s="26">
        <f>IFERROR(J11-I11,"n.a.")</f>
        <v>2177.779999999999</v>
      </c>
      <c r="K13" s="14"/>
    </row>
    <row r="14">
      <c r="A14" s="1"/>
      <c r="B14" s="18" t="s">
        <v>127</v>
      </c>
      <c r="C14" s="49">
        <v>0.0355</v>
      </c>
      <c r="D14" s="49">
        <v>0.0355</v>
      </c>
      <c r="E14" s="49">
        <v>0.0368</v>
      </c>
      <c r="F14" s="49">
        <v>0.0372</v>
      </c>
      <c r="G14" s="45" t="s">
        <v>64</v>
      </c>
      <c r="H14" s="49">
        <v>0.0372</v>
      </c>
      <c r="I14" s="49">
        <v>0.0368</v>
      </c>
      <c r="J14" s="89" t="s">
        <v>64</v>
      </c>
      <c r="K14" s="14" t="s">
        <v>128</v>
      </c>
    </row>
    <row r="15">
      <c r="A15" s="1"/>
      <c r="B15" s="48" t="s">
        <v>94</v>
      </c>
      <c r="C15" s="71" t="s">
        <v>64</v>
      </c>
      <c r="D15" s="71" t="s">
        <v>64</v>
      </c>
      <c r="E15" s="71" t="s">
        <v>64</v>
      </c>
      <c r="F15" s="71" t="s">
        <v>64</v>
      </c>
      <c r="G15" s="71" t="s">
        <v>64</v>
      </c>
      <c r="H15" s="71">
        <f>IFERROR((H14-C14)*10000,"n.a.")</f>
        <v>17</v>
      </c>
      <c r="I15" s="71">
        <f>IFERROR((I14-D14)*10000,"n.a.")</f>
        <v>13.000000000000025</v>
      </c>
      <c r="J15" s="72" t="str">
        <f>IFERROR((J14-E14)*10000,"n.a.")</f>
        <v>n.a.</v>
      </c>
      <c r="K15" s="14"/>
    </row>
    <row r="16">
      <c r="A16" s="1"/>
      <c r="B16" s="48" t="s">
        <v>95</v>
      </c>
      <c r="C16" s="71" t="s">
        <v>64</v>
      </c>
      <c r="D16" s="71">
        <f>IFERROR((D14-C14)*10000,"n.a.")</f>
        <v>0</v>
      </c>
      <c r="E16" s="71">
        <f>IFERROR((E14-D14)*10000,"n.a.")</f>
        <v>13.000000000000025</v>
      </c>
      <c r="F16" s="71">
        <f>IFERROR((F14-E14)*10000,"n.a.")</f>
        <v>3.999999999999976</v>
      </c>
      <c r="G16" s="71" t="s">
        <v>64</v>
      </c>
      <c r="H16" s="71">
        <f>IFERROR((H14-F14)*10000,"n.a.")</f>
        <v>0</v>
      </c>
      <c r="I16" s="71">
        <f>IFERROR((I14-H14)*10000,"n.a.")</f>
        <v>-3.999999999999976</v>
      </c>
      <c r="J16" s="72" t="str">
        <f>IFERROR((J14-I14)*10000,"n.a.")</f>
        <v>n.a.</v>
      </c>
      <c r="K16" s="14"/>
    </row>
    <row r="17" ht="14.624267578125">
      <c r="A17" s="1"/>
      <c r="B17" s="63" t="s">
        <v>129</v>
      </c>
      <c r="C17" s="45" t="s">
        <v>64</v>
      </c>
      <c r="D17" s="45" t="s">
        <v>64</v>
      </c>
      <c r="E17" s="45" t="s">
        <v>64</v>
      </c>
      <c r="F17" s="45" t="s">
        <v>64</v>
      </c>
      <c r="G17" s="45" t="s">
        <v>64</v>
      </c>
      <c r="H17" s="45" t="s">
        <v>64</v>
      </c>
      <c r="I17" s="45" t="s">
        <v>64</v>
      </c>
      <c r="J17" s="90">
        <v>0.0375</v>
      </c>
      <c r="K17" s="14" t="s">
        <v>130</v>
      </c>
    </row>
    <row r="18" ht="23.24853515625">
      <c r="A18" s="1"/>
      <c r="B18" s="18"/>
      <c r="C18" s="19"/>
      <c r="D18" s="19"/>
      <c r="E18" s="19"/>
      <c r="F18" s="19"/>
      <c r="G18" s="19"/>
      <c r="H18" s="19"/>
      <c r="I18" s="19"/>
      <c r="J18" s="27"/>
      <c r="K18" s="14"/>
    </row>
    <row r="19">
      <c r="A19" s="1"/>
      <c r="B19" s="20" t="s">
        <v>131</v>
      </c>
      <c r="C19" s="32"/>
      <c r="D19" s="32"/>
      <c r="E19" s="32"/>
      <c r="F19" s="32"/>
      <c r="G19" s="32"/>
      <c r="H19" s="32"/>
      <c r="I19" s="32"/>
      <c r="J19" s="28"/>
      <c r="K19" s="14"/>
    </row>
    <row r="20">
      <c r="A20" s="1"/>
      <c r="B20" s="18" t="s">
        <v>82</v>
      </c>
      <c r="C20" s="24">
        <v>1822</v>
      </c>
      <c r="D20" s="24">
        <v>1855</v>
      </c>
      <c r="E20" s="24">
        <v>1961</v>
      </c>
      <c r="F20" s="24">
        <v>2015</v>
      </c>
      <c r="G20" s="2">
        <f>SUM(C20:F20)</f>
        <v>7653</v>
      </c>
      <c r="H20" s="24">
        <v>1986</v>
      </c>
      <c r="I20" s="24">
        <v>2000</v>
      </c>
      <c r="J20" s="26">
        <f>J11*J17*J$7/365</f>
        <v>2079.0340849315066</v>
      </c>
      <c r="K20" s="14" t="s">
        <v>132</v>
      </c>
    </row>
    <row r="21">
      <c r="A21" s="1"/>
      <c r="B21" s="37" t="s">
        <v>63</v>
      </c>
      <c r="C21" s="25" t="s">
        <v>64</v>
      </c>
      <c r="D21" s="25" t="s">
        <v>64</v>
      </c>
      <c r="E21" s="25" t="s">
        <v>64</v>
      </c>
      <c r="F21" s="25" t="s">
        <v>64</v>
      </c>
      <c r="G21" s="25" t="s">
        <v>64</v>
      </c>
      <c r="H21" s="25">
        <f>IFERROR(H20/C20-1,"n.a.")</f>
        <v>0.09001097694840832</v>
      </c>
      <c r="I21" s="25">
        <f>IFERROR(I20/D20-1,"n.a.")</f>
        <v>0.07816711590296488</v>
      </c>
      <c r="J21" s="51">
        <f>IFERROR(J20/E20-1,"n.a.")</f>
        <v>0.0601907623312119</v>
      </c>
      <c r="K21" s="14"/>
    </row>
    <row r="22">
      <c r="A22" s="1"/>
      <c r="B22" s="48" t="s">
        <v>78</v>
      </c>
      <c r="C22" s="2" t="s">
        <v>64</v>
      </c>
      <c r="D22" s="2">
        <f>IFERROR(D20-C20,"n.a.")</f>
        <v>33</v>
      </c>
      <c r="E22" s="2">
        <f>IFERROR(E20-D20,"n.a.")</f>
        <v>106</v>
      </c>
      <c r="F22" s="2">
        <f>IFERROR(F20-E20,"n.a.")</f>
        <v>54</v>
      </c>
      <c r="G22" s="2" t="s">
        <v>64</v>
      </c>
      <c r="H22" s="2">
        <f>IFERROR(H20-F20,"n.a.")</f>
        <v>-29</v>
      </c>
      <c r="I22" s="2">
        <f>IFERROR(I20-H20,"n.a.")</f>
        <v>14</v>
      </c>
      <c r="J22" s="26">
        <f>IFERROR(J20-I20,"n.a.")</f>
        <v>79.03408493150664</v>
      </c>
      <c r="K22" s="14"/>
    </row>
    <row r="23" ht="23.24853515625">
      <c r="A23" s="1"/>
      <c r="B23" s="13" t="s">
        <v>133</v>
      </c>
      <c r="C23" s="45">
        <f>IFERROR(C20/C11*365/C$7,"n.a.")</f>
        <v>0.03547309100704362</v>
      </c>
      <c r="D23" s="45">
        <f>IFERROR(D20/D11*365/D$7,"n.a.")</f>
        <v>0.035489721464851326</v>
      </c>
      <c r="E23" s="45">
        <f>IFERROR(E20/E11*365/E$7,"n.a.")</f>
        <v>0.036805313305766224</v>
      </c>
      <c r="F23" s="45">
        <f>IFERROR(F20/F11*365/F$7,"n.a.")</f>
        <v>0.03722257986804893</v>
      </c>
      <c r="G23" s="45">
        <f>IFERROR(G20/G11*365/G$7,"n.a.")</f>
        <v>0.036265501570889036</v>
      </c>
      <c r="H23" s="45">
        <f>IFERROR(H20/H11*365/H$7,"n.a.")</f>
        <v>0.03718133962383188</v>
      </c>
      <c r="I23" s="45">
        <f>IFERROR(I20/I11*365/I$7,"n.a.")</f>
        <v>0.03683557577890339</v>
      </c>
      <c r="J23" s="89">
        <f>IFERROR(J20/J11*365/J$7,"n.a.")</f>
        <v>0.03749999999999999</v>
      </c>
      <c r="K23" s="14"/>
    </row>
    <row r="24">
      <c r="A24" s="1"/>
      <c r="B24" s="48" t="s">
        <v>94</v>
      </c>
      <c r="C24" s="71" t="s">
        <v>64</v>
      </c>
      <c r="D24" s="71" t="s">
        <v>64</v>
      </c>
      <c r="E24" s="71" t="s">
        <v>64</v>
      </c>
      <c r="F24" s="71" t="s">
        <v>64</v>
      </c>
      <c r="G24" s="71" t="s">
        <v>64</v>
      </c>
      <c r="H24" s="71">
        <f>IFERROR((H23-C23)*10000,"n.a.")</f>
        <v>17.082486167882617</v>
      </c>
      <c r="I24" s="71">
        <f>IFERROR((I23-D23)*10000,"n.a.")</f>
        <v>13.458543140520627</v>
      </c>
      <c r="J24" s="72">
        <f>IFERROR((J23-E23)*10000,"n.a.")</f>
        <v>6.946866942337676</v>
      </c>
      <c r="K24" s="14"/>
    </row>
    <row r="25">
      <c r="A25" s="1"/>
      <c r="B25" s="48" t="s">
        <v>95</v>
      </c>
      <c r="C25" s="71" t="s">
        <v>64</v>
      </c>
      <c r="D25" s="71">
        <f>IFERROR((D23-C23)*10000,"n.a.")</f>
        <v>0.16630457807705057</v>
      </c>
      <c r="E25" s="71">
        <f>IFERROR((E23-D23)*10000,"n.a.")</f>
        <v>13.155918409148981</v>
      </c>
      <c r="F25" s="71">
        <f>IFERROR((F23-E23)*10000,"n.a.")</f>
        <v>4.1726656228270596</v>
      </c>
      <c r="G25" s="71" t="s">
        <v>64</v>
      </c>
      <c r="H25" s="71">
        <f>IFERROR((H23-F23)*10000,"n.a.")</f>
        <v>-0.41240244217047306</v>
      </c>
      <c r="I25" s="71">
        <f>IFERROR((I23-H23)*10000,"n.a.")</f>
        <v>-3.4576384492849415</v>
      </c>
      <c r="J25" s="72">
        <f>IFERROR((J23-I23)*10000,"n.a.")</f>
        <v>6.644242210966031</v>
      </c>
      <c r="K25" s="14"/>
    </row>
    <row r="26" ht="14.624267578125">
      <c r="A26" s="1"/>
      <c r="B26" s="13" t="s">
        <v>134</v>
      </c>
      <c r="C26" s="24">
        <v>252</v>
      </c>
      <c r="D26" s="24">
        <v>264</v>
      </c>
      <c r="E26" s="24">
        <v>292</v>
      </c>
      <c r="F26" s="24">
        <v>247</v>
      </c>
      <c r="G26" s="2">
        <f>SUM(C26:F26)</f>
        <v>1055</v>
      </c>
      <c r="H26" s="24">
        <v>272</v>
      </c>
      <c r="I26" s="24">
        <v>259</v>
      </c>
      <c r="J26" s="39">
        <v>270</v>
      </c>
      <c r="K26" s="14" t="s">
        <v>135</v>
      </c>
    </row>
    <row r="27">
      <c r="A27" s="1"/>
      <c r="B27" s="37" t="s">
        <v>63</v>
      </c>
      <c r="C27" s="25" t="s">
        <v>64</v>
      </c>
      <c r="D27" s="25" t="s">
        <v>64</v>
      </c>
      <c r="E27" s="25" t="s">
        <v>64</v>
      </c>
      <c r="F27" s="25" t="s">
        <v>64</v>
      </c>
      <c r="G27" s="25" t="s">
        <v>64</v>
      </c>
      <c r="H27" s="25">
        <f>IFERROR(H26/C26-1,"n.a.")</f>
        <v>0.0793650793650793</v>
      </c>
      <c r="I27" s="25">
        <f>IFERROR(I26/D26-1,"n.a.")</f>
        <v>-0.018939393939393923</v>
      </c>
      <c r="J27" s="51">
        <f>IFERROR(J26/E26-1,"n.a.")</f>
        <v>-0.07534246575342463</v>
      </c>
      <c r="K27" s="14"/>
    </row>
    <row r="28">
      <c r="A28" s="1"/>
      <c r="B28" s="48" t="s">
        <v>78</v>
      </c>
      <c r="C28" s="2" t="s">
        <v>64</v>
      </c>
      <c r="D28" s="2">
        <f>IFERROR(D26-C26,"n.a.")</f>
        <v>12</v>
      </c>
      <c r="E28" s="2">
        <f>IFERROR(E26-D26,"n.a.")</f>
        <v>28</v>
      </c>
      <c r="F28" s="2">
        <f>IFERROR(F26-E26,"n.a.")</f>
        <v>-45</v>
      </c>
      <c r="G28" s="2" t="s">
        <v>64</v>
      </c>
      <c r="H28" s="2">
        <f>IFERROR(H26-F26,"n.a.")</f>
        <v>25</v>
      </c>
      <c r="I28" s="2">
        <f>IFERROR(I26-H26,"n.a.")</f>
        <v>-13</v>
      </c>
      <c r="J28" s="26">
        <f>IFERROR(J26-I26,"n.a.")</f>
        <v>11</v>
      </c>
      <c r="K28" s="14"/>
    </row>
    <row r="29">
      <c r="A29" s="1"/>
      <c r="B29" s="20" t="s">
        <v>136</v>
      </c>
      <c r="C29" s="16">
        <f>C20+C26</f>
        <v>2074</v>
      </c>
      <c r="D29" s="16">
        <f>D20+D26</f>
        <v>2119</v>
      </c>
      <c r="E29" s="16">
        <f>E20+E26</f>
        <v>2253</v>
      </c>
      <c r="F29" s="16">
        <f>F20+F26</f>
        <v>2262</v>
      </c>
      <c r="G29" s="16">
        <f>SUM(C29:F29)</f>
        <v>8708</v>
      </c>
      <c r="H29" s="16">
        <f>H20+H26</f>
        <v>2258</v>
      </c>
      <c r="I29" s="16">
        <f>I20+I26</f>
        <v>2259</v>
      </c>
      <c r="J29" s="65">
        <f>J20+J26</f>
        <v>2349.0340849315066</v>
      </c>
      <c r="K29" s="14"/>
    </row>
    <row r="30">
      <c r="A30" s="1"/>
      <c r="B30" s="37" t="s">
        <v>63</v>
      </c>
      <c r="C30" s="25" t="s">
        <v>64</v>
      </c>
      <c r="D30" s="25" t="s">
        <v>64</v>
      </c>
      <c r="E30" s="25" t="s">
        <v>64</v>
      </c>
      <c r="F30" s="25" t="s">
        <v>64</v>
      </c>
      <c r="G30" s="25" t="s">
        <v>64</v>
      </c>
      <c r="H30" s="25">
        <f>IFERROR(H29/C29-1,"n.a.")</f>
        <v>0.0887174541947926</v>
      </c>
      <c r="I30" s="25">
        <f>IFERROR(I29/D29-1,"n.a.")</f>
        <v>0.06606890042472857</v>
      </c>
      <c r="J30" s="51">
        <f>IFERROR(J29/E29-1,"n.a.")</f>
        <v>0.04262498221549338</v>
      </c>
      <c r="K30" s="14"/>
    </row>
    <row r="31">
      <c r="A31" s="1"/>
      <c r="B31" s="37" t="s">
        <v>65</v>
      </c>
      <c r="C31" s="25" t="s">
        <v>64</v>
      </c>
      <c r="D31" s="25">
        <f>IFERROR(D29/C29-1,"n.a.")</f>
        <v>0.021697203471552573</v>
      </c>
      <c r="E31" s="25">
        <f>IFERROR(E29/D29-1,"n.a.")</f>
        <v>0.0632373761208116</v>
      </c>
      <c r="F31" s="25">
        <f>IFERROR(F29/E29-1,"n.a.")</f>
        <v>0.003994673768308976</v>
      </c>
      <c r="G31" s="25" t="s">
        <v>64</v>
      </c>
      <c r="H31" s="25">
        <f>IFERROR(H29/F29-1,"n.a.")</f>
        <v>-0.0017683465959328348</v>
      </c>
      <c r="I31" s="25">
        <f>IFERROR(I29/H29-1,"n.a.")</f>
        <v>0.0004428697962799433</v>
      </c>
      <c r="J31" s="51">
        <f>IFERROR(J29/I29-1,"n.a.")</f>
        <v>0.03985572595462883</v>
      </c>
      <c r="K31" s="14"/>
    </row>
    <row r="32">
      <c r="A32" s="1"/>
      <c r="B32" s="48" t="s">
        <v>78</v>
      </c>
      <c r="C32" s="2" t="s">
        <v>64</v>
      </c>
      <c r="D32" s="2">
        <f>IFERROR(D29-C29,"n.a.")</f>
        <v>45</v>
      </c>
      <c r="E32" s="2">
        <f>IFERROR(E29-D29,"n.a.")</f>
        <v>134</v>
      </c>
      <c r="F32" s="2">
        <f>IFERROR(F29-E29,"n.a.")</f>
        <v>9</v>
      </c>
      <c r="G32" s="2" t="s">
        <v>64</v>
      </c>
      <c r="H32" s="2">
        <f>IFERROR(H29-F29,"n.a.")</f>
        <v>-4</v>
      </c>
      <c r="I32" s="2">
        <f>IFERROR(I29-H29,"n.a.")</f>
        <v>1</v>
      </c>
      <c r="J32" s="26">
        <f>IFERROR(J29-I29,"n.a.")</f>
        <v>90.03408493150664</v>
      </c>
      <c r="K32" s="14"/>
    </row>
    <row r="33">
      <c r="A33" s="1"/>
      <c r="B33" s="18"/>
      <c r="C33" s="19"/>
      <c r="D33" s="19"/>
      <c r="E33" s="19"/>
      <c r="F33" s="19"/>
      <c r="G33" s="19"/>
      <c r="H33" s="19"/>
      <c r="I33" s="19"/>
      <c r="J33" s="27"/>
      <c r="K33" s="14"/>
    </row>
    <row r="34">
      <c r="A34" s="1"/>
      <c r="B34" s="20" t="s">
        <v>137</v>
      </c>
      <c r="C34" s="32"/>
      <c r="D34" s="32"/>
      <c r="E34" s="32"/>
      <c r="F34" s="32"/>
      <c r="G34" s="32"/>
      <c r="H34" s="32"/>
      <c r="I34" s="32"/>
      <c r="J34" s="28"/>
      <c r="K34" s="14"/>
    </row>
    <row r="35" ht="14.624267578125">
      <c r="A35" s="1"/>
      <c r="B35" s="67" t="s">
        <v>138</v>
      </c>
      <c r="C35" s="25" t="s">
        <v>64</v>
      </c>
      <c r="D35" s="25" t="s">
        <v>64</v>
      </c>
      <c r="E35" s="25" t="s">
        <v>64</v>
      </c>
      <c r="F35" s="25" t="s">
        <v>64</v>
      </c>
      <c r="G35" s="25" t="s">
        <v>64</v>
      </c>
      <c r="H35" s="25" t="s">
        <v>64</v>
      </c>
      <c r="I35" s="25" t="s">
        <v>64</v>
      </c>
      <c r="J35" s="51">
        <f>I39/I29</f>
        <v>0.24258521469676847</v>
      </c>
      <c r="K35" s="14" t="s">
        <v>139</v>
      </c>
    </row>
    <row r="36">
      <c r="A36" s="1"/>
      <c r="B36" s="79" t="s">
        <v>140</v>
      </c>
      <c r="C36" s="24">
        <v>1573</v>
      </c>
      <c r="D36" s="24">
        <v>1599</v>
      </c>
      <c r="E36" s="24">
        <v>1708</v>
      </c>
      <c r="F36" s="24">
        <v>1702</v>
      </c>
      <c r="G36" s="2">
        <f>SUM(C36:F36)</f>
        <v>6582</v>
      </c>
      <c r="H36" s="24">
        <v>1725</v>
      </c>
      <c r="I36" s="24">
        <v>1711</v>
      </c>
      <c r="J36" s="26">
        <f>J29-J39</f>
        <v>1779.1931471083699</v>
      </c>
      <c r="K36" s="14" t="s">
        <v>128</v>
      </c>
    </row>
    <row r="37">
      <c r="A37" s="1"/>
      <c r="B37" s="37" t="s">
        <v>63</v>
      </c>
      <c r="C37" s="25" t="s">
        <v>64</v>
      </c>
      <c r="D37" s="25" t="s">
        <v>64</v>
      </c>
      <c r="E37" s="25" t="s">
        <v>64</v>
      </c>
      <c r="F37" s="25" t="s">
        <v>64</v>
      </c>
      <c r="G37" s="25" t="s">
        <v>64</v>
      </c>
      <c r="H37" s="25">
        <f>IFERROR(H36/C36-1,"n.a.")</f>
        <v>0.09663064208518746</v>
      </c>
      <c r="I37" s="25">
        <f>IFERROR(I36/D36-1,"n.a.")</f>
        <v>0.07004377736085043</v>
      </c>
      <c r="J37" s="51">
        <f>IFERROR(J36/E36-1,"n.a.")</f>
        <v>0.041682170438155586</v>
      </c>
      <c r="K37" s="14"/>
    </row>
    <row r="38">
      <c r="A38" s="1"/>
      <c r="B38" s="48" t="s">
        <v>78</v>
      </c>
      <c r="C38" s="2" t="s">
        <v>64</v>
      </c>
      <c r="D38" s="2">
        <f>IFERROR(D36-C36,"n.a.")</f>
        <v>26</v>
      </c>
      <c r="E38" s="2">
        <f>IFERROR(E36-D36,"n.a.")</f>
        <v>109</v>
      </c>
      <c r="F38" s="2">
        <f>IFERROR(F36-E36,"n.a.")</f>
        <v>-6</v>
      </c>
      <c r="G38" s="2" t="s">
        <v>64</v>
      </c>
      <c r="H38" s="2">
        <f>IFERROR(H36-F36,"n.a.")</f>
        <v>23</v>
      </c>
      <c r="I38" s="2">
        <f>IFERROR(I36-H36,"n.a.")</f>
        <v>-14</v>
      </c>
      <c r="J38" s="26">
        <f>IFERROR(J36-I36,"n.a.")</f>
        <v>68.19314710836989</v>
      </c>
      <c r="K38" s="14"/>
    </row>
    <row r="39">
      <c r="A39" s="1"/>
      <c r="B39" s="79" t="s">
        <v>141</v>
      </c>
      <c r="C39" s="24">
        <v>501</v>
      </c>
      <c r="D39" s="24">
        <v>520</v>
      </c>
      <c r="E39" s="24">
        <v>545</v>
      </c>
      <c r="F39" s="24">
        <v>560</v>
      </c>
      <c r="G39" s="2">
        <f>SUM(C39:F39)</f>
        <v>2126</v>
      </c>
      <c r="H39" s="24">
        <v>533</v>
      </c>
      <c r="I39" s="24">
        <v>548</v>
      </c>
      <c r="J39" s="26">
        <f>J29*J35</f>
        <v>569.8409378231366</v>
      </c>
      <c r="K39" s="14" t="s">
        <v>128</v>
      </c>
    </row>
    <row r="40">
      <c r="A40" s="1"/>
      <c r="B40" s="37" t="s">
        <v>63</v>
      </c>
      <c r="C40" s="25" t="s">
        <v>64</v>
      </c>
      <c r="D40" s="25" t="s">
        <v>64</v>
      </c>
      <c r="E40" s="25" t="s">
        <v>64</v>
      </c>
      <c r="F40" s="25" t="s">
        <v>64</v>
      </c>
      <c r="G40" s="25" t="s">
        <v>64</v>
      </c>
      <c r="H40" s="25">
        <f>IFERROR(H39/C39-1,"n.a.")</f>
        <v>0.06387225548902187</v>
      </c>
      <c r="I40" s="25">
        <f>IFERROR(I39/D39-1,"n.a.")</f>
        <v>0.05384615384615388</v>
      </c>
      <c r="J40" s="51">
        <f>IFERROR(J39/E39-1,"n.a.")</f>
        <v>0.04557970242777376</v>
      </c>
      <c r="K40" s="14"/>
    </row>
    <row r="41">
      <c r="A41" s="1"/>
      <c r="B41" s="48" t="s">
        <v>78</v>
      </c>
      <c r="C41" s="2" t="s">
        <v>64</v>
      </c>
      <c r="D41" s="2">
        <f>IFERROR(D39-C39,"n.a.")</f>
        <v>19</v>
      </c>
      <c r="E41" s="2">
        <f>IFERROR(E39-D39,"n.a.")</f>
        <v>25</v>
      </c>
      <c r="F41" s="2">
        <f>IFERROR(F39-E39,"n.a.")</f>
        <v>15</v>
      </c>
      <c r="G41" s="2" t="s">
        <v>64</v>
      </c>
      <c r="H41" s="2">
        <f>IFERROR(H39-F39,"n.a.")</f>
        <v>-27</v>
      </c>
      <c r="I41" s="2">
        <f>IFERROR(I39-H39,"n.a.")</f>
        <v>15</v>
      </c>
      <c r="J41" s="26">
        <f>IFERROR(J39-I39,"n.a.")</f>
        <v>21.840937823136642</v>
      </c>
      <c r="K41" s="14"/>
    </row>
    <row r="42">
      <c r="A42" s="1"/>
      <c r="B42" s="20" t="s">
        <v>142</v>
      </c>
      <c r="C42" s="16">
        <f>C36+C39</f>
        <v>2074</v>
      </c>
      <c r="D42" s="16">
        <f>D36+D39</f>
        <v>2119</v>
      </c>
      <c r="E42" s="16">
        <f>E36+E39</f>
        <v>2253</v>
      </c>
      <c r="F42" s="16">
        <f>F36+F39</f>
        <v>2262</v>
      </c>
      <c r="G42" s="16">
        <f>SUM(C42:F42)</f>
        <v>8708</v>
      </c>
      <c r="H42" s="16">
        <f>H36+H39</f>
        <v>2258</v>
      </c>
      <c r="I42" s="16">
        <f>I36+I39</f>
        <v>2259</v>
      </c>
      <c r="J42" s="65">
        <f>J36+J39</f>
        <v>2349.0340849315066</v>
      </c>
      <c r="K42" s="14"/>
    </row>
    <row r="43" ht="23.24853515625">
      <c r="A43" s="1"/>
      <c r="B43" s="63" t="s">
        <v>143</v>
      </c>
      <c r="C43" s="2">
        <f>C42-C29</f>
        <v>0</v>
      </c>
      <c r="D43" s="2">
        <f>D42-D29</f>
        <v>0</v>
      </c>
      <c r="E43" s="2">
        <f>E42-E29</f>
        <v>0</v>
      </c>
      <c r="F43" s="2">
        <f>F42-F29</f>
        <v>0</v>
      </c>
      <c r="G43" s="2">
        <f>G42-G29</f>
        <v>0</v>
      </c>
      <c r="H43" s="2">
        <f>H42-H29</f>
        <v>0</v>
      </c>
      <c r="I43" s="2">
        <f>I42-I29</f>
        <v>0</v>
      </c>
      <c r="J43" s="26">
        <f>J42-J29</f>
        <v>0</v>
      </c>
      <c r="K43" s="14" t="s">
        <v>144</v>
      </c>
    </row>
    <row r="44">
      <c r="A44" s="1"/>
      <c r="B44" s="18"/>
      <c r="C44" s="19"/>
      <c r="D44" s="19"/>
      <c r="E44" s="19"/>
      <c r="F44" s="19"/>
      <c r="G44" s="19"/>
      <c r="H44" s="19"/>
      <c r="I44" s="19"/>
      <c r="J44" s="27"/>
      <c r="K44" s="14"/>
    </row>
    <row r="45">
      <c r="A45" s="1"/>
      <c r="B45" s="20" t="s">
        <v>145</v>
      </c>
      <c r="C45" s="32"/>
      <c r="D45" s="32"/>
      <c r="E45" s="32"/>
      <c r="F45" s="32"/>
      <c r="G45" s="32"/>
      <c r="H45" s="32"/>
      <c r="I45" s="32"/>
      <c r="J45" s="28"/>
      <c r="K45" s="14"/>
    </row>
    <row r="46" ht="14.624267578125">
      <c r="A46" s="1"/>
      <c r="B46" s="63" t="s">
        <v>146</v>
      </c>
      <c r="C46" s="2" t="s">
        <v>64</v>
      </c>
      <c r="D46" s="2" t="s">
        <v>64</v>
      </c>
      <c r="E46" s="2" t="s">
        <v>64</v>
      </c>
      <c r="F46" s="2" t="s">
        <v>64</v>
      </c>
      <c r="G46" s="2" t="s">
        <v>64</v>
      </c>
      <c r="H46" s="2" t="s">
        <v>64</v>
      </c>
      <c r="I46" s="2" t="s">
        <v>64</v>
      </c>
      <c r="J46" s="39">
        <v>-1150</v>
      </c>
      <c r="K46" s="14" t="s">
        <v>147</v>
      </c>
    </row>
    <row r="47" ht="14.624267578125">
      <c r="A47" s="1"/>
      <c r="B47" s="63" t="s">
        <v>148</v>
      </c>
      <c r="C47" s="2" t="s">
        <v>64</v>
      </c>
      <c r="D47" s="2" t="s">
        <v>64</v>
      </c>
      <c r="E47" s="2" t="s">
        <v>64</v>
      </c>
      <c r="F47" s="2" t="s">
        <v>64</v>
      </c>
      <c r="G47" s="2" t="s">
        <v>64</v>
      </c>
      <c r="H47" s="2" t="s">
        <v>64</v>
      </c>
      <c r="I47" s="2" t="s">
        <v>64</v>
      </c>
      <c r="J47" s="39">
        <v>-125</v>
      </c>
      <c r="K47" s="14" t="s">
        <v>149</v>
      </c>
    </row>
    <row r="48">
      <c r="A48" s="1"/>
      <c r="B48" s="18" t="s">
        <v>150</v>
      </c>
      <c r="C48" s="24">
        <v>-1115</v>
      </c>
      <c r="D48" s="24">
        <v>-1168</v>
      </c>
      <c r="E48" s="24">
        <v>-1189</v>
      </c>
      <c r="F48" s="24">
        <v>-1274</v>
      </c>
      <c r="G48" s="2">
        <f>SUM(C48:F48)</f>
        <v>-4746</v>
      </c>
      <c r="H48" s="24">
        <v>-1174</v>
      </c>
      <c r="I48" s="24">
        <v>-1194</v>
      </c>
      <c r="J48" s="26">
        <f>J46+J47</f>
        <v>-1275</v>
      </c>
      <c r="K48" s="14" t="s">
        <v>128</v>
      </c>
    </row>
    <row r="49">
      <c r="A49" s="1"/>
      <c r="B49" s="37" t="s">
        <v>63</v>
      </c>
      <c r="C49" s="25" t="s">
        <v>64</v>
      </c>
      <c r="D49" s="25" t="s">
        <v>64</v>
      </c>
      <c r="E49" s="25" t="s">
        <v>64</v>
      </c>
      <c r="F49" s="25" t="s">
        <v>64</v>
      </c>
      <c r="G49" s="25" t="s">
        <v>64</v>
      </c>
      <c r="H49" s="25">
        <f>IFERROR(H48/C48-1,"n.a.")</f>
        <v>0.05291479820627809</v>
      </c>
      <c r="I49" s="25">
        <f>IFERROR(I48/D48-1,"n.a.")</f>
        <v>0.022260273972602773</v>
      </c>
      <c r="J49" s="51">
        <f>IFERROR(J48/E48-1,"n.a.")</f>
        <v>0.0723296888141296</v>
      </c>
      <c r="K49" s="14"/>
    </row>
    <row r="50">
      <c r="A50" s="1"/>
      <c r="B50" s="48" t="s">
        <v>78</v>
      </c>
      <c r="C50" s="2" t="s">
        <v>64</v>
      </c>
      <c r="D50" s="2">
        <f>IFERROR(D48-C48,"n.a.")</f>
        <v>-53</v>
      </c>
      <c r="E50" s="2">
        <f>IFERROR(E48-D48,"n.a.")</f>
        <v>-21</v>
      </c>
      <c r="F50" s="2">
        <f>IFERROR(F48-E48,"n.a.")</f>
        <v>-85</v>
      </c>
      <c r="G50" s="2" t="s">
        <v>64</v>
      </c>
      <c r="H50" s="2">
        <f>IFERROR(H48-F48,"n.a.")</f>
        <v>100</v>
      </c>
      <c r="I50" s="2">
        <f>IFERROR(I48-H48,"n.a.")</f>
        <v>-20</v>
      </c>
      <c r="J50" s="26">
        <f>IFERROR(J48-I48,"n.a.")</f>
        <v>-81</v>
      </c>
      <c r="K50" s="14"/>
    </row>
    <row r="51">
      <c r="A51" s="1"/>
      <c r="B51" s="18" t="s">
        <v>151</v>
      </c>
      <c r="C51" s="24">
        <v>-43</v>
      </c>
      <c r="D51" s="24">
        <v>0</v>
      </c>
      <c r="E51" s="24">
        <v>-1</v>
      </c>
      <c r="F51" s="24">
        <v>-41</v>
      </c>
      <c r="G51" s="2">
        <f>SUM(C51:F51)</f>
        <v>-85</v>
      </c>
      <c r="H51" s="24">
        <v>-44</v>
      </c>
      <c r="I51" s="24">
        <v>0</v>
      </c>
      <c r="J51" s="39">
        <v>0</v>
      </c>
      <c r="K51" s="14" t="s">
        <v>152</v>
      </c>
    </row>
    <row r="52">
      <c r="A52" s="1"/>
      <c r="B52" s="18" t="s">
        <v>153</v>
      </c>
      <c r="C52" s="24">
        <v>-2</v>
      </c>
      <c r="D52" s="24">
        <v>-27</v>
      </c>
      <c r="E52" s="24">
        <v>-8</v>
      </c>
      <c r="F52" s="24">
        <v>-14</v>
      </c>
      <c r="G52" s="2">
        <f>SUM(C52:F52)</f>
        <v>-51</v>
      </c>
      <c r="H52" s="24">
        <v>1</v>
      </c>
      <c r="I52" s="24">
        <v>-1</v>
      </c>
      <c r="J52" s="39">
        <v>-5</v>
      </c>
      <c r="K52" s="14" t="s">
        <v>154</v>
      </c>
    </row>
    <row r="53">
      <c r="A53" s="1"/>
      <c r="B53" s="20" t="s">
        <v>155</v>
      </c>
      <c r="C53" s="16">
        <f>C48+C51+C52</f>
        <v>-1160</v>
      </c>
      <c r="D53" s="16">
        <f>D48+D51+D52</f>
        <v>-1195</v>
      </c>
      <c r="E53" s="16">
        <f>E48+E51+E52</f>
        <v>-1198</v>
      </c>
      <c r="F53" s="16">
        <f>F48+F51+F52</f>
        <v>-1329</v>
      </c>
      <c r="G53" s="16">
        <f>SUM(C53:F53)</f>
        <v>-4882</v>
      </c>
      <c r="H53" s="16">
        <f>H48+H51+H52</f>
        <v>-1217</v>
      </c>
      <c r="I53" s="16">
        <f>I48+I51+I52</f>
        <v>-1195</v>
      </c>
      <c r="J53" s="65">
        <f>J48+J51+J52</f>
        <v>-1280</v>
      </c>
      <c r="K53" s="14"/>
    </row>
    <row r="54">
      <c r="A54" s="1"/>
      <c r="B54" s="37" t="s">
        <v>63</v>
      </c>
      <c r="C54" s="25" t="s">
        <v>64</v>
      </c>
      <c r="D54" s="25" t="s">
        <v>64</v>
      </c>
      <c r="E54" s="25" t="s">
        <v>64</v>
      </c>
      <c r="F54" s="25" t="s">
        <v>64</v>
      </c>
      <c r="G54" s="25" t="s">
        <v>64</v>
      </c>
      <c r="H54" s="25">
        <f>IFERROR(H53/C53-1,"n.a.")</f>
        <v>0.04913793103448283</v>
      </c>
      <c r="I54" s="25">
        <f>IFERROR(I53/D53-1,"n.a.")</f>
        <v>0</v>
      </c>
      <c r="J54" s="51">
        <f>IFERROR(J53/E53-1,"n.a.")</f>
        <v>0.06844741235392315</v>
      </c>
      <c r="K54" s="14"/>
    </row>
    <row r="55">
      <c r="A55" s="1"/>
      <c r="B55" s="48" t="s">
        <v>78</v>
      </c>
      <c r="C55" s="2" t="s">
        <v>64</v>
      </c>
      <c r="D55" s="2">
        <f>IFERROR(D53-C53,"n.a.")</f>
        <v>-35</v>
      </c>
      <c r="E55" s="2">
        <f>IFERROR(E53-D53,"n.a.")</f>
        <v>-3</v>
      </c>
      <c r="F55" s="2">
        <f>IFERROR(F53-E53,"n.a.")</f>
        <v>-131</v>
      </c>
      <c r="G55" s="2" t="s">
        <v>64</v>
      </c>
      <c r="H55" s="2">
        <f>IFERROR(H53-F53,"n.a.")</f>
        <v>112</v>
      </c>
      <c r="I55" s="2">
        <f>IFERROR(I53-H53,"n.a.")</f>
        <v>22</v>
      </c>
      <c r="J55" s="26">
        <f>IFERROR(J53-I53,"n.a.")</f>
        <v>-85</v>
      </c>
      <c r="K55" s="14"/>
    </row>
    <row r="56">
      <c r="A56" s="1"/>
      <c r="B56" s="18" t="s">
        <v>156</v>
      </c>
      <c r="C56" s="24">
        <v>0</v>
      </c>
      <c r="D56" s="24">
        <v>0</v>
      </c>
      <c r="E56" s="24">
        <v>0</v>
      </c>
      <c r="F56" s="24">
        <v>0</v>
      </c>
      <c r="G56" s="2">
        <f>SUM(C56:F56)</f>
        <v>0</v>
      </c>
      <c r="H56" s="24">
        <v>0</v>
      </c>
      <c r="I56" s="24">
        <v>0</v>
      </c>
      <c r="J56" s="39">
        <v>0</v>
      </c>
      <c r="K56" s="14"/>
    </row>
    <row r="57">
      <c r="A57" s="1"/>
      <c r="B57" s="20" t="s">
        <v>157</v>
      </c>
      <c r="C57" s="16">
        <f>C29+C53+C56</f>
        <v>914</v>
      </c>
      <c r="D57" s="16">
        <f>D29+D53+D56</f>
        <v>924</v>
      </c>
      <c r="E57" s="16">
        <f>E29+E53+E56</f>
        <v>1055</v>
      </c>
      <c r="F57" s="16">
        <f>F29+F53+F56</f>
        <v>933</v>
      </c>
      <c r="G57" s="16">
        <f>SUM(C57:F57)</f>
        <v>3826</v>
      </c>
      <c r="H57" s="16">
        <f>H29+H53+H56</f>
        <v>1041</v>
      </c>
      <c r="I57" s="16">
        <f>I29+I53+I56</f>
        <v>1064</v>
      </c>
      <c r="J57" s="65">
        <f>J29+J53+J56</f>
        <v>1069.0340849315066</v>
      </c>
      <c r="K57" s="14"/>
    </row>
    <row r="58">
      <c r="A58" s="1"/>
      <c r="B58" s="37" t="s">
        <v>63</v>
      </c>
      <c r="C58" s="25" t="s">
        <v>64</v>
      </c>
      <c r="D58" s="25" t="s">
        <v>64</v>
      </c>
      <c r="E58" s="25" t="s">
        <v>64</v>
      </c>
      <c r="F58" s="25" t="s">
        <v>64</v>
      </c>
      <c r="G58" s="25" t="s">
        <v>64</v>
      </c>
      <c r="H58" s="25">
        <f>IFERROR(H57/C57-1,"n.a.")</f>
        <v>0.13894967177242878</v>
      </c>
      <c r="I58" s="25">
        <f>IFERROR(I57/D57-1,"n.a.")</f>
        <v>0.1515151515151516</v>
      </c>
      <c r="J58" s="51">
        <f>IFERROR(J57/E57-1,"n.a.")</f>
        <v>0.013302450172044233</v>
      </c>
      <c r="K58" s="14"/>
    </row>
    <row r="59">
      <c r="A59" s="1"/>
      <c r="B59" s="48" t="s">
        <v>78</v>
      </c>
      <c r="C59" s="2" t="s">
        <v>64</v>
      </c>
      <c r="D59" s="2">
        <f>IFERROR(D57-C57,"n.a.")</f>
        <v>10</v>
      </c>
      <c r="E59" s="2">
        <f>IFERROR(E57-D57,"n.a.")</f>
        <v>131</v>
      </c>
      <c r="F59" s="2">
        <f>IFERROR(F57-E57,"n.a.")</f>
        <v>-122</v>
      </c>
      <c r="G59" s="2" t="s">
        <v>64</v>
      </c>
      <c r="H59" s="2">
        <f>IFERROR(H57-F57,"n.a.")</f>
        <v>108</v>
      </c>
      <c r="I59" s="2">
        <f>IFERROR(I57-H57,"n.a.")</f>
        <v>23</v>
      </c>
      <c r="J59" s="26">
        <f>IFERROR(J57-I57,"n.a.")</f>
        <v>5.034084931506641</v>
      </c>
      <c r="K59" s="14"/>
    </row>
    <row r="60">
      <c r="A60" s="1"/>
      <c r="B60" s="18"/>
      <c r="C60" s="19"/>
      <c r="D60" s="19"/>
      <c r="E60" s="19"/>
      <c r="F60" s="19"/>
      <c r="G60" s="19"/>
      <c r="H60" s="19"/>
      <c r="I60" s="19"/>
      <c r="J60" s="27"/>
      <c r="K60" s="14"/>
    </row>
    <row r="61">
      <c r="A61" s="1"/>
      <c r="B61" s="20" t="s">
        <v>158</v>
      </c>
      <c r="C61" s="32"/>
      <c r="D61" s="32"/>
      <c r="E61" s="32"/>
      <c r="F61" s="32"/>
      <c r="G61" s="32"/>
      <c r="H61" s="32"/>
      <c r="I61" s="32"/>
      <c r="J61" s="28"/>
      <c r="K61" s="14"/>
    </row>
    <row r="62" ht="14.624267578125">
      <c r="A62" s="1"/>
      <c r="B62" s="63" t="s">
        <v>159</v>
      </c>
      <c r="C62" s="45" t="s">
        <v>64</v>
      </c>
      <c r="D62" s="45" t="s">
        <v>64</v>
      </c>
      <c r="E62" s="45" t="s">
        <v>64</v>
      </c>
      <c r="F62" s="45" t="s">
        <v>64</v>
      </c>
      <c r="G62" s="45" t="s">
        <v>64</v>
      </c>
      <c r="H62" s="45" t="s">
        <v>64</v>
      </c>
      <c r="I62" s="45" t="s">
        <v>64</v>
      </c>
      <c r="J62" s="90">
        <v>0.0029</v>
      </c>
      <c r="K62" s="14" t="s">
        <v>160</v>
      </c>
    </row>
    <row r="63">
      <c r="A63" s="1"/>
      <c r="B63" s="79" t="s">
        <v>161</v>
      </c>
      <c r="C63" s="24">
        <v>-145</v>
      </c>
      <c r="D63" s="24">
        <v>-59</v>
      </c>
      <c r="E63" s="24">
        <v>-98</v>
      </c>
      <c r="F63" s="24">
        <v>-72</v>
      </c>
      <c r="G63" s="2">
        <f>SUM(C63:F63)</f>
        <v>-374</v>
      </c>
      <c r="H63" s="24">
        <v>-179</v>
      </c>
      <c r="I63" s="24">
        <v>-165</v>
      </c>
      <c r="J63" s="26">
        <f>-J83*1000*J62*J$7/365</f>
        <v>-149.34849994520545</v>
      </c>
      <c r="K63" s="14" t="s">
        <v>128</v>
      </c>
    </row>
    <row r="64">
      <c r="A64" s="1"/>
      <c r="B64" s="79" t="s">
        <v>162</v>
      </c>
      <c r="C64" s="24">
        <v>-13</v>
      </c>
      <c r="D64" s="24">
        <v>-20</v>
      </c>
      <c r="E64" s="24">
        <v>-4</v>
      </c>
      <c r="F64" s="24">
        <v>-2</v>
      </c>
      <c r="G64" s="2">
        <f>SUM(C64:F64)</f>
        <v>-39</v>
      </c>
      <c r="H64" s="24">
        <v>1</v>
      </c>
      <c r="I64" s="24">
        <v>5</v>
      </c>
      <c r="J64" s="39">
        <v>-2</v>
      </c>
      <c r="K64" s="14" t="s">
        <v>163</v>
      </c>
    </row>
    <row r="65">
      <c r="A65" s="1"/>
      <c r="B65" s="20" t="s">
        <v>164</v>
      </c>
      <c r="C65" s="16">
        <f>C63+C64</f>
        <v>-158</v>
      </c>
      <c r="D65" s="16">
        <f>D63+D64</f>
        <v>-79</v>
      </c>
      <c r="E65" s="16">
        <f>E63+E64</f>
        <v>-102</v>
      </c>
      <c r="F65" s="16">
        <f>F63+F64</f>
        <v>-74</v>
      </c>
      <c r="G65" s="16">
        <f>SUM(C65:F65)</f>
        <v>-413</v>
      </c>
      <c r="H65" s="16">
        <f>H63+H64</f>
        <v>-178</v>
      </c>
      <c r="I65" s="16">
        <f>I63+I64</f>
        <v>-160</v>
      </c>
      <c r="J65" s="65">
        <f>J63+J64</f>
        <v>-151.34849994520545</v>
      </c>
      <c r="K65" s="14"/>
    </row>
    <row r="66">
      <c r="A66" s="1"/>
      <c r="B66" s="37" t="s">
        <v>63</v>
      </c>
      <c r="C66" s="25" t="s">
        <v>64</v>
      </c>
      <c r="D66" s="25" t="s">
        <v>64</v>
      </c>
      <c r="E66" s="25" t="s">
        <v>64</v>
      </c>
      <c r="F66" s="25" t="s">
        <v>64</v>
      </c>
      <c r="G66" s="25" t="s">
        <v>64</v>
      </c>
      <c r="H66" s="25">
        <f>IFERROR(H65/C65-1,"n.a.")</f>
        <v>0.12658227848101267</v>
      </c>
      <c r="I66" s="25">
        <f>IFERROR(I65/D65-1,"n.a.")</f>
        <v>1.0253164556962027</v>
      </c>
      <c r="J66" s="51">
        <f>IFERROR(J65/E65-1,"n.a.")</f>
        <v>0.4838088229922102</v>
      </c>
      <c r="K66" s="14"/>
    </row>
    <row r="67">
      <c r="A67" s="1"/>
      <c r="B67" s="48" t="s">
        <v>78</v>
      </c>
      <c r="C67" s="2" t="s">
        <v>64</v>
      </c>
      <c r="D67" s="2">
        <f>IFERROR(D65-C65,"n.a.")</f>
        <v>79</v>
      </c>
      <c r="E67" s="2">
        <f>IFERROR(E65-D65,"n.a.")</f>
        <v>-23</v>
      </c>
      <c r="F67" s="2">
        <f>IFERROR(F65-E65,"n.a.")</f>
        <v>28</v>
      </c>
      <c r="G67" s="2" t="s">
        <v>64</v>
      </c>
      <c r="H67" s="2">
        <f>IFERROR(H65-F65,"n.a.")</f>
        <v>-104</v>
      </c>
      <c r="I67" s="2">
        <f>IFERROR(I65-H65,"n.a.")</f>
        <v>18</v>
      </c>
      <c r="J67" s="26">
        <f>IFERROR(J65-I65,"n.a.")</f>
        <v>8.651500054794553</v>
      </c>
      <c r="K67" s="14"/>
    </row>
    <row r="68">
      <c r="A68" s="1"/>
      <c r="B68" s="20" t="s">
        <v>165</v>
      </c>
      <c r="C68" s="16">
        <f>C57+C65</f>
        <v>756</v>
      </c>
      <c r="D68" s="16">
        <f>D57+D65</f>
        <v>845</v>
      </c>
      <c r="E68" s="16">
        <f>E57+E65</f>
        <v>953</v>
      </c>
      <c r="F68" s="16">
        <f>F57+F65</f>
        <v>859</v>
      </c>
      <c r="G68" s="16">
        <f>SUM(C68:F68)</f>
        <v>3413</v>
      </c>
      <c r="H68" s="16">
        <f>H57+H65</f>
        <v>863</v>
      </c>
      <c r="I68" s="16">
        <f>I57+I65</f>
        <v>904</v>
      </c>
      <c r="J68" s="65">
        <f>J57+J65</f>
        <v>917.6855849863011</v>
      </c>
      <c r="K68" s="14"/>
    </row>
    <row r="69">
      <c r="A69" s="1"/>
      <c r="B69" s="37" t="s">
        <v>63</v>
      </c>
      <c r="C69" s="25" t="s">
        <v>64</v>
      </c>
      <c r="D69" s="25" t="s">
        <v>64</v>
      </c>
      <c r="E69" s="25" t="s">
        <v>64</v>
      </c>
      <c r="F69" s="25" t="s">
        <v>64</v>
      </c>
      <c r="G69" s="25" t="s">
        <v>64</v>
      </c>
      <c r="H69" s="25">
        <f>IFERROR(H68/C68-1,"n.a.")</f>
        <v>0.14153439153439162</v>
      </c>
      <c r="I69" s="25">
        <f>IFERROR(I68/D68-1,"n.a.")</f>
        <v>0.06982248520710055</v>
      </c>
      <c r="J69" s="51">
        <f>IFERROR(J68/E68-1,"n.a.")</f>
        <v>-0.037056049332317764</v>
      </c>
      <c r="K69" s="14"/>
    </row>
    <row r="70">
      <c r="A70" s="1"/>
      <c r="B70" s="48" t="s">
        <v>78</v>
      </c>
      <c r="C70" s="2" t="s">
        <v>64</v>
      </c>
      <c r="D70" s="2">
        <f>IFERROR(D68-C68,"n.a.")</f>
        <v>89</v>
      </c>
      <c r="E70" s="2">
        <f>IFERROR(E68-D68,"n.a.")</f>
        <v>108</v>
      </c>
      <c r="F70" s="2">
        <f>IFERROR(F68-E68,"n.a.")</f>
        <v>-94</v>
      </c>
      <c r="G70" s="2" t="s">
        <v>64</v>
      </c>
      <c r="H70" s="2">
        <f>IFERROR(H68-F68,"n.a.")</f>
        <v>4</v>
      </c>
      <c r="I70" s="2">
        <f>IFERROR(I68-H68,"n.a.")</f>
        <v>41</v>
      </c>
      <c r="J70" s="26">
        <f>IFERROR(J68-I68,"n.a.")</f>
        <v>13.685584986301137</v>
      </c>
      <c r="K70" s="14"/>
    </row>
    <row r="71" ht="14.624267578125">
      <c r="A71" s="1"/>
      <c r="B71" s="63" t="s">
        <v>166</v>
      </c>
      <c r="C71" s="24">
        <v>756</v>
      </c>
      <c r="D71" s="24">
        <v>845</v>
      </c>
      <c r="E71" s="24">
        <v>953</v>
      </c>
      <c r="F71" s="24">
        <v>859</v>
      </c>
      <c r="G71" s="2">
        <f>SUM(C71:F71)</f>
        <v>3413</v>
      </c>
      <c r="H71" s="24">
        <v>863</v>
      </c>
      <c r="I71" s="24">
        <v>904</v>
      </c>
      <c r="J71" s="26" t="s">
        <v>64</v>
      </c>
      <c r="K71" s="14" t="s">
        <v>128</v>
      </c>
    </row>
    <row r="72" ht="14.624267578125">
      <c r="A72" s="1"/>
      <c r="B72" s="63" t="s">
        <v>167</v>
      </c>
      <c r="C72" s="2">
        <f>C68-C71</f>
        <v>0</v>
      </c>
      <c r="D72" s="2">
        <f>D68-D71</f>
        <v>0</v>
      </c>
      <c r="E72" s="2">
        <f>E68-E71</f>
        <v>0</v>
      </c>
      <c r="F72" s="2">
        <f>F68-F71</f>
        <v>0</v>
      </c>
      <c r="G72" s="2">
        <f>G68-G71</f>
        <v>0</v>
      </c>
      <c r="H72" s="2">
        <f>H68-H71</f>
        <v>0</v>
      </c>
      <c r="I72" s="2">
        <f>I68-I71</f>
        <v>0</v>
      </c>
      <c r="J72" s="26" t="s">
        <v>64</v>
      </c>
      <c r="K72" s="14"/>
    </row>
    <row r="73">
      <c r="A73" s="1"/>
      <c r="B73" s="18" t="s">
        <v>168</v>
      </c>
      <c r="C73" s="24">
        <v>510</v>
      </c>
      <c r="D73" s="24">
        <v>580</v>
      </c>
      <c r="E73" s="24">
        <v>647</v>
      </c>
      <c r="F73" s="24">
        <v>706</v>
      </c>
      <c r="G73" s="2">
        <f>SUM(C73:F73)</f>
        <v>2443</v>
      </c>
      <c r="H73" s="24">
        <v>591</v>
      </c>
      <c r="I73" s="24">
        <v>623</v>
      </c>
      <c r="J73" s="26" t="s">
        <v>169</v>
      </c>
      <c r="K73" s="14" t="s">
        <v>170</v>
      </c>
    </row>
    <row r="74">
      <c r="A74" s="1"/>
      <c r="B74" s="37" t="s">
        <v>63</v>
      </c>
      <c r="C74" s="25" t="s">
        <v>64</v>
      </c>
      <c r="D74" s="25" t="s">
        <v>64</v>
      </c>
      <c r="E74" s="25" t="s">
        <v>64</v>
      </c>
      <c r="F74" s="25" t="s">
        <v>64</v>
      </c>
      <c r="G74" s="25" t="s">
        <v>64</v>
      </c>
      <c r="H74" s="25">
        <f>IFERROR(H73/C73-1,"n.a.")</f>
        <v>0.1588235294117648</v>
      </c>
      <c r="I74" s="25">
        <f>IFERROR(I73/D73-1,"n.a.")</f>
        <v>0.07413793103448274</v>
      </c>
      <c r="J74" s="51" t="str">
        <f>IFERROR(J73/E73-1,"n.a.")</f>
        <v>n.a.</v>
      </c>
      <c r="K74" s="14"/>
    </row>
    <row r="75">
      <c r="A75" s="1"/>
      <c r="B75" s="18"/>
      <c r="C75" s="19"/>
      <c r="D75" s="19"/>
      <c r="E75" s="19"/>
      <c r="F75" s="19"/>
      <c r="G75" s="19"/>
      <c r="H75" s="19"/>
      <c r="I75" s="19"/>
      <c r="J75" s="27"/>
      <c r="K75" s="14"/>
    </row>
    <row r="76">
      <c r="A76" s="1"/>
      <c r="B76" s="20" t="s">
        <v>171</v>
      </c>
      <c r="C76" s="32"/>
      <c r="D76" s="32"/>
      <c r="E76" s="32"/>
      <c r="F76" s="32"/>
      <c r="G76" s="32"/>
      <c r="H76" s="32"/>
      <c r="I76" s="32"/>
      <c r="J76" s="28"/>
      <c r="K76" s="14"/>
    </row>
    <row r="77" ht="14.624267578125">
      <c r="A77" s="1"/>
      <c r="B77" s="67" t="s">
        <v>172</v>
      </c>
      <c r="C77" s="25" t="s">
        <v>64</v>
      </c>
      <c r="D77" s="25" t="s">
        <v>64</v>
      </c>
      <c r="E77" s="25" t="s">
        <v>64</v>
      </c>
      <c r="F77" s="25" t="s">
        <v>64</v>
      </c>
      <c r="G77" s="25" t="s">
        <v>64</v>
      </c>
      <c r="H77" s="25" t="s">
        <v>64</v>
      </c>
      <c r="I77" s="25" t="s">
        <v>64</v>
      </c>
      <c r="J77" s="85">
        <v>0.012</v>
      </c>
      <c r="K77" s="14" t="s">
        <v>173</v>
      </c>
    </row>
    <row r="78">
      <c r="A78" s="1"/>
      <c r="B78" s="79" t="s">
        <v>174</v>
      </c>
      <c r="C78" s="2" t="s">
        <v>64</v>
      </c>
      <c r="D78" s="2">
        <f>C80</f>
        <v>190.4</v>
      </c>
      <c r="E78" s="2">
        <f>D80</f>
        <v>192.4</v>
      </c>
      <c r="F78" s="2">
        <f>E80</f>
        <v>195.2</v>
      </c>
      <c r="G78" s="2" t="s">
        <v>64</v>
      </c>
      <c r="H78" s="2">
        <f>F80</f>
        <v>198.6</v>
      </c>
      <c r="I78" s="2">
        <f>H80</f>
        <v>200.1</v>
      </c>
      <c r="J78" s="26">
        <f>I80</f>
        <v>203.1</v>
      </c>
      <c r="K78" s="14"/>
    </row>
    <row r="79" ht="14.624267578125">
      <c r="A79" s="1"/>
      <c r="B79" s="63" t="s">
        <v>175</v>
      </c>
      <c r="C79" s="2" t="s">
        <v>64</v>
      </c>
      <c r="D79" s="2">
        <f>D80-D78</f>
        <v>2</v>
      </c>
      <c r="E79" s="2">
        <f>E80-E78</f>
        <v>2.799999999999983</v>
      </c>
      <c r="F79" s="2">
        <f>F80-F78</f>
        <v>3.4000000000000057</v>
      </c>
      <c r="G79" s="2" t="s">
        <v>64</v>
      </c>
      <c r="H79" s="2">
        <f>H80-H78</f>
        <v>1.5</v>
      </c>
      <c r="I79" s="2">
        <f>I80-I78</f>
        <v>3</v>
      </c>
      <c r="J79" s="26">
        <f>J80-J78</f>
        <v>2.43719999999999</v>
      </c>
      <c r="K79" s="14"/>
    </row>
    <row r="80">
      <c r="A80" s="1"/>
      <c r="B80" s="18" t="s">
        <v>176</v>
      </c>
      <c r="C80" s="24">
        <v>190.4</v>
      </c>
      <c r="D80" s="24">
        <v>192.4</v>
      </c>
      <c r="E80" s="24">
        <v>195.2</v>
      </c>
      <c r="F80" s="24">
        <v>198.6</v>
      </c>
      <c r="G80" s="2">
        <f>F80</f>
        <v>198.6</v>
      </c>
      <c r="H80" s="24">
        <v>200.1</v>
      </c>
      <c r="I80" s="24">
        <v>203.1</v>
      </c>
      <c r="J80" s="26">
        <f>I80*(1+J77)</f>
        <v>205.53719999999998</v>
      </c>
      <c r="K80" s="14" t="s">
        <v>128</v>
      </c>
    </row>
    <row r="81">
      <c r="A81" s="1"/>
      <c r="B81" s="37" t="s">
        <v>63</v>
      </c>
      <c r="C81" s="25" t="s">
        <v>64</v>
      </c>
      <c r="D81" s="25" t="s">
        <v>64</v>
      </c>
      <c r="E81" s="25" t="s">
        <v>64</v>
      </c>
      <c r="F81" s="25" t="s">
        <v>64</v>
      </c>
      <c r="G81" s="25" t="s">
        <v>64</v>
      </c>
      <c r="H81" s="25">
        <f>IFERROR(H80/C80-1,"n.a.")</f>
        <v>0.050945378151260545</v>
      </c>
      <c r="I81" s="25">
        <f>IFERROR(I80/D80-1,"n.a.")</f>
        <v>0.055613305613305464</v>
      </c>
      <c r="J81" s="51">
        <f>IFERROR(J80/E80-1,"n.a.")</f>
        <v>0.052956967213114714</v>
      </c>
      <c r="K81" s="14"/>
    </row>
    <row r="82" ht="14.624267578125">
      <c r="A82" s="1"/>
      <c r="B82" s="48" t="s">
        <v>78</v>
      </c>
      <c r="C82" s="2" t="s">
        <v>64</v>
      </c>
      <c r="D82" s="2">
        <f>IFERROR(D80-C80,"n.a.")</f>
        <v>2</v>
      </c>
      <c r="E82" s="2">
        <f>IFERROR(E80-D80,"n.a.")</f>
        <v>2.799999999999983</v>
      </c>
      <c r="F82" s="2">
        <f>IFERROR(F80-E80,"n.a.")</f>
        <v>3.4000000000000057</v>
      </c>
      <c r="G82" s="2" t="s">
        <v>64</v>
      </c>
      <c r="H82" s="2">
        <f>IFERROR(H80-F80,"n.a.")</f>
        <v>1.5</v>
      </c>
      <c r="I82" s="2">
        <f>IFERROR(I80-H80,"n.a.")</f>
        <v>3</v>
      </c>
      <c r="J82" s="26">
        <f>IFERROR(J80-I80,"n.a.")</f>
        <v>2.43719999999999</v>
      </c>
      <c r="K82" s="14"/>
    </row>
    <row r="83" ht="14.624267578125">
      <c r="A83" s="1"/>
      <c r="B83" s="63" t="s">
        <v>177</v>
      </c>
      <c r="C83" s="2" t="s">
        <v>64</v>
      </c>
      <c r="D83" s="2">
        <f>AVERAGE(D78,D80)</f>
        <v>191.4</v>
      </c>
      <c r="E83" s="2">
        <f>AVERAGE(E78,E80)</f>
        <v>193.8</v>
      </c>
      <c r="F83" s="2">
        <f>AVERAGE(F78,F80)</f>
        <v>196.89999999999998</v>
      </c>
      <c r="G83" s="2" t="s">
        <v>64</v>
      </c>
      <c r="H83" s="2">
        <f>AVERAGE(H78,H80)</f>
        <v>199.35</v>
      </c>
      <c r="I83" s="2">
        <f>AVERAGE(I78,I80)</f>
        <v>201.6</v>
      </c>
      <c r="J83" s="26">
        <f>AVERAGE(J78,J80)</f>
        <v>204.3186</v>
      </c>
      <c r="K83" s="14"/>
    </row>
    <row r="84" ht="14.624267578125">
      <c r="A84" s="1"/>
      <c r="B84" s="37" t="s">
        <v>63</v>
      </c>
      <c r="C84" s="25" t="s">
        <v>64</v>
      </c>
      <c r="D84" s="25" t="s">
        <v>64</v>
      </c>
      <c r="E84" s="25" t="s">
        <v>64</v>
      </c>
      <c r="F84" s="25" t="s">
        <v>64</v>
      </c>
      <c r="G84" s="25" t="s">
        <v>64</v>
      </c>
      <c r="H84" s="25" t="str">
        <f>IFERROR(H83/C83-1,"n.a.")</f>
        <v>n.a.</v>
      </c>
      <c r="I84" s="25">
        <f>IFERROR(I83/D83-1,"n.a.")</f>
        <v>0.053291536050156685</v>
      </c>
      <c r="J84" s="51">
        <f>IFERROR(J83/E83-1,"n.a.")</f>
        <v>0.054275541795665516</v>
      </c>
      <c r="K84" s="14"/>
    </row>
    <row r="85">
      <c r="A85" s="1"/>
      <c r="B85" s="48" t="s">
        <v>78</v>
      </c>
      <c r="C85" s="2" t="s">
        <v>64</v>
      </c>
      <c r="D85" s="2" t="str">
        <f>IFERROR(D83-C83,"n.a.")</f>
        <v>n.a.</v>
      </c>
      <c r="E85" s="2">
        <f>IFERROR(E83-D83,"n.a.")</f>
        <v>2.4000000000000057</v>
      </c>
      <c r="F85" s="2">
        <f>IFERROR(F83-E83,"n.a.")</f>
        <v>3.099999999999966</v>
      </c>
      <c r="G85" s="2" t="s">
        <v>64</v>
      </c>
      <c r="H85" s="2">
        <f>IFERROR(H83-F83,"n.a.")</f>
        <v>2.450000000000017</v>
      </c>
      <c r="I85" s="2">
        <f>IFERROR(I83-H83,"n.a.")</f>
        <v>2.25</v>
      </c>
      <c r="J85" s="26">
        <f>IFERROR(J83-I83,"n.a.")</f>
        <v>2.7186000000000092</v>
      </c>
      <c r="K85" s="14"/>
    </row>
    <row r="86" ht="14.624267578125">
      <c r="A86" s="1"/>
      <c r="B86" s="67" t="s">
        <v>178</v>
      </c>
      <c r="C86" s="25" t="s">
        <v>64</v>
      </c>
      <c r="D86" s="25" t="s">
        <v>64</v>
      </c>
      <c r="E86" s="25" t="s">
        <v>64</v>
      </c>
      <c r="F86" s="25" t="s">
        <v>64</v>
      </c>
      <c r="G86" s="25" t="s">
        <v>64</v>
      </c>
      <c r="H86" s="25" t="s">
        <v>64</v>
      </c>
      <c r="I86" s="25" t="s">
        <v>64</v>
      </c>
      <c r="J86" s="85">
        <v>0</v>
      </c>
      <c r="K86" s="14" t="s">
        <v>179</v>
      </c>
    </row>
    <row r="87">
      <c r="A87" s="1"/>
      <c r="B87" s="18" t="s">
        <v>180</v>
      </c>
      <c r="C87" s="24">
        <v>19.2</v>
      </c>
      <c r="D87" s="24">
        <v>18.8</v>
      </c>
      <c r="E87" s="24">
        <v>18.2</v>
      </c>
      <c r="F87" s="24">
        <v>17.9</v>
      </c>
      <c r="G87" s="2">
        <f>F87</f>
        <v>17.9</v>
      </c>
      <c r="H87" s="24">
        <v>17.7</v>
      </c>
      <c r="I87" s="24">
        <v>17.7</v>
      </c>
      <c r="J87" s="26">
        <f>I87*(1+J86)</f>
        <v>17.7</v>
      </c>
      <c r="K87" s="14" t="s">
        <v>128</v>
      </c>
    </row>
    <row r="88" ht="23.24853515625">
      <c r="A88" s="1"/>
      <c r="B88" s="37" t="s">
        <v>63</v>
      </c>
      <c r="C88" s="25" t="s">
        <v>64</v>
      </c>
      <c r="D88" s="25" t="s">
        <v>64</v>
      </c>
      <c r="E88" s="25" t="s">
        <v>64</v>
      </c>
      <c r="F88" s="25" t="s">
        <v>64</v>
      </c>
      <c r="G88" s="25" t="s">
        <v>64</v>
      </c>
      <c r="H88" s="25">
        <f>IFERROR(H87/C87-1,"n.a.")</f>
        <v>-0.078125</v>
      </c>
      <c r="I88" s="25">
        <f>IFERROR(I87/D87-1,"n.a.")</f>
        <v>-0.0585106382978724</v>
      </c>
      <c r="J88" s="51">
        <f>IFERROR(J87/E87-1,"n.a.")</f>
        <v>-0.027472527472527486</v>
      </c>
      <c r="K88" s="14"/>
    </row>
    <row r="89">
      <c r="A89" s="1"/>
      <c r="B89" s="48" t="s">
        <v>78</v>
      </c>
      <c r="C89" s="2" t="s">
        <v>64</v>
      </c>
      <c r="D89" s="2">
        <f>IFERROR(D87-C87,"n.a.")</f>
        <v>-0.3999999999999986</v>
      </c>
      <c r="E89" s="2">
        <f>IFERROR(E87-D87,"n.a.")</f>
        <v>-0.6000000000000014</v>
      </c>
      <c r="F89" s="2">
        <f>IFERROR(F87-E87,"n.a.")</f>
        <v>-0.3000000000000007</v>
      </c>
      <c r="G89" s="2" t="s">
        <v>64</v>
      </c>
      <c r="H89" s="2">
        <f>IFERROR(H87-F87,"n.a.")</f>
        <v>-0.1999999999999993</v>
      </c>
      <c r="I89" s="2">
        <f>IFERROR(I87-H87,"n.a.")</f>
        <v>0</v>
      </c>
      <c r="J89" s="26">
        <f>IFERROR(J87-I87,"n.a.")</f>
        <v>0</v>
      </c>
      <c r="K89" s="14"/>
    </row>
    <row r="90" ht="23.24853515625">
      <c r="A90" s="1"/>
      <c r="B90" s="46" t="s">
        <v>181</v>
      </c>
      <c r="C90" s="16">
        <f>C80+C87</f>
        <v>209.6</v>
      </c>
      <c r="D90" s="16">
        <f>D80+D87</f>
        <v>211.20000000000002</v>
      </c>
      <c r="E90" s="16">
        <f>E80+E87</f>
        <v>213.39999999999998</v>
      </c>
      <c r="F90" s="16">
        <f>F80+F87</f>
        <v>216.5</v>
      </c>
      <c r="G90" s="16">
        <f>F90</f>
        <v>216.5</v>
      </c>
      <c r="H90" s="16">
        <f>H80+H87</f>
        <v>217.79999999999998</v>
      </c>
      <c r="I90" s="16">
        <f>I80+I87</f>
        <v>220.79999999999998</v>
      </c>
      <c r="J90" s="65">
        <f>J80+J87</f>
        <v>223.23719999999997</v>
      </c>
      <c r="K90" s="14"/>
    </row>
    <row r="91" ht="14.624267578125">
      <c r="A91" s="1"/>
      <c r="B91" s="37" t="s">
        <v>63</v>
      </c>
      <c r="C91" s="25" t="s">
        <v>64</v>
      </c>
      <c r="D91" s="25" t="s">
        <v>64</v>
      </c>
      <c r="E91" s="25" t="s">
        <v>64</v>
      </c>
      <c r="F91" s="25" t="s">
        <v>64</v>
      </c>
      <c r="G91" s="25" t="s">
        <v>64</v>
      </c>
      <c r="H91" s="25">
        <f>IFERROR(H90/C90-1,"n.a.")</f>
        <v>0.03912213740458004</v>
      </c>
      <c r="I91" s="25">
        <f>IFERROR(I90/D90-1,"n.a.")</f>
        <v>0.04545454545454519</v>
      </c>
      <c r="J91" s="51">
        <f>IFERROR(J90/E90-1,"n.a.")</f>
        <v>0.04609746954076854</v>
      </c>
      <c r="K91" s="14"/>
    </row>
    <row r="92">
      <c r="A92" s="1"/>
      <c r="B92" s="48" t="s">
        <v>78</v>
      </c>
      <c r="C92" s="2" t="s">
        <v>64</v>
      </c>
      <c r="D92" s="2">
        <f>IFERROR(D90-C90,"n.a.")</f>
        <v>1.6000000000000227</v>
      </c>
      <c r="E92" s="2">
        <f>IFERROR(E90-D90,"n.a.")</f>
        <v>2.19999999999996</v>
      </c>
      <c r="F92" s="2">
        <f>IFERROR(F90-E90,"n.a.")</f>
        <v>3.1000000000000227</v>
      </c>
      <c r="G92" s="2" t="s">
        <v>64</v>
      </c>
      <c r="H92" s="2">
        <f>IFERROR(H90-F90,"n.a.")</f>
        <v>1.299999999999983</v>
      </c>
      <c r="I92" s="2">
        <f>IFERROR(I90-H90,"n.a.")</f>
        <v>3</v>
      </c>
      <c r="J92" s="26">
        <f>IFERROR(J90-I90,"n.a.")</f>
        <v>2.43719999999999</v>
      </c>
      <c r="K92" s="14"/>
    </row>
    <row r="93" ht="14.624267578125">
      <c r="A93" s="1"/>
      <c r="B93" s="67" t="s">
        <v>182</v>
      </c>
      <c r="C93" s="25" t="s">
        <v>64</v>
      </c>
      <c r="D93" s="25" t="s">
        <v>64</v>
      </c>
      <c r="E93" s="25" t="s">
        <v>64</v>
      </c>
      <c r="F93" s="25" t="s">
        <v>64</v>
      </c>
      <c r="G93" s="25" t="s">
        <v>64</v>
      </c>
      <c r="H93" s="25" t="s">
        <v>64</v>
      </c>
      <c r="I93" s="25" t="s">
        <v>64</v>
      </c>
      <c r="J93" s="85">
        <v>0.005</v>
      </c>
      <c r="K93" s="14" t="s">
        <v>183</v>
      </c>
    </row>
    <row r="94">
      <c r="A94" s="1"/>
      <c r="B94" s="18" t="s">
        <v>184</v>
      </c>
      <c r="C94" s="24">
        <v>190.8</v>
      </c>
      <c r="D94" s="24">
        <v>189.3</v>
      </c>
      <c r="E94" s="24">
        <v>189.3</v>
      </c>
      <c r="F94" s="24">
        <v>192.7</v>
      </c>
      <c r="G94" s="2">
        <f>F94</f>
        <v>192.7</v>
      </c>
      <c r="H94" s="24">
        <v>193.1</v>
      </c>
      <c r="I94" s="24">
        <v>194.5</v>
      </c>
      <c r="J94" s="26">
        <f>I94*(1+J93)</f>
        <v>195.47249999999997</v>
      </c>
      <c r="K94" s="14" t="s">
        <v>128</v>
      </c>
    </row>
    <row r="95" ht="14.624267578125">
      <c r="A95" s="1"/>
      <c r="B95" s="37" t="s">
        <v>63</v>
      </c>
      <c r="C95" s="25" t="s">
        <v>64</v>
      </c>
      <c r="D95" s="25" t="s">
        <v>64</v>
      </c>
      <c r="E95" s="25" t="s">
        <v>64</v>
      </c>
      <c r="F95" s="25" t="s">
        <v>64</v>
      </c>
      <c r="G95" s="25" t="s">
        <v>64</v>
      </c>
      <c r="H95" s="25">
        <f>IFERROR(H94/C94-1,"n.a.")</f>
        <v>0.012054507337526221</v>
      </c>
      <c r="I95" s="25">
        <f>IFERROR(I94/D94-1,"n.a.")</f>
        <v>0.027469624933967207</v>
      </c>
      <c r="J95" s="51">
        <f>IFERROR(J94/E94-1,"n.a.")</f>
        <v>0.03260697305863691</v>
      </c>
      <c r="K95" s="14"/>
    </row>
    <row r="96">
      <c r="A96" s="1"/>
      <c r="B96" s="48" t="s">
        <v>78</v>
      </c>
      <c r="C96" s="2" t="s">
        <v>64</v>
      </c>
      <c r="D96" s="2">
        <f>IFERROR(D94-C94,"n.a.")</f>
        <v>-1.5</v>
      </c>
      <c r="E96" s="2">
        <f>IFERROR(E94-D94,"n.a.")</f>
        <v>0</v>
      </c>
      <c r="F96" s="2">
        <f>IFERROR(F94-E94,"n.a.")</f>
        <v>3.3999999999999773</v>
      </c>
      <c r="G96" s="2" t="s">
        <v>64</v>
      </c>
      <c r="H96" s="2">
        <f>IFERROR(H94-F94,"n.a.")</f>
        <v>0.4000000000000057</v>
      </c>
      <c r="I96" s="2">
        <f>IFERROR(I94-H94,"n.a.")</f>
        <v>1.4000000000000057</v>
      </c>
      <c r="J96" s="26">
        <f>IFERROR(J94-I94,"n.a.")</f>
        <v>0.9724999999999682</v>
      </c>
      <c r="K96" s="14"/>
    </row>
    <row r="97" ht="14.624267578125">
      <c r="A97" s="1"/>
      <c r="B97" s="67" t="s">
        <v>185</v>
      </c>
      <c r="C97" s="25" t="s">
        <v>64</v>
      </c>
      <c r="D97" s="25" t="s">
        <v>64</v>
      </c>
      <c r="E97" s="25" t="s">
        <v>64</v>
      </c>
      <c r="F97" s="25" t="s">
        <v>64</v>
      </c>
      <c r="G97" s="25" t="s">
        <v>64</v>
      </c>
      <c r="H97" s="25" t="s">
        <v>64</v>
      </c>
      <c r="I97" s="25" t="s">
        <v>64</v>
      </c>
      <c r="J97" s="85">
        <v>0</v>
      </c>
      <c r="K97" s="14" t="s">
        <v>186</v>
      </c>
    </row>
    <row r="98">
      <c r="A98" s="1"/>
      <c r="B98" s="18" t="s">
        <v>187</v>
      </c>
      <c r="C98" s="24">
        <v>52.3</v>
      </c>
      <c r="D98" s="24">
        <v>52</v>
      </c>
      <c r="E98" s="24">
        <v>52.2</v>
      </c>
      <c r="F98" s="24">
        <v>51.9</v>
      </c>
      <c r="G98" s="2">
        <f>F98</f>
        <v>51.9</v>
      </c>
      <c r="H98" s="24">
        <v>50.8</v>
      </c>
      <c r="I98" s="24">
        <v>51.1</v>
      </c>
      <c r="J98" s="26">
        <f>I98*(1+J97)</f>
        <v>51.1</v>
      </c>
      <c r="K98" s="14" t="s">
        <v>128</v>
      </c>
    </row>
    <row r="99" ht="14.624267578125">
      <c r="A99" s="1"/>
      <c r="B99" s="37" t="s">
        <v>63</v>
      </c>
      <c r="C99" s="25" t="s">
        <v>64</v>
      </c>
      <c r="D99" s="25" t="s">
        <v>64</v>
      </c>
      <c r="E99" s="25" t="s">
        <v>64</v>
      </c>
      <c r="F99" s="25" t="s">
        <v>64</v>
      </c>
      <c r="G99" s="25" t="s">
        <v>64</v>
      </c>
      <c r="H99" s="25">
        <f>IFERROR(H98/C98-1,"n.a.")</f>
        <v>-0.028680688336520044</v>
      </c>
      <c r="I99" s="25">
        <f>IFERROR(I98/D98-1,"n.a.")</f>
        <v>-0.017307692307692246</v>
      </c>
      <c r="J99" s="51">
        <f>IFERROR(J98/E98-1,"n.a.")</f>
        <v>-0.021072796934865967</v>
      </c>
      <c r="K99" s="14"/>
    </row>
    <row r="100">
      <c r="A100" s="1"/>
      <c r="B100" s="48" t="s">
        <v>78</v>
      </c>
      <c r="C100" s="2" t="s">
        <v>64</v>
      </c>
      <c r="D100" s="2">
        <f>IFERROR(D98-C98,"n.a.")</f>
        <v>-0.29999999999999716</v>
      </c>
      <c r="E100" s="2">
        <f>IFERROR(E98-D98,"n.a.")</f>
        <v>0.20000000000000284</v>
      </c>
      <c r="F100" s="2">
        <f>IFERROR(F98-E98,"n.a.")</f>
        <v>-0.30000000000000426</v>
      </c>
      <c r="G100" s="2" t="s">
        <v>64</v>
      </c>
      <c r="H100" s="2">
        <f>IFERROR(H98-F98,"n.a.")</f>
        <v>-1.1000000000000014</v>
      </c>
      <c r="I100" s="2">
        <f>IFERROR(I98-H98,"n.a.")</f>
        <v>0.30000000000000426</v>
      </c>
      <c r="J100" s="26">
        <f>IFERROR(J98-I98,"n.a.")</f>
        <v>0</v>
      </c>
      <c r="K100" s="14"/>
    </row>
    <row r="101" ht="14.624267578125">
      <c r="A101" s="1"/>
      <c r="B101" s="46" t="s">
        <v>188</v>
      </c>
      <c r="C101" s="16">
        <f>C94+C98</f>
        <v>243.10000000000002</v>
      </c>
      <c r="D101" s="16">
        <f>D94+D98</f>
        <v>241.3</v>
      </c>
      <c r="E101" s="16">
        <f>E94+E98</f>
        <v>241.5</v>
      </c>
      <c r="F101" s="16">
        <f>F94+F98</f>
        <v>244.6</v>
      </c>
      <c r="G101" s="16">
        <f>F101</f>
        <v>244.6</v>
      </c>
      <c r="H101" s="16">
        <f>H94+H98</f>
        <v>243.89999999999998</v>
      </c>
      <c r="I101" s="16">
        <f>I94+I98</f>
        <v>245.6</v>
      </c>
      <c r="J101" s="65">
        <f>J94+J98</f>
        <v>246.57249999999996</v>
      </c>
      <c r="K101" s="14"/>
    </row>
    <row r="102">
      <c r="A102" s="1"/>
      <c r="B102" s="37" t="s">
        <v>63</v>
      </c>
      <c r="C102" s="25" t="s">
        <v>64</v>
      </c>
      <c r="D102" s="25" t="s">
        <v>64</v>
      </c>
      <c r="E102" s="25" t="s">
        <v>64</v>
      </c>
      <c r="F102" s="25" t="s">
        <v>64</v>
      </c>
      <c r="G102" s="25" t="s">
        <v>64</v>
      </c>
      <c r="H102" s="25">
        <f>IFERROR(H101/C101-1,"n.a.")</f>
        <v>0.0032908268202382907</v>
      </c>
      <c r="I102" s="25">
        <f>IFERROR(I101/D101-1,"n.a.")</f>
        <v>0.01782014090343953</v>
      </c>
      <c r="J102" s="51">
        <f>IFERROR(J101/E101-1,"n.a.")</f>
        <v>0.021004140786749392</v>
      </c>
      <c r="K102" s="14"/>
    </row>
    <row r="103">
      <c r="A103" s="1"/>
      <c r="B103" s="48" t="s">
        <v>78</v>
      </c>
      <c r="C103" s="2" t="s">
        <v>64</v>
      </c>
      <c r="D103" s="2">
        <f>IFERROR(D101-C101,"n.a.")</f>
        <v>-1.8000000000000114</v>
      </c>
      <c r="E103" s="2">
        <f>IFERROR(E101-D101,"n.a.")</f>
        <v>0.19999999999998863</v>
      </c>
      <c r="F103" s="2">
        <f>IFERROR(F101-E101,"n.a.")</f>
        <v>3.0999999999999943</v>
      </c>
      <c r="G103" s="2" t="s">
        <v>64</v>
      </c>
      <c r="H103" s="2">
        <f>IFERROR(H101-F101,"n.a.")</f>
        <v>-0.700000000000017</v>
      </c>
      <c r="I103" s="2">
        <f>IFERROR(I101-H101,"n.a.")</f>
        <v>1.700000000000017</v>
      </c>
      <c r="J103" s="26">
        <f>IFERROR(J101-I101,"n.a.")</f>
        <v>0.9724999999999682</v>
      </c>
      <c r="K103" s="14"/>
    </row>
    <row r="104">
      <c r="A104" s="1"/>
      <c r="B104" s="18" t="s">
        <v>189</v>
      </c>
      <c r="C104" s="10">
        <f>C90/C101</f>
        <v>0.8621966269025092</v>
      </c>
      <c r="D104" s="10">
        <f>D90/D101</f>
        <v>0.8752590136759221</v>
      </c>
      <c r="E104" s="10">
        <f>E90/E101</f>
        <v>0.8836438923395444</v>
      </c>
      <c r="F104" s="10">
        <f>F90/F101</f>
        <v>0.8851185609157809</v>
      </c>
      <c r="G104" s="10">
        <f>G90/G101</f>
        <v>0.8851185609157809</v>
      </c>
      <c r="H104" s="10">
        <f>H90/H101</f>
        <v>0.8929889298892989</v>
      </c>
      <c r="I104" s="10">
        <f>I90/I101</f>
        <v>0.8990228013029316</v>
      </c>
      <c r="J104" s="81">
        <f>J90/J101</f>
        <v>0.9053613034705817</v>
      </c>
      <c r="K104" s="14"/>
    </row>
    <row r="105">
      <c r="A105" s="1"/>
      <c r="B105" s="48" t="s">
        <v>94</v>
      </c>
      <c r="C105" s="71" t="s">
        <v>64</v>
      </c>
      <c r="D105" s="71" t="s">
        <v>64</v>
      </c>
      <c r="E105" s="71" t="s">
        <v>64</v>
      </c>
      <c r="F105" s="71" t="s">
        <v>64</v>
      </c>
      <c r="G105" s="71" t="s">
        <v>64</v>
      </c>
      <c r="H105" s="71">
        <f>IFERROR((H104-C104)*10000,"n.a.")</f>
        <v>307.923029867897</v>
      </c>
      <c r="I105" s="71">
        <f>IFERROR((I104-D104)*10000,"n.a.")</f>
        <v>237.6378762700948</v>
      </c>
      <c r="J105" s="72">
        <f>IFERROR((J104-E104)*10000,"n.a.")</f>
        <v>217.17411131037312</v>
      </c>
      <c r="K105" s="14"/>
    </row>
    <row r="106">
      <c r="A106" s="1"/>
      <c r="B106" s="48" t="s">
        <v>95</v>
      </c>
      <c r="C106" s="71" t="s">
        <v>64</v>
      </c>
      <c r="D106" s="71">
        <f>IFERROR((D104-C104)*10000,"n.a.")</f>
        <v>130.6238677341287</v>
      </c>
      <c r="E106" s="71">
        <f>IFERROR((E104-D104)*10000,"n.a.")</f>
        <v>83.84878663622364</v>
      </c>
      <c r="F106" s="71">
        <f>IFERROR((F104-E104)*10000,"n.a.")</f>
        <v>14.746685762364597</v>
      </c>
      <c r="G106" s="71" t="s">
        <v>64</v>
      </c>
      <c r="H106" s="71">
        <f>IFERROR((H104-F104)*10000,"n.a.")</f>
        <v>78.70368973518005</v>
      </c>
      <c r="I106" s="71">
        <f>IFERROR((I104-H104)*10000,"n.a.")</f>
        <v>60.33871413632652</v>
      </c>
      <c r="J106" s="72">
        <f>IFERROR((J104-I104)*10000,"n.a.")</f>
        <v>63.38502167650195</v>
      </c>
      <c r="K106" s="14"/>
    </row>
    <row r="107">
      <c r="A107" s="1"/>
      <c r="B107" s="18" t="s">
        <v>190</v>
      </c>
      <c r="C107" s="24">
        <v>85</v>
      </c>
      <c r="D107" s="24">
        <v>86.1</v>
      </c>
      <c r="E107" s="24">
        <v>86.7</v>
      </c>
      <c r="F107" s="24">
        <v>85.8</v>
      </c>
      <c r="G107" s="2">
        <f>F107</f>
        <v>85.8</v>
      </c>
      <c r="H107" s="24">
        <v>87.5</v>
      </c>
      <c r="I107" s="24">
        <v>89</v>
      </c>
      <c r="J107" s="26">
        <f>I107*(1+J77)</f>
        <v>90.068</v>
      </c>
      <c r="K107" s="14" t="s">
        <v>191</v>
      </c>
    </row>
    <row r="108">
      <c r="A108" s="1"/>
      <c r="B108" s="37" t="s">
        <v>63</v>
      </c>
      <c r="C108" s="25" t="s">
        <v>64</v>
      </c>
      <c r="D108" s="25" t="s">
        <v>64</v>
      </c>
      <c r="E108" s="25" t="s">
        <v>64</v>
      </c>
      <c r="F108" s="25" t="s">
        <v>64</v>
      </c>
      <c r="G108" s="25" t="s">
        <v>64</v>
      </c>
      <c r="H108" s="25">
        <f>IFERROR(H107/C107-1,"n.a.")</f>
        <v>0.02941176470588225</v>
      </c>
      <c r="I108" s="25">
        <f>IFERROR(I107/D107-1,"n.a.")</f>
        <v>0.03368176538908263</v>
      </c>
      <c r="J108" s="51">
        <f>IFERROR(J107/E107-1,"n.a.")</f>
        <v>0.03884659746251429</v>
      </c>
      <c r="K108" s="14"/>
    </row>
    <row r="109">
      <c r="A109" s="1"/>
      <c r="B109" s="48" t="s">
        <v>78</v>
      </c>
      <c r="C109" s="2" t="s">
        <v>64</v>
      </c>
      <c r="D109" s="2">
        <f>IFERROR(D107-C107,"n.a.")</f>
        <v>1.0999999999999943</v>
      </c>
      <c r="E109" s="2">
        <f>IFERROR(E107-D107,"n.a.")</f>
        <v>0.6000000000000085</v>
      </c>
      <c r="F109" s="2">
        <f>IFERROR(F107-E107,"n.a.")</f>
        <v>-0.9000000000000057</v>
      </c>
      <c r="G109" s="2" t="s">
        <v>64</v>
      </c>
      <c r="H109" s="2">
        <f>IFERROR(H107-F107,"n.a.")</f>
        <v>1.7000000000000028</v>
      </c>
      <c r="I109" s="2">
        <f>IFERROR(I107-H107,"n.a.")</f>
        <v>1.5</v>
      </c>
      <c r="J109" s="26">
        <f>IFERROR(J107-I107,"n.a.")</f>
        <v>1.0679999999999978</v>
      </c>
      <c r="K109" s="14"/>
    </row>
    <row r="110">
      <c r="A110" s="1"/>
      <c r="B110" s="18"/>
      <c r="C110" s="19"/>
      <c r="D110" s="19"/>
      <c r="E110" s="19"/>
      <c r="F110" s="19"/>
      <c r="G110" s="19"/>
      <c r="H110" s="19"/>
      <c r="I110" s="19"/>
      <c r="J110" s="27"/>
      <c r="K110" s="14"/>
    </row>
    <row r="111">
      <c r="A111" s="1"/>
      <c r="B111" s="20" t="s">
        <v>192</v>
      </c>
      <c r="C111" s="32"/>
      <c r="D111" s="32"/>
      <c r="E111" s="32"/>
      <c r="F111" s="32"/>
      <c r="G111" s="32"/>
      <c r="H111" s="32"/>
      <c r="I111" s="32"/>
      <c r="J111" s="28"/>
      <c r="K111" s="14"/>
    </row>
    <row r="112">
      <c r="A112" s="1"/>
      <c r="B112" s="18" t="s">
        <v>193</v>
      </c>
      <c r="C112" s="10">
        <f>IFERROR(-C53/C29,"n.a.")</f>
        <v>0.5593056894889104</v>
      </c>
      <c r="D112" s="10">
        <f>IFERROR(-D53/D29,"n.a.")</f>
        <v>0.5639452571967909</v>
      </c>
      <c r="E112" s="10">
        <f>IFERROR(-E53/E29,"n.a.")</f>
        <v>0.5317354638260098</v>
      </c>
      <c r="F112" s="10">
        <f>IFERROR(-F53/F29,"n.a.")</f>
        <v>0.5875331564986738</v>
      </c>
      <c r="G112" s="10">
        <f>IFERROR(-G53/G29,"n.a.")</f>
        <v>0.5606338998621957</v>
      </c>
      <c r="H112" s="10">
        <f>IFERROR(-H53/H29,"n.a.")</f>
        <v>0.5389725420726307</v>
      </c>
      <c r="I112" s="10">
        <f>IFERROR(-I53/I29,"n.a.")</f>
        <v>0.5289951305887561</v>
      </c>
      <c r="J112" s="81">
        <f>IFERROR(-J53/J29,"n.a.")</f>
        <v>0.5449048220334028</v>
      </c>
      <c r="K112" s="14"/>
    </row>
    <row r="113">
      <c r="A113" s="1"/>
      <c r="B113" s="48" t="s">
        <v>94</v>
      </c>
      <c r="C113" s="71" t="s">
        <v>64</v>
      </c>
      <c r="D113" s="71" t="s">
        <v>64</v>
      </c>
      <c r="E113" s="71" t="s">
        <v>64</v>
      </c>
      <c r="F113" s="71" t="s">
        <v>64</v>
      </c>
      <c r="G113" s="71" t="s">
        <v>64</v>
      </c>
      <c r="H113" s="71">
        <f>IFERROR((H112-C112)*10000,"n.a.")</f>
        <v>-203.33147416279672</v>
      </c>
      <c r="I113" s="71">
        <f>IFERROR((I112-D112)*10000,"n.a.")</f>
        <v>-349.5012660803476</v>
      </c>
      <c r="J113" s="72">
        <f>IFERROR((J112-E112)*10000,"n.a.")</f>
        <v>131.69358207393066</v>
      </c>
      <c r="K113" s="14"/>
    </row>
    <row r="114" ht="23.24853515625">
      <c r="A114" s="1"/>
      <c r="B114" s="48" t="s">
        <v>95</v>
      </c>
      <c r="C114" s="71" t="s">
        <v>64</v>
      </c>
      <c r="D114" s="71">
        <f>IFERROR((D112-C112)*10000,"n.a.")</f>
        <v>46.395677078805434</v>
      </c>
      <c r="E114" s="71">
        <f>IFERROR((E112-D112)*10000,"n.a.")</f>
        <v>-322.09793370781114</v>
      </c>
      <c r="F114" s="71">
        <f>IFERROR((F112-E112)*10000,"n.a.")</f>
        <v>557.9769267266399</v>
      </c>
      <c r="G114" s="71" t="s">
        <v>64</v>
      </c>
      <c r="H114" s="71">
        <f>IFERROR((H112-F112)*10000,"n.a.")</f>
        <v>-485.60614426043094</v>
      </c>
      <c r="I114" s="71">
        <f>IFERROR((I112-H112)*10000,"n.a.")</f>
        <v>-99.77411483874543</v>
      </c>
      <c r="J114" s="72">
        <f>IFERROR((J112-I112)*10000,"n.a.")</f>
        <v>159.0969144464671</v>
      </c>
      <c r="K114" s="14"/>
    </row>
    <row r="115">
      <c r="A115" s="1"/>
      <c r="B115" s="79" t="s">
        <v>194</v>
      </c>
      <c r="C115" s="30">
        <v>0.56</v>
      </c>
      <c r="D115" s="30">
        <v>0.56</v>
      </c>
      <c r="E115" s="30">
        <v>0.53</v>
      </c>
      <c r="F115" s="30">
        <v>0.59</v>
      </c>
      <c r="G115" s="10" t="s">
        <v>64</v>
      </c>
      <c r="H115" s="30">
        <v>0.54</v>
      </c>
      <c r="I115" s="30">
        <v>0.53</v>
      </c>
      <c r="J115" s="81" t="s">
        <v>64</v>
      </c>
      <c r="K115" s="14" t="s">
        <v>128</v>
      </c>
    </row>
    <row r="116">
      <c r="A116" s="1"/>
      <c r="B116" s="48" t="s">
        <v>94</v>
      </c>
      <c r="C116" s="71" t="s">
        <v>64</v>
      </c>
      <c r="D116" s="71" t="s">
        <v>64</v>
      </c>
      <c r="E116" s="71" t="s">
        <v>64</v>
      </c>
      <c r="F116" s="71" t="s">
        <v>64</v>
      </c>
      <c r="G116" s="71" t="s">
        <v>64</v>
      </c>
      <c r="H116" s="71">
        <f>IFERROR((H115-C115)*10000,"n.a.")</f>
        <v>-200.00000000000017</v>
      </c>
      <c r="I116" s="71">
        <f>IFERROR((I115-D115)*10000,"n.a.")</f>
        <v>-300.0000000000003</v>
      </c>
      <c r="J116" s="72" t="str">
        <f>IFERROR((J115-E115)*10000,"n.a.")</f>
        <v>n.a.</v>
      </c>
      <c r="K116" s="14"/>
    </row>
    <row r="117">
      <c r="A117" s="1"/>
      <c r="B117" s="48" t="s">
        <v>95</v>
      </c>
      <c r="C117" s="71" t="s">
        <v>64</v>
      </c>
      <c r="D117" s="71">
        <f>IFERROR((D115-C115)*10000,"n.a.")</f>
        <v>0</v>
      </c>
      <c r="E117" s="71">
        <f>IFERROR((E115-D115)*10000,"n.a.")</f>
        <v>-300.0000000000003</v>
      </c>
      <c r="F117" s="71">
        <f>IFERROR((F115-E115)*10000,"n.a.")</f>
        <v>599.9999999999994</v>
      </c>
      <c r="G117" s="71" t="s">
        <v>64</v>
      </c>
      <c r="H117" s="71">
        <f>IFERROR((H115-F115)*10000,"n.a.")</f>
        <v>-499.9999999999993</v>
      </c>
      <c r="I117" s="71">
        <f>IFERROR((I115-H115)*10000,"n.a.")</f>
        <v>-100.00000000000009</v>
      </c>
      <c r="J117" s="72" t="str">
        <f>IFERROR((J115-I115)*10000,"n.a.")</f>
        <v>n.a.</v>
      </c>
      <c r="K117" s="14"/>
    </row>
    <row r="118" ht="23.24853515625">
      <c r="A118" s="1"/>
      <c r="B118" s="13" t="s">
        <v>195</v>
      </c>
      <c r="C118" s="45">
        <f>IFERROR(-C65*365/C$7/(C90*1000),"n.a.")</f>
        <v>0.0030571458863443597</v>
      </c>
      <c r="D118" s="45">
        <f>IFERROR(-D65*365/D$7/(D90*1000),"n.a.")</f>
        <v>0.0015003225940725937</v>
      </c>
      <c r="E118" s="45">
        <f>IFERROR(-E65*365/E$7/(E90*1000),"n.a.")</f>
        <v>0.00189631636852614</v>
      </c>
      <c r="F118" s="45">
        <f>IFERROR(-F65*365/F$7/(F90*1000),"n.a.")</f>
        <v>0.0013560598453660007</v>
      </c>
      <c r="G118" s="45">
        <f>IFERROR(-G65*365/G$7/(G90*1000),"n.a.")</f>
        <v>0.0019076212471131639</v>
      </c>
      <c r="H118" s="45">
        <f>IFERROR(-H65*365/H$7/(H90*1000),"n.a.")</f>
        <v>0.003314457708397103</v>
      </c>
      <c r="I118" s="45">
        <f>IFERROR(-I65*365/I$7/(I90*1000),"n.a.")</f>
        <v>0.002906513776078994</v>
      </c>
      <c r="J118" s="89">
        <f>IFERROR(-J65*365/J$7/(J90*1000),"n.a.")</f>
        <v>0.0026897789553385165</v>
      </c>
      <c r="K118" s="14" t="s">
        <v>196</v>
      </c>
    </row>
    <row r="119">
      <c r="A119" s="1"/>
      <c r="B119" s="48" t="s">
        <v>94</v>
      </c>
      <c r="C119" s="71" t="s">
        <v>64</v>
      </c>
      <c r="D119" s="71" t="s">
        <v>64</v>
      </c>
      <c r="E119" s="71" t="s">
        <v>64</v>
      </c>
      <c r="F119" s="71" t="s">
        <v>64</v>
      </c>
      <c r="G119" s="71" t="s">
        <v>64</v>
      </c>
      <c r="H119" s="71">
        <f>IFERROR((H118-C118)*10000,"n.a.")</f>
        <v>2.5731182205274323</v>
      </c>
      <c r="I119" s="71">
        <f>IFERROR((I118-D118)*10000,"n.a.")</f>
        <v>14.061911820064001</v>
      </c>
      <c r="J119" s="72">
        <f>IFERROR((J118-E118)*10000,"n.a.")</f>
        <v>7.9346258681237645</v>
      </c>
      <c r="K119" s="14"/>
    </row>
    <row r="120">
      <c r="A120" s="1"/>
      <c r="B120" s="48" t="s">
        <v>95</v>
      </c>
      <c r="C120" s="71" t="s">
        <v>64</v>
      </c>
      <c r="D120" s="71">
        <f>IFERROR((D118-C118)*10000,"n.a.")</f>
        <v>-15.568232922717659</v>
      </c>
      <c r="E120" s="71">
        <f>IFERROR((E118-D118)*10000,"n.a.")</f>
        <v>3.959937744535463</v>
      </c>
      <c r="F120" s="71">
        <f>IFERROR((F118-E118)*10000,"n.a.")</f>
        <v>-5.402565231601393</v>
      </c>
      <c r="G120" s="71" t="s">
        <v>64</v>
      </c>
      <c r="H120" s="71">
        <f>IFERROR((H118-F118)*10000,"n.a.")</f>
        <v>19.58397863031102</v>
      </c>
      <c r="I120" s="71">
        <f>IFERROR((I118-H118)*10000,"n.a.")</f>
        <v>-4.079439323181091</v>
      </c>
      <c r="J120" s="72">
        <f>IFERROR((J118-I118)*10000,"n.a.")</f>
        <v>-2.1673482074047743</v>
      </c>
      <c r="K120" s="14"/>
    </row>
    <row r="121" ht="14.624267578125">
      <c r="A121" s="1"/>
      <c r="B121" s="79" t="s">
        <v>197</v>
      </c>
      <c r="C121" s="49">
        <v>0.0028</v>
      </c>
      <c r="D121" s="49">
        <v>0.0014</v>
      </c>
      <c r="E121" s="49">
        <v>0.0018</v>
      </c>
      <c r="F121" s="49">
        <v>0.0013</v>
      </c>
      <c r="G121" s="45" t="s">
        <v>64</v>
      </c>
      <c r="H121" s="49">
        <v>0.0031</v>
      </c>
      <c r="I121" s="49">
        <v>0.0027</v>
      </c>
      <c r="J121" s="89" t="s">
        <v>64</v>
      </c>
      <c r="K121" s="14" t="s">
        <v>198</v>
      </c>
    </row>
    <row r="122">
      <c r="A122" s="1"/>
      <c r="B122" s="48" t="s">
        <v>94</v>
      </c>
      <c r="C122" s="71" t="s">
        <v>64</v>
      </c>
      <c r="D122" s="71" t="s">
        <v>64</v>
      </c>
      <c r="E122" s="71" t="s">
        <v>64</v>
      </c>
      <c r="F122" s="71" t="s">
        <v>64</v>
      </c>
      <c r="G122" s="71" t="s">
        <v>64</v>
      </c>
      <c r="H122" s="71">
        <f>IFERROR((H121-C121)*10000,"n.a.")</f>
        <v>2.999999999999999</v>
      </c>
      <c r="I122" s="71">
        <f>IFERROR((I121-D121)*10000,"n.a.")</f>
        <v>13.000000000000002</v>
      </c>
      <c r="J122" s="72" t="str">
        <f>IFERROR((J121-E121)*10000,"n.a.")</f>
        <v>n.a.</v>
      </c>
      <c r="K122" s="14"/>
    </row>
    <row r="123">
      <c r="A123" s="1"/>
      <c r="B123" s="48" t="s">
        <v>95</v>
      </c>
      <c r="C123" s="71" t="s">
        <v>64</v>
      </c>
      <c r="D123" s="71">
        <f>IFERROR((D121-C121)*10000,"n.a.")</f>
        <v>-14</v>
      </c>
      <c r="E123" s="71">
        <f>IFERROR((E121-D121)*10000,"n.a.")</f>
        <v>3.9999999999999996</v>
      </c>
      <c r="F123" s="71">
        <f>IFERROR((F121-E121)*10000,"n.a.")</f>
        <v>-5</v>
      </c>
      <c r="G123" s="71" t="s">
        <v>64</v>
      </c>
      <c r="H123" s="71">
        <f>IFERROR((H121-F121)*10000,"n.a.")</f>
        <v>18</v>
      </c>
      <c r="I123" s="71">
        <f>IFERROR((I121-H121)*10000,"n.a.")</f>
        <v>-3.9999999999999973</v>
      </c>
      <c r="J123" s="72" t="str">
        <f>IFERROR((J121-I121)*10000,"n.a.")</f>
        <v>n.a.</v>
      </c>
      <c r="K123" s="14"/>
    </row>
    <row r="124" ht="23.24853515625">
      <c r="A124" s="1"/>
      <c r="B124" s="13" t="s">
        <v>199</v>
      </c>
      <c r="C124" s="30">
        <v>0.174</v>
      </c>
      <c r="D124" s="30">
        <v>0.197</v>
      </c>
      <c r="E124" s="30">
        <v>0.218</v>
      </c>
      <c r="F124" s="30">
        <v>0.238</v>
      </c>
      <c r="G124" s="10" t="s">
        <v>64</v>
      </c>
      <c r="H124" s="30">
        <v>0.197</v>
      </c>
      <c r="I124" s="30">
        <v>0.204</v>
      </c>
      <c r="J124" s="81" t="s">
        <v>64</v>
      </c>
      <c r="K124" s="14" t="s">
        <v>128</v>
      </c>
    </row>
    <row r="125">
      <c r="A125" s="1"/>
      <c r="B125" s="48" t="s">
        <v>94</v>
      </c>
      <c r="C125" s="71" t="s">
        <v>64</v>
      </c>
      <c r="D125" s="71" t="s">
        <v>64</v>
      </c>
      <c r="E125" s="71" t="s">
        <v>64</v>
      </c>
      <c r="F125" s="71" t="s">
        <v>64</v>
      </c>
      <c r="G125" s="71" t="s">
        <v>64</v>
      </c>
      <c r="H125" s="71">
        <f>IFERROR((H124-C124)*10000,"n.a.")</f>
        <v>230.0000000000002</v>
      </c>
      <c r="I125" s="71">
        <f>IFERROR((I124-D124)*10000,"n.a.")</f>
        <v>69.99999999999979</v>
      </c>
      <c r="J125" s="72" t="str">
        <f>IFERROR((J124-E124)*10000,"n.a.")</f>
        <v>n.a.</v>
      </c>
      <c r="K125" s="14"/>
    </row>
    <row r="126">
      <c r="A126" s="1"/>
      <c r="B126" s="48" t="s">
        <v>95</v>
      </c>
      <c r="C126" s="71" t="s">
        <v>64</v>
      </c>
      <c r="D126" s="71">
        <f>IFERROR((D124-C124)*10000,"n.a.")</f>
        <v>230.0000000000002</v>
      </c>
      <c r="E126" s="71">
        <f>IFERROR((E124-D124)*10000,"n.a.")</f>
        <v>209.99999999999991</v>
      </c>
      <c r="F126" s="71">
        <f>IFERROR((F124-E124)*10000,"n.a.")</f>
        <v>199.9999999999999</v>
      </c>
      <c r="G126" s="71" t="s">
        <v>64</v>
      </c>
      <c r="H126" s="71">
        <f>IFERROR((H124-F124)*10000,"n.a.")</f>
        <v>-409.99999999999983</v>
      </c>
      <c r="I126" s="71">
        <f>IFERROR((I124-H124)*10000,"n.a.")</f>
        <v>69.99999999999979</v>
      </c>
      <c r="J126" s="72" t="str">
        <f>IFERROR((J124-I124)*10000,"n.a.")</f>
        <v>n.a.</v>
      </c>
      <c r="K126" s="14"/>
    </row>
    <row r="127" ht="14.624267578125">
      <c r="A127" s="1"/>
      <c r="B127" s="13" t="s">
        <v>200</v>
      </c>
      <c r="C127" s="24">
        <v>11.7</v>
      </c>
      <c r="D127" s="24">
        <v>11.8</v>
      </c>
      <c r="E127" s="24">
        <v>11.9</v>
      </c>
      <c r="F127" s="24">
        <v>11.9</v>
      </c>
      <c r="G127" s="2" t="s">
        <v>64</v>
      </c>
      <c r="H127" s="24">
        <v>12</v>
      </c>
      <c r="I127" s="24">
        <v>12.2</v>
      </c>
      <c r="J127" s="26" t="s">
        <v>64</v>
      </c>
      <c r="K127" s="14" t="s">
        <v>128</v>
      </c>
    </row>
    <row r="128">
      <c r="A128" s="1"/>
      <c r="B128" s="37" t="s">
        <v>63</v>
      </c>
      <c r="C128" s="25" t="s">
        <v>64</v>
      </c>
      <c r="D128" s="25" t="s">
        <v>64</v>
      </c>
      <c r="E128" s="25" t="s">
        <v>64</v>
      </c>
      <c r="F128" s="25" t="s">
        <v>64</v>
      </c>
      <c r="G128" s="25" t="s">
        <v>64</v>
      </c>
      <c r="H128" s="25">
        <f>IFERROR(H127/C127-1,"n.a.")</f>
        <v>0.025641025641025772</v>
      </c>
      <c r="I128" s="25">
        <f>IFERROR(I127/D127-1,"n.a.")</f>
        <v>0.03389830508474567</v>
      </c>
      <c r="J128" s="51" t="str">
        <f>IFERROR(J127/E127-1,"n.a.")</f>
        <v>n.a.</v>
      </c>
      <c r="K128" s="14"/>
    </row>
    <row r="129" ht="14.624267578125">
      <c r="A129" s="1"/>
      <c r="B129" s="48" t="s">
        <v>78</v>
      </c>
      <c r="C129" s="2" t="s">
        <v>64</v>
      </c>
      <c r="D129" s="2">
        <f>IFERROR(D127-C127,"n.a.")</f>
        <v>0.10000000000000142</v>
      </c>
      <c r="E129" s="2">
        <f>IFERROR(E127-D127,"n.a.")</f>
        <v>0.09999999999999964</v>
      </c>
      <c r="F129" s="2">
        <f>IFERROR(F127-E127,"n.a.")</f>
        <v>0</v>
      </c>
      <c r="G129" s="2" t="s">
        <v>64</v>
      </c>
      <c r="H129" s="2">
        <f>IFERROR(H127-F127,"n.a.")</f>
        <v>0.09999999999999964</v>
      </c>
      <c r="I129" s="2">
        <f>IFERROR(I127-H127,"n.a.")</f>
        <v>0.1999999999999993</v>
      </c>
      <c r="J129" s="26" t="str">
        <f>IFERROR(J127-I127,"n.a.")</f>
        <v>n.a.</v>
      </c>
      <c r="K129" s="14"/>
    </row>
    <row r="130">
      <c r="A130" s="1"/>
      <c r="B130" s="18"/>
      <c r="C130" s="19"/>
      <c r="D130" s="19"/>
      <c r="E130" s="19"/>
      <c r="F130" s="19"/>
      <c r="G130" s="19"/>
      <c r="H130" s="19"/>
      <c r="I130" s="19"/>
      <c r="J130" s="27"/>
      <c r="K130" s="14"/>
    </row>
    <row r="131">
      <c r="A131" s="1"/>
      <c r="B131" s="20" t="s">
        <v>201</v>
      </c>
      <c r="C131" s="32"/>
      <c r="D131" s="32"/>
      <c r="E131" s="32"/>
      <c r="F131" s="32"/>
      <c r="G131" s="32"/>
      <c r="H131" s="32"/>
      <c r="I131" s="32"/>
      <c r="J131" s="28"/>
      <c r="K131" s="14"/>
    </row>
    <row r="132">
      <c r="A132" s="1"/>
      <c r="B132" s="66" t="s">
        <v>202</v>
      </c>
      <c r="C132" s="25" t="s">
        <v>64</v>
      </c>
      <c r="D132" s="25" t="s">
        <v>64</v>
      </c>
      <c r="E132" s="25" t="s">
        <v>64</v>
      </c>
      <c r="F132" s="25" t="s">
        <v>64</v>
      </c>
      <c r="G132" s="25" t="s">
        <v>64</v>
      </c>
      <c r="H132" s="25">
        <f>IFERROR(H29/C29-1,"n.a.")</f>
        <v>0.0887174541947926</v>
      </c>
      <c r="I132" s="25">
        <f>IFERROR(I29/D29-1,"n.a.")</f>
        <v>0.06606890042472857</v>
      </c>
      <c r="J132" s="51">
        <f>IFERROR(J29/E29-1,"n.a.")</f>
        <v>0.04262498221549338</v>
      </c>
      <c r="K132" s="14"/>
    </row>
    <row r="133">
      <c r="A133" s="1"/>
      <c r="B133" s="66" t="s">
        <v>100</v>
      </c>
      <c r="C133" s="25" t="s">
        <v>101</v>
      </c>
      <c r="D133" s="25" t="s">
        <v>101</v>
      </c>
      <c r="E133" s="25" t="s">
        <v>101</v>
      </c>
      <c r="F133" s="25" t="s">
        <v>101</v>
      </c>
      <c r="G133" s="25" t="s">
        <v>101</v>
      </c>
      <c r="H133" s="25" t="s">
        <v>101</v>
      </c>
      <c r="I133" s="25" t="s">
        <v>101</v>
      </c>
      <c r="J133" s="51" t="s">
        <v>101</v>
      </c>
      <c r="K133" s="14" t="s">
        <v>203</v>
      </c>
    </row>
    <row r="134">
      <c r="A134" s="1"/>
      <c r="B134" s="66" t="s">
        <v>103</v>
      </c>
      <c r="C134" s="25" t="s">
        <v>101</v>
      </c>
      <c r="D134" s="25" t="s">
        <v>101</v>
      </c>
      <c r="E134" s="25" t="s">
        <v>101</v>
      </c>
      <c r="F134" s="25" t="s">
        <v>101</v>
      </c>
      <c r="G134" s="25" t="s">
        <v>101</v>
      </c>
      <c r="H134" s="25" t="s">
        <v>101</v>
      </c>
      <c r="I134" s="25" t="s">
        <v>101</v>
      </c>
      <c r="J134" s="51" t="s">
        <v>101</v>
      </c>
      <c r="K134" s="14" t="s">
        <v>204</v>
      </c>
    </row>
    <row r="135" ht="14.624267578125">
      <c r="A135" s="1"/>
      <c r="B135" s="67" t="s">
        <v>205</v>
      </c>
      <c r="C135" s="25" t="str">
        <f>IF(OR(ISTEXT(C132),ISTEXT(C133),ISTEXT(C134)),"n.d.",(1+C132)/((1+C133)*(1+C134))-1)</f>
        <v>n.d.</v>
      </c>
      <c r="D135" s="25" t="str">
        <f>IF(OR(ISTEXT(D132),ISTEXT(D133),ISTEXT(D134)),"n.d.",(1+D132)/((1+D133)*(1+D134))-1)</f>
        <v>n.d.</v>
      </c>
      <c r="E135" s="25" t="str">
        <f>IF(OR(ISTEXT(E132),ISTEXT(E133),ISTEXT(E134)),"n.d.",(1+E132)/((1+E133)*(1+E134))-1)</f>
        <v>n.d.</v>
      </c>
      <c r="F135" s="25" t="str">
        <f>IF(OR(ISTEXT(F132),ISTEXT(F133),ISTEXT(F134)),"n.d.",(1+F132)/((1+F133)*(1+F134))-1)</f>
        <v>n.d.</v>
      </c>
      <c r="G135" s="25" t="str">
        <f>IF(OR(ISTEXT(G132),ISTEXT(G133),ISTEXT(G134)),"n.d.",(1+G132)/((1+G133)*(1+G134))-1)</f>
        <v>n.d.</v>
      </c>
      <c r="H135" s="25" t="str">
        <f>IF(OR(ISTEXT(H132),ISTEXT(H133),ISTEXT(H134)),"n.d.",(1+H132)/((1+H133)*(1+H134))-1)</f>
        <v>n.d.</v>
      </c>
      <c r="I135" s="25" t="str">
        <f>IF(OR(ISTEXT(I132),ISTEXT(I133),ISTEXT(I134)),"n.d.",(1+I132)/((1+I133)*(1+I134))-1)</f>
        <v>n.d.</v>
      </c>
      <c r="J135" s="51" t="str">
        <f>IF(OR(ISTEXT(J132),ISTEXT(J133),ISTEXT(J134)),"n.d.",(1+J132)/((1+J133)*(1+J134))-1)</f>
        <v>n.d.</v>
      </c>
      <c r="K135" s="14" t="s">
        <v>206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:K119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  <col min="11" max="11" width="9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35" t="s">
        <v>49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9" t="s">
        <v>207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3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6" t="s">
        <v>51</v>
      </c>
      <c r="C5" s="21" t="s">
        <v>52</v>
      </c>
      <c r="D5" s="21" t="s">
        <v>53</v>
      </c>
      <c r="E5" s="21" t="s">
        <v>54</v>
      </c>
      <c r="F5" s="21" t="s">
        <v>55</v>
      </c>
      <c r="G5" s="21" t="s">
        <v>56</v>
      </c>
      <c r="H5" s="21" t="s">
        <v>57</v>
      </c>
      <c r="I5" s="21" t="s">
        <v>58</v>
      </c>
      <c r="J5" s="40" t="s">
        <v>4</v>
      </c>
      <c r="K5" s="6" t="s">
        <v>59</v>
      </c>
    </row>
    <row r="6">
      <c r="A6" s="1"/>
      <c r="B6" s="7" t="s">
        <v>5</v>
      </c>
      <c r="C6" s="29">
        <v>45747</v>
      </c>
      <c r="D6" s="29">
        <v>45838</v>
      </c>
      <c r="E6" s="29">
        <v>45930</v>
      </c>
      <c r="F6" s="29">
        <v>46022</v>
      </c>
      <c r="G6" s="29">
        <v>46022</v>
      </c>
      <c r="H6" s="29">
        <v>46112</v>
      </c>
      <c r="I6" s="29">
        <v>46203</v>
      </c>
      <c r="J6" s="50">
        <v>46295</v>
      </c>
      <c r="K6" s="7"/>
    </row>
    <row r="7">
      <c r="A7" s="1"/>
      <c r="B7" s="12" t="s">
        <v>6</v>
      </c>
      <c r="C7" s="34">
        <f>C6-EOMONTH(C6,-3)</f>
        <v>90</v>
      </c>
      <c r="D7" s="34">
        <f>D6-EOMONTH(D6,-3)</f>
        <v>91</v>
      </c>
      <c r="E7" s="34">
        <f>E6-EOMONTH(E6,-3)</f>
        <v>92</v>
      </c>
      <c r="F7" s="34">
        <f>F6-EOMONTH(F6,-3)</f>
        <v>92</v>
      </c>
      <c r="G7" s="34">
        <f>G6-EOMONTH(G6,-12)</f>
        <v>365</v>
      </c>
      <c r="H7" s="34">
        <f>H6-EOMONTH(H6,-3)</f>
        <v>90</v>
      </c>
      <c r="I7" s="34">
        <f>I6-EOMONTH(I6,-3)</f>
        <v>91</v>
      </c>
      <c r="J7" s="43">
        <f>J6-EOMONTH(J6,-3)</f>
        <v>92</v>
      </c>
      <c r="K7" s="12"/>
    </row>
    <row r="8">
      <c r="A8" s="1"/>
      <c r="B8" s="1"/>
      <c r="C8" s="1"/>
      <c r="D8" s="1"/>
      <c r="E8" s="1"/>
      <c r="F8" s="1"/>
      <c r="G8" s="1"/>
      <c r="H8" s="1"/>
      <c r="I8" s="1"/>
      <c r="J8" s="54"/>
      <c r="K8" s="1"/>
    </row>
    <row r="9">
      <c r="A9" s="1"/>
      <c r="B9" s="20" t="s">
        <v>122</v>
      </c>
      <c r="C9" s="32"/>
      <c r="D9" s="32"/>
      <c r="E9" s="32"/>
      <c r="F9" s="32"/>
      <c r="G9" s="32"/>
      <c r="H9" s="32"/>
      <c r="I9" s="32"/>
      <c r="J9" s="28"/>
      <c r="K9" s="14"/>
    </row>
    <row r="10" ht="23.24853515625">
      <c r="A10" s="1"/>
      <c r="B10" s="67" t="s">
        <v>123</v>
      </c>
      <c r="C10" s="25" t="s">
        <v>64</v>
      </c>
      <c r="D10" s="25" t="s">
        <v>64</v>
      </c>
      <c r="E10" s="25" t="s">
        <v>64</v>
      </c>
      <c r="F10" s="25" t="s">
        <v>64</v>
      </c>
      <c r="G10" s="25" t="s">
        <v>64</v>
      </c>
      <c r="H10" s="25" t="s">
        <v>64</v>
      </c>
      <c r="I10" s="25" t="s">
        <v>64</v>
      </c>
      <c r="J10" s="85">
        <v>0.02</v>
      </c>
      <c r="K10" s="14" t="s">
        <v>208</v>
      </c>
    </row>
    <row r="11">
      <c r="A11" s="1"/>
      <c r="B11" s="18" t="s">
        <v>125</v>
      </c>
      <c r="C11" s="24">
        <v>24605</v>
      </c>
      <c r="D11" s="24">
        <v>25478</v>
      </c>
      <c r="E11" s="24">
        <v>26645</v>
      </c>
      <c r="F11" s="24">
        <v>27841</v>
      </c>
      <c r="G11" s="2">
        <f>AVERAGE(C11:F11)</f>
        <v>26142.25</v>
      </c>
      <c r="H11" s="24">
        <v>28536</v>
      </c>
      <c r="I11" s="24">
        <v>29603</v>
      </c>
      <c r="J11" s="26">
        <f>I11*(1+J10)</f>
        <v>30195.06</v>
      </c>
      <c r="K11" s="14" t="s">
        <v>126</v>
      </c>
    </row>
    <row r="12">
      <c r="A12" s="1"/>
      <c r="B12" s="37" t="s">
        <v>63</v>
      </c>
      <c r="C12" s="25" t="s">
        <v>64</v>
      </c>
      <c r="D12" s="25" t="s">
        <v>64</v>
      </c>
      <c r="E12" s="25" t="s">
        <v>64</v>
      </c>
      <c r="F12" s="25" t="s">
        <v>64</v>
      </c>
      <c r="G12" s="25" t="s">
        <v>64</v>
      </c>
      <c r="H12" s="25">
        <f>IFERROR(H11/C11-1,"n.a.")</f>
        <v>0.15976427555374917</v>
      </c>
      <c r="I12" s="25">
        <f>IFERROR(I11/D11-1,"n.a.")</f>
        <v>0.16190438809953678</v>
      </c>
      <c r="J12" s="51">
        <f>IFERROR(J11/E11-1,"n.a.")</f>
        <v>0.13323550384687555</v>
      </c>
      <c r="K12" s="14"/>
    </row>
    <row r="13">
      <c r="A13" s="1"/>
      <c r="B13" s="48" t="s">
        <v>78</v>
      </c>
      <c r="C13" s="2" t="s">
        <v>64</v>
      </c>
      <c r="D13" s="2">
        <f>IFERROR(D11-C11,"n.a.")</f>
        <v>873</v>
      </c>
      <c r="E13" s="2">
        <f>IFERROR(E11-D11,"n.a.")</f>
        <v>1167</v>
      </c>
      <c r="F13" s="2">
        <f>IFERROR(F11-E11,"n.a.")</f>
        <v>1196</v>
      </c>
      <c r="G13" s="2" t="s">
        <v>64</v>
      </c>
      <c r="H13" s="2">
        <f>IFERROR(H11-F11,"n.a.")</f>
        <v>695</v>
      </c>
      <c r="I13" s="2">
        <f>IFERROR(I11-H11,"n.a.")</f>
        <v>1067</v>
      </c>
      <c r="J13" s="26">
        <f>IFERROR(J11-I11,"n.a.")</f>
        <v>592.0600000000013</v>
      </c>
      <c r="K13" s="14"/>
    </row>
    <row r="14">
      <c r="A14" s="1"/>
      <c r="B14" s="18" t="s">
        <v>127</v>
      </c>
      <c r="C14" s="49">
        <v>0.0564</v>
      </c>
      <c r="D14" s="49">
        <v>0.0565</v>
      </c>
      <c r="E14" s="49">
        <v>0.057</v>
      </c>
      <c r="F14" s="49">
        <v>0.0564</v>
      </c>
      <c r="G14" s="45" t="s">
        <v>64</v>
      </c>
      <c r="H14" s="49">
        <v>0.055999999999999994</v>
      </c>
      <c r="I14" s="49">
        <v>0.055999999999999994</v>
      </c>
      <c r="J14" s="89" t="s">
        <v>64</v>
      </c>
      <c r="K14" s="14" t="s">
        <v>128</v>
      </c>
    </row>
    <row r="15">
      <c r="A15" s="1"/>
      <c r="B15" s="48" t="s">
        <v>94</v>
      </c>
      <c r="C15" s="71" t="s">
        <v>64</v>
      </c>
      <c r="D15" s="71" t="s">
        <v>64</v>
      </c>
      <c r="E15" s="71" t="s">
        <v>64</v>
      </c>
      <c r="F15" s="71" t="s">
        <v>64</v>
      </c>
      <c r="G15" s="71" t="s">
        <v>64</v>
      </c>
      <c r="H15" s="71">
        <f>IFERROR((H14-C14)*10000,"n.a.")</f>
        <v>-4.000000000000045</v>
      </c>
      <c r="I15" s="71">
        <f>IFERROR((I14-D14)*10000,"n.a.")</f>
        <v>-5.000000000000074</v>
      </c>
      <c r="J15" s="72" t="str">
        <f>IFERROR((J14-E14)*10000,"n.a.")</f>
        <v>n.a.</v>
      </c>
      <c r="K15" s="14"/>
    </row>
    <row r="16">
      <c r="A16" s="1"/>
      <c r="B16" s="48" t="s">
        <v>95</v>
      </c>
      <c r="C16" s="71" t="s">
        <v>64</v>
      </c>
      <c r="D16" s="71">
        <f>IFERROR((D14-C14)*10000,"n.a.")</f>
        <v>1.0000000000000286</v>
      </c>
      <c r="E16" s="71">
        <f>IFERROR((E14-D14)*10000,"n.a.")</f>
        <v>5.000000000000004</v>
      </c>
      <c r="F16" s="71">
        <f>IFERROR((F14-E14)*10000,"n.a.")</f>
        <v>-6.000000000000033</v>
      </c>
      <c r="G16" s="71" t="s">
        <v>64</v>
      </c>
      <c r="H16" s="71">
        <f>IFERROR((H14-F14)*10000,"n.a.")</f>
        <v>-4.000000000000045</v>
      </c>
      <c r="I16" s="71">
        <f>IFERROR((I14-H14)*10000,"n.a.")</f>
        <v>0</v>
      </c>
      <c r="J16" s="72" t="str">
        <f>IFERROR((J14-I14)*10000,"n.a.")</f>
        <v>n.a.</v>
      </c>
      <c r="K16" s="14"/>
    </row>
    <row r="17" ht="14.624267578125">
      <c r="A17" s="1"/>
      <c r="B17" s="63" t="s">
        <v>129</v>
      </c>
      <c r="C17" s="45" t="s">
        <v>64</v>
      </c>
      <c r="D17" s="45" t="s">
        <v>64</v>
      </c>
      <c r="E17" s="45" t="s">
        <v>64</v>
      </c>
      <c r="F17" s="45" t="s">
        <v>64</v>
      </c>
      <c r="G17" s="45" t="s">
        <v>64</v>
      </c>
      <c r="H17" s="45" t="s">
        <v>64</v>
      </c>
      <c r="I17" s="45" t="s">
        <v>64</v>
      </c>
      <c r="J17" s="90">
        <v>0.056</v>
      </c>
      <c r="K17" s="14" t="s">
        <v>209</v>
      </c>
    </row>
    <row r="18" ht="23.24853515625">
      <c r="A18" s="1"/>
      <c r="B18" s="18"/>
      <c r="C18" s="19"/>
      <c r="D18" s="19"/>
      <c r="E18" s="19"/>
      <c r="F18" s="19"/>
      <c r="G18" s="19"/>
      <c r="H18" s="19"/>
      <c r="I18" s="19"/>
      <c r="J18" s="27"/>
      <c r="K18" s="14"/>
    </row>
    <row r="19">
      <c r="A19" s="1"/>
      <c r="B19" s="20" t="s">
        <v>131</v>
      </c>
      <c r="C19" s="32"/>
      <c r="D19" s="32"/>
      <c r="E19" s="32"/>
      <c r="F19" s="32"/>
      <c r="G19" s="32"/>
      <c r="H19" s="32"/>
      <c r="I19" s="32"/>
      <c r="J19" s="28"/>
      <c r="K19" s="14"/>
    </row>
    <row r="20">
      <c r="A20" s="1"/>
      <c r="B20" s="18" t="s">
        <v>82</v>
      </c>
      <c r="C20" s="24">
        <v>342</v>
      </c>
      <c r="D20" s="24">
        <v>359</v>
      </c>
      <c r="E20" s="24">
        <v>383</v>
      </c>
      <c r="F20" s="24">
        <v>396</v>
      </c>
      <c r="G20" s="2">
        <f>SUM(C20:F20)</f>
        <v>1480</v>
      </c>
      <c r="H20" s="24">
        <v>394</v>
      </c>
      <c r="I20" s="24">
        <v>413</v>
      </c>
      <c r="J20" s="26">
        <f>J11*J17*J$7/365</f>
        <v>426.20534005479453</v>
      </c>
      <c r="K20" s="14" t="s">
        <v>132</v>
      </c>
    </row>
    <row r="21">
      <c r="A21" s="1"/>
      <c r="B21" s="37" t="s">
        <v>63</v>
      </c>
      <c r="C21" s="25" t="s">
        <v>64</v>
      </c>
      <c r="D21" s="25" t="s">
        <v>64</v>
      </c>
      <c r="E21" s="25" t="s">
        <v>64</v>
      </c>
      <c r="F21" s="25" t="s">
        <v>64</v>
      </c>
      <c r="G21" s="25" t="s">
        <v>64</v>
      </c>
      <c r="H21" s="25">
        <f>IFERROR(H20/C20-1,"n.a.")</f>
        <v>0.1520467836257311</v>
      </c>
      <c r="I21" s="25">
        <f>IFERROR(I20/D20-1,"n.a.")</f>
        <v>0.1504178272980501</v>
      </c>
      <c r="J21" s="51">
        <f>IFERROR(J20/E20-1,"n.a.")</f>
        <v>0.11280767638327549</v>
      </c>
      <c r="K21" s="14"/>
    </row>
    <row r="22">
      <c r="A22" s="1"/>
      <c r="B22" s="48" t="s">
        <v>78</v>
      </c>
      <c r="C22" s="2" t="s">
        <v>64</v>
      </c>
      <c r="D22" s="2">
        <f>IFERROR(D20-C20,"n.a.")</f>
        <v>17</v>
      </c>
      <c r="E22" s="2">
        <f>IFERROR(E20-D20,"n.a.")</f>
        <v>24</v>
      </c>
      <c r="F22" s="2">
        <f>IFERROR(F20-E20,"n.a.")</f>
        <v>13</v>
      </c>
      <c r="G22" s="2" t="s">
        <v>64</v>
      </c>
      <c r="H22" s="2">
        <f>IFERROR(H20-F20,"n.a.")</f>
        <v>-2</v>
      </c>
      <c r="I22" s="2">
        <f>IFERROR(I20-H20,"n.a.")</f>
        <v>19</v>
      </c>
      <c r="J22" s="26">
        <f>IFERROR(J20-I20,"n.a.")</f>
        <v>13.205340054794533</v>
      </c>
      <c r="K22" s="14"/>
    </row>
    <row r="23" ht="23.24853515625">
      <c r="A23" s="1"/>
      <c r="B23" s="13" t="s">
        <v>133</v>
      </c>
      <c r="C23" s="45">
        <f>IFERROR(C20/C11*365/C$7,"n.a.")</f>
        <v>0.05637065637065637</v>
      </c>
      <c r="D23" s="45">
        <f>IFERROR(D20/D11*365/D$7,"n.a.")</f>
        <v>0.05651719345886863</v>
      </c>
      <c r="E23" s="45">
        <f>IFERROR(E20/E11*365/E$7,"n.a.")</f>
        <v>0.05702799285288863</v>
      </c>
      <c r="F23" s="45">
        <f>IFERROR(F20/F11*365/F$7,"n.a.")</f>
        <v>0.05643069417484067</v>
      </c>
      <c r="G23" s="45">
        <f>IFERROR(G20/G11*365/G$7,"n.a.")</f>
        <v>0.056613336648528724</v>
      </c>
      <c r="H23" s="45">
        <f>IFERROR(H20/H11*365/H$7,"n.a.")</f>
        <v>0.05599554558763978</v>
      </c>
      <c r="I23" s="45">
        <f>IFERROR(I20/I11*365/I$7,"n.a.")</f>
        <v>0.05595846574801411</v>
      </c>
      <c r="J23" s="89">
        <f>IFERROR(J20/J11*365/J$7,"n.a.")</f>
        <v>0.056</v>
      </c>
      <c r="K23" s="14"/>
    </row>
    <row r="24">
      <c r="A24" s="1"/>
      <c r="B24" s="48" t="s">
        <v>94</v>
      </c>
      <c r="C24" s="71" t="s">
        <v>64</v>
      </c>
      <c r="D24" s="71" t="s">
        <v>64</v>
      </c>
      <c r="E24" s="71" t="s">
        <v>64</v>
      </c>
      <c r="F24" s="71" t="s">
        <v>64</v>
      </c>
      <c r="G24" s="71" t="s">
        <v>64</v>
      </c>
      <c r="H24" s="71">
        <f>IFERROR((H23-C23)*10000,"n.a.")</f>
        <v>-3.7511078301659397</v>
      </c>
      <c r="I24" s="71">
        <f>IFERROR((I23-D23)*10000,"n.a.")</f>
        <v>-5.58727710854523</v>
      </c>
      <c r="J24" s="72">
        <f>IFERROR((J23-E23)*10000,"n.a.")</f>
        <v>-10.279928528886263</v>
      </c>
      <c r="K24" s="14"/>
    </row>
    <row r="25">
      <c r="A25" s="1"/>
      <c r="B25" s="48" t="s">
        <v>95</v>
      </c>
      <c r="C25" s="71" t="s">
        <v>64</v>
      </c>
      <c r="D25" s="71">
        <f>IFERROR((D23-C23)*10000,"n.a.")</f>
        <v>1.4653708821225908</v>
      </c>
      <c r="E25" s="71">
        <f>IFERROR((E23-D23)*10000,"n.a.")</f>
        <v>5.1079939401999646</v>
      </c>
      <c r="F25" s="71">
        <f>IFERROR((F23-E23)*10000,"n.a.")</f>
        <v>-5.972986780479542</v>
      </c>
      <c r="G25" s="71" t="s">
        <v>64</v>
      </c>
      <c r="H25" s="71">
        <f>IFERROR((H23-F23)*10000,"n.a.")</f>
        <v>-4.351485872008953</v>
      </c>
      <c r="I25" s="71">
        <f>IFERROR((I23-H23)*10000,"n.a.")</f>
        <v>-0.37079839625669964</v>
      </c>
      <c r="J25" s="72">
        <f>IFERROR((J23-I23)*10000,"n.a.")</f>
        <v>0.4153425198589328</v>
      </c>
      <c r="K25" s="14"/>
    </row>
    <row r="26" ht="14.624267578125">
      <c r="A26" s="1"/>
      <c r="B26" s="13" t="s">
        <v>134</v>
      </c>
      <c r="C26" s="24">
        <v>142</v>
      </c>
      <c r="D26" s="24">
        <v>160</v>
      </c>
      <c r="E26" s="24">
        <v>139</v>
      </c>
      <c r="F26" s="24">
        <v>143</v>
      </c>
      <c r="G26" s="2">
        <f>SUM(C26:F26)</f>
        <v>584</v>
      </c>
      <c r="H26" s="24">
        <v>136</v>
      </c>
      <c r="I26" s="24">
        <v>145</v>
      </c>
      <c r="J26" s="39">
        <v>140</v>
      </c>
      <c r="K26" s="14" t="s">
        <v>210</v>
      </c>
    </row>
    <row r="27">
      <c r="A27" s="1"/>
      <c r="B27" s="37" t="s">
        <v>63</v>
      </c>
      <c r="C27" s="25" t="s">
        <v>64</v>
      </c>
      <c r="D27" s="25" t="s">
        <v>64</v>
      </c>
      <c r="E27" s="25" t="s">
        <v>64</v>
      </c>
      <c r="F27" s="25" t="s">
        <v>64</v>
      </c>
      <c r="G27" s="25" t="s">
        <v>64</v>
      </c>
      <c r="H27" s="25">
        <f>IFERROR(H26/C26-1,"n.a.")</f>
        <v>-0.04225352112676062</v>
      </c>
      <c r="I27" s="25">
        <f>IFERROR(I26/D26-1,"n.a.")</f>
        <v>-0.09375</v>
      </c>
      <c r="J27" s="51">
        <f>IFERROR(J26/E26-1,"n.a.")</f>
        <v>0.007194244604316502</v>
      </c>
      <c r="K27" s="14"/>
    </row>
    <row r="28">
      <c r="A28" s="1"/>
      <c r="B28" s="48" t="s">
        <v>78</v>
      </c>
      <c r="C28" s="2" t="s">
        <v>64</v>
      </c>
      <c r="D28" s="2">
        <f>IFERROR(D26-C26,"n.a.")</f>
        <v>18</v>
      </c>
      <c r="E28" s="2">
        <f>IFERROR(E26-D26,"n.a.")</f>
        <v>-21</v>
      </c>
      <c r="F28" s="2">
        <f>IFERROR(F26-E26,"n.a.")</f>
        <v>4</v>
      </c>
      <c r="G28" s="2" t="s">
        <v>64</v>
      </c>
      <c r="H28" s="2">
        <f>IFERROR(H26-F26,"n.a.")</f>
        <v>-7</v>
      </c>
      <c r="I28" s="2">
        <f>IFERROR(I26-H26,"n.a.")</f>
        <v>9</v>
      </c>
      <c r="J28" s="26">
        <f>IFERROR(J26-I26,"n.a.")</f>
        <v>-5</v>
      </c>
      <c r="K28" s="14"/>
    </row>
    <row r="29">
      <c r="A29" s="1"/>
      <c r="B29" s="20" t="s">
        <v>136</v>
      </c>
      <c r="C29" s="16">
        <f>C20+C26</f>
        <v>484</v>
      </c>
      <c r="D29" s="16">
        <f>D20+D26</f>
        <v>519</v>
      </c>
      <c r="E29" s="16">
        <f>E20+E26</f>
        <v>522</v>
      </c>
      <c r="F29" s="16">
        <f>F20+F26</f>
        <v>539</v>
      </c>
      <c r="G29" s="16">
        <f>SUM(C29:F29)</f>
        <v>2064</v>
      </c>
      <c r="H29" s="16">
        <f>H20+H26</f>
        <v>530</v>
      </c>
      <c r="I29" s="16">
        <f>I20+I26</f>
        <v>558</v>
      </c>
      <c r="J29" s="65">
        <f>J20+J26</f>
        <v>566.2053400547945</v>
      </c>
      <c r="K29" s="14"/>
    </row>
    <row r="30">
      <c r="A30" s="1"/>
      <c r="B30" s="37" t="s">
        <v>63</v>
      </c>
      <c r="C30" s="25" t="s">
        <v>64</v>
      </c>
      <c r="D30" s="25" t="s">
        <v>64</v>
      </c>
      <c r="E30" s="25" t="s">
        <v>64</v>
      </c>
      <c r="F30" s="25" t="s">
        <v>64</v>
      </c>
      <c r="G30" s="25" t="s">
        <v>64</v>
      </c>
      <c r="H30" s="25">
        <f>IFERROR(H29/C29-1,"n.a.")</f>
        <v>0.0950413223140496</v>
      </c>
      <c r="I30" s="25">
        <f>IFERROR(I29/D29-1,"n.a.")</f>
        <v>0.07514450867052025</v>
      </c>
      <c r="J30" s="51">
        <f>IFERROR(J29/E29-1,"n.a.")</f>
        <v>0.08468455949194365</v>
      </c>
      <c r="K30" s="14"/>
    </row>
    <row r="31">
      <c r="A31" s="1"/>
      <c r="B31" s="37" t="s">
        <v>65</v>
      </c>
      <c r="C31" s="25" t="s">
        <v>64</v>
      </c>
      <c r="D31" s="25">
        <f>IFERROR(D29/C29-1,"n.a.")</f>
        <v>0.0723140495867769</v>
      </c>
      <c r="E31" s="25">
        <f>IFERROR(E29/D29-1,"n.a.")</f>
        <v>0.005780346820809301</v>
      </c>
      <c r="F31" s="25">
        <f>IFERROR(F29/E29-1,"n.a.")</f>
        <v>0.03256704980842917</v>
      </c>
      <c r="G31" s="25" t="s">
        <v>64</v>
      </c>
      <c r="H31" s="25">
        <f>IFERROR(H29/F29-1,"n.a.")</f>
        <v>-0.016697588126159513</v>
      </c>
      <c r="I31" s="25">
        <f>IFERROR(I29/H29-1,"n.a.")</f>
        <v>0.05283018867924527</v>
      </c>
      <c r="J31" s="51">
        <f>IFERROR(J29/I29-1,"n.a.")</f>
        <v>0.014704910492463252</v>
      </c>
      <c r="K31" s="14"/>
    </row>
    <row r="32">
      <c r="A32" s="1"/>
      <c r="B32" s="48" t="s">
        <v>78</v>
      </c>
      <c r="C32" s="2" t="s">
        <v>64</v>
      </c>
      <c r="D32" s="2">
        <f>IFERROR(D29-C29,"n.a.")</f>
        <v>35</v>
      </c>
      <c r="E32" s="2">
        <f>IFERROR(E29-D29,"n.a.")</f>
        <v>3</v>
      </c>
      <c r="F32" s="2">
        <f>IFERROR(F29-E29,"n.a.")</f>
        <v>17</v>
      </c>
      <c r="G32" s="2" t="s">
        <v>64</v>
      </c>
      <c r="H32" s="2">
        <f>IFERROR(H29-F29,"n.a.")</f>
        <v>-9</v>
      </c>
      <c r="I32" s="2">
        <f>IFERROR(I29-H29,"n.a.")</f>
        <v>28</v>
      </c>
      <c r="J32" s="26">
        <f>IFERROR(J29-I29,"n.a.")</f>
        <v>8.205340054794533</v>
      </c>
      <c r="K32" s="14"/>
    </row>
    <row r="33">
      <c r="A33" s="1"/>
      <c r="B33" s="18"/>
      <c r="C33" s="19"/>
      <c r="D33" s="19"/>
      <c r="E33" s="19"/>
      <c r="F33" s="19"/>
      <c r="G33" s="19"/>
      <c r="H33" s="19"/>
      <c r="I33" s="19"/>
      <c r="J33" s="27"/>
      <c r="K33" s="14"/>
    </row>
    <row r="34">
      <c r="A34" s="1"/>
      <c r="B34" s="20" t="s">
        <v>211</v>
      </c>
      <c r="C34" s="32"/>
      <c r="D34" s="32"/>
      <c r="E34" s="32"/>
      <c r="F34" s="32"/>
      <c r="G34" s="32"/>
      <c r="H34" s="32"/>
      <c r="I34" s="32"/>
      <c r="J34" s="28"/>
      <c r="K34" s="14"/>
    </row>
    <row r="35" ht="14.624267578125">
      <c r="A35" s="1"/>
      <c r="B35" s="67" t="s">
        <v>212</v>
      </c>
      <c r="C35" s="25" t="s">
        <v>64</v>
      </c>
      <c r="D35" s="25" t="s">
        <v>64</v>
      </c>
      <c r="E35" s="25" t="s">
        <v>64</v>
      </c>
      <c r="F35" s="25" t="s">
        <v>64</v>
      </c>
      <c r="G35" s="25" t="s">
        <v>64</v>
      </c>
      <c r="H35" s="25" t="s">
        <v>64</v>
      </c>
      <c r="I35" s="25" t="s">
        <v>64</v>
      </c>
      <c r="J35" s="51">
        <f>I36/I29</f>
        <v>0.17204301075268819</v>
      </c>
      <c r="K35" s="14" t="s">
        <v>139</v>
      </c>
    </row>
    <row r="36">
      <c r="A36" s="1"/>
      <c r="B36" s="79" t="s">
        <v>213</v>
      </c>
      <c r="C36" s="24">
        <v>80</v>
      </c>
      <c r="D36" s="24">
        <v>90</v>
      </c>
      <c r="E36" s="24">
        <v>90</v>
      </c>
      <c r="F36" s="24">
        <v>97</v>
      </c>
      <c r="G36" s="2">
        <f>SUM(C36:F36)</f>
        <v>357</v>
      </c>
      <c r="H36" s="24">
        <v>89</v>
      </c>
      <c r="I36" s="24">
        <v>96</v>
      </c>
      <c r="J36" s="26">
        <f>J29*J35</f>
        <v>97.41167140727649</v>
      </c>
      <c r="K36" s="14" t="s">
        <v>128</v>
      </c>
    </row>
    <row r="37">
      <c r="A37" s="1"/>
      <c r="B37" s="37" t="s">
        <v>63</v>
      </c>
      <c r="C37" s="25" t="s">
        <v>64</v>
      </c>
      <c r="D37" s="25" t="s">
        <v>64</v>
      </c>
      <c r="E37" s="25" t="s">
        <v>64</v>
      </c>
      <c r="F37" s="25" t="s">
        <v>64</v>
      </c>
      <c r="G37" s="25" t="s">
        <v>64</v>
      </c>
      <c r="H37" s="25">
        <f>IFERROR(H36/C36-1,"n.a.")</f>
        <v>0.11250000000000004</v>
      </c>
      <c r="I37" s="25">
        <f>IFERROR(I36/D36-1,"n.a.")</f>
        <v>0.06666666666666665</v>
      </c>
      <c r="J37" s="51">
        <f>IFERROR(J36/E36-1,"n.a.")</f>
        <v>0.08235190452529428</v>
      </c>
      <c r="K37" s="14"/>
    </row>
    <row r="38">
      <c r="A38" s="1"/>
      <c r="B38" s="48" t="s">
        <v>78</v>
      </c>
      <c r="C38" s="2" t="s">
        <v>64</v>
      </c>
      <c r="D38" s="2">
        <f>IFERROR(D36-C36,"n.a.")</f>
        <v>10</v>
      </c>
      <c r="E38" s="2">
        <f>IFERROR(E36-D36,"n.a.")</f>
        <v>0</v>
      </c>
      <c r="F38" s="2">
        <f>IFERROR(F36-E36,"n.a.")</f>
        <v>7</v>
      </c>
      <c r="G38" s="2" t="s">
        <v>64</v>
      </c>
      <c r="H38" s="2">
        <f>IFERROR(H36-F36,"n.a.")</f>
        <v>-8</v>
      </c>
      <c r="I38" s="2">
        <f>IFERROR(I36-H36,"n.a.")</f>
        <v>7</v>
      </c>
      <c r="J38" s="26">
        <f>IFERROR(J36-I36,"n.a.")</f>
        <v>1.4116714072764864</v>
      </c>
      <c r="K38" s="14"/>
    </row>
    <row r="39">
      <c r="A39" s="1"/>
      <c r="B39" s="79" t="s">
        <v>214</v>
      </c>
      <c r="C39" s="24">
        <v>404</v>
      </c>
      <c r="D39" s="24">
        <v>429</v>
      </c>
      <c r="E39" s="24">
        <v>432</v>
      </c>
      <c r="F39" s="24">
        <v>442</v>
      </c>
      <c r="G39" s="2">
        <f>SUM(C39:F39)</f>
        <v>1707</v>
      </c>
      <c r="H39" s="24">
        <v>441</v>
      </c>
      <c r="I39" s="24">
        <v>462</v>
      </c>
      <c r="J39" s="26">
        <f>J29-J36</f>
        <v>468.7936686475181</v>
      </c>
      <c r="K39" s="14" t="s">
        <v>128</v>
      </c>
    </row>
    <row r="40">
      <c r="A40" s="1"/>
      <c r="B40" s="37" t="s">
        <v>63</v>
      </c>
      <c r="C40" s="25" t="s">
        <v>64</v>
      </c>
      <c r="D40" s="25" t="s">
        <v>64</v>
      </c>
      <c r="E40" s="25" t="s">
        <v>64</v>
      </c>
      <c r="F40" s="25" t="s">
        <v>64</v>
      </c>
      <c r="G40" s="25" t="s">
        <v>64</v>
      </c>
      <c r="H40" s="25">
        <f>IFERROR(H39/C39-1,"n.a.")</f>
        <v>0.09158415841584167</v>
      </c>
      <c r="I40" s="25">
        <f>IFERROR(I39/D39-1,"n.a.")</f>
        <v>0.07692307692307687</v>
      </c>
      <c r="J40" s="51">
        <f>IFERROR(J39/E39-1,"n.a.")</f>
        <v>0.08517052927666224</v>
      </c>
      <c r="K40" s="14"/>
    </row>
    <row r="41">
      <c r="A41" s="1"/>
      <c r="B41" s="48" t="s">
        <v>78</v>
      </c>
      <c r="C41" s="2" t="s">
        <v>64</v>
      </c>
      <c r="D41" s="2">
        <f>IFERROR(D39-C39,"n.a.")</f>
        <v>25</v>
      </c>
      <c r="E41" s="2">
        <f>IFERROR(E39-D39,"n.a.")</f>
        <v>3</v>
      </c>
      <c r="F41" s="2">
        <f>IFERROR(F39-E39,"n.a.")</f>
        <v>10</v>
      </c>
      <c r="G41" s="2" t="s">
        <v>64</v>
      </c>
      <c r="H41" s="2">
        <f>IFERROR(H39-F39,"n.a.")</f>
        <v>-1</v>
      </c>
      <c r="I41" s="2">
        <f>IFERROR(I39-H39,"n.a.")</f>
        <v>21</v>
      </c>
      <c r="J41" s="26">
        <f>IFERROR(J39-I39,"n.a.")</f>
        <v>6.793668647518075</v>
      </c>
      <c r="K41" s="14"/>
    </row>
    <row r="42">
      <c r="A42" s="1"/>
      <c r="B42" s="20" t="s">
        <v>215</v>
      </c>
      <c r="C42" s="16">
        <f>C36+C39</f>
        <v>484</v>
      </c>
      <c r="D42" s="16">
        <f>D36+D39</f>
        <v>519</v>
      </c>
      <c r="E42" s="16">
        <f>E36+E39</f>
        <v>522</v>
      </c>
      <c r="F42" s="16">
        <f>F36+F39</f>
        <v>539</v>
      </c>
      <c r="G42" s="16">
        <f>SUM(C42:F42)</f>
        <v>2064</v>
      </c>
      <c r="H42" s="16">
        <f>H36+H39</f>
        <v>530</v>
      </c>
      <c r="I42" s="16">
        <f>I36+I39</f>
        <v>558</v>
      </c>
      <c r="J42" s="65">
        <f>J36+J39</f>
        <v>566.2053400547945</v>
      </c>
      <c r="K42" s="14"/>
    </row>
    <row r="43" ht="14.624267578125">
      <c r="A43" s="1"/>
      <c r="B43" s="63" t="s">
        <v>216</v>
      </c>
      <c r="C43" s="2">
        <f>C42-C29</f>
        <v>0</v>
      </c>
      <c r="D43" s="2">
        <f>D42-D29</f>
        <v>0</v>
      </c>
      <c r="E43" s="2">
        <f>E42-E29</f>
        <v>0</v>
      </c>
      <c r="F43" s="2">
        <f>F42-F29</f>
        <v>0</v>
      </c>
      <c r="G43" s="2">
        <f>G42-G29</f>
        <v>0</v>
      </c>
      <c r="H43" s="2">
        <f>H42-H29</f>
        <v>0</v>
      </c>
      <c r="I43" s="2">
        <f>I42-I29</f>
        <v>0</v>
      </c>
      <c r="J43" s="26">
        <f>J42-J29</f>
        <v>0</v>
      </c>
      <c r="K43" s="14" t="s">
        <v>217</v>
      </c>
    </row>
    <row r="44">
      <c r="A44" s="1"/>
      <c r="B44" s="18"/>
      <c r="C44" s="19"/>
      <c r="D44" s="19"/>
      <c r="E44" s="19"/>
      <c r="F44" s="19"/>
      <c r="G44" s="19"/>
      <c r="H44" s="19"/>
      <c r="I44" s="19"/>
      <c r="J44" s="27"/>
      <c r="K44" s="14"/>
    </row>
    <row r="45">
      <c r="A45" s="1"/>
      <c r="B45" s="20" t="s">
        <v>145</v>
      </c>
      <c r="C45" s="32"/>
      <c r="D45" s="32"/>
      <c r="E45" s="32"/>
      <c r="F45" s="32"/>
      <c r="G45" s="32"/>
      <c r="H45" s="32"/>
      <c r="I45" s="32"/>
      <c r="J45" s="28"/>
      <c r="K45" s="14"/>
    </row>
    <row r="46" ht="14.624267578125">
      <c r="A46" s="1"/>
      <c r="B46" s="63" t="s">
        <v>146</v>
      </c>
      <c r="C46" s="2" t="s">
        <v>64</v>
      </c>
      <c r="D46" s="2" t="s">
        <v>64</v>
      </c>
      <c r="E46" s="2" t="s">
        <v>64</v>
      </c>
      <c r="F46" s="2" t="s">
        <v>64</v>
      </c>
      <c r="G46" s="2" t="s">
        <v>64</v>
      </c>
      <c r="H46" s="2" t="s">
        <v>64</v>
      </c>
      <c r="I46" s="2" t="s">
        <v>64</v>
      </c>
      <c r="J46" s="39">
        <v>-245</v>
      </c>
      <c r="K46" s="14" t="s">
        <v>218</v>
      </c>
    </row>
    <row r="47" ht="14.624267578125">
      <c r="A47" s="1"/>
      <c r="B47" s="63" t="s">
        <v>148</v>
      </c>
      <c r="C47" s="2" t="s">
        <v>64</v>
      </c>
      <c r="D47" s="2" t="s">
        <v>64</v>
      </c>
      <c r="E47" s="2" t="s">
        <v>64</v>
      </c>
      <c r="F47" s="2" t="s">
        <v>64</v>
      </c>
      <c r="G47" s="2" t="s">
        <v>64</v>
      </c>
      <c r="H47" s="2" t="s">
        <v>64</v>
      </c>
      <c r="I47" s="2" t="s">
        <v>64</v>
      </c>
      <c r="J47" s="39">
        <v>-15</v>
      </c>
      <c r="K47" s="14" t="s">
        <v>149</v>
      </c>
    </row>
    <row r="48">
      <c r="A48" s="1"/>
      <c r="B48" s="18" t="s">
        <v>150</v>
      </c>
      <c r="C48" s="24">
        <v>-234</v>
      </c>
      <c r="D48" s="24">
        <v>-240</v>
      </c>
      <c r="E48" s="24">
        <v>-243</v>
      </c>
      <c r="F48" s="24">
        <v>-272</v>
      </c>
      <c r="G48" s="2">
        <f>SUM(C48:F48)</f>
        <v>-989</v>
      </c>
      <c r="H48" s="24">
        <v>-239</v>
      </c>
      <c r="I48" s="24">
        <v>-249</v>
      </c>
      <c r="J48" s="26">
        <f>J46+J47</f>
        <v>-260</v>
      </c>
      <c r="K48" s="14" t="s">
        <v>128</v>
      </c>
    </row>
    <row r="49">
      <c r="A49" s="1"/>
      <c r="B49" s="37" t="s">
        <v>63</v>
      </c>
      <c r="C49" s="25" t="s">
        <v>64</v>
      </c>
      <c r="D49" s="25" t="s">
        <v>64</v>
      </c>
      <c r="E49" s="25" t="s">
        <v>64</v>
      </c>
      <c r="F49" s="25" t="s">
        <v>64</v>
      </c>
      <c r="G49" s="25" t="s">
        <v>64</v>
      </c>
      <c r="H49" s="25">
        <f>IFERROR(H48/C48-1,"n.a.")</f>
        <v>0.02136752136752129</v>
      </c>
      <c r="I49" s="25">
        <f>IFERROR(I48/D48-1,"n.a.")</f>
        <v>0.03750000000000009</v>
      </c>
      <c r="J49" s="51">
        <f>IFERROR(J48/E48-1,"n.a.")</f>
        <v>0.06995884773662553</v>
      </c>
      <c r="K49" s="14"/>
    </row>
    <row r="50">
      <c r="A50" s="1"/>
      <c r="B50" s="48" t="s">
        <v>78</v>
      </c>
      <c r="C50" s="2" t="s">
        <v>64</v>
      </c>
      <c r="D50" s="2">
        <f>IFERROR(D48-C48,"n.a.")</f>
        <v>-6</v>
      </c>
      <c r="E50" s="2">
        <f>IFERROR(E48-D48,"n.a.")</f>
        <v>-3</v>
      </c>
      <c r="F50" s="2">
        <f>IFERROR(F48-E48,"n.a.")</f>
        <v>-29</v>
      </c>
      <c r="G50" s="2" t="s">
        <v>64</v>
      </c>
      <c r="H50" s="2">
        <f>IFERROR(H48-F48,"n.a.")</f>
        <v>33</v>
      </c>
      <c r="I50" s="2">
        <f>IFERROR(I48-H48,"n.a.")</f>
        <v>-10</v>
      </c>
      <c r="J50" s="26">
        <f>IFERROR(J48-I48,"n.a.")</f>
        <v>-11</v>
      </c>
      <c r="K50" s="14"/>
    </row>
    <row r="51">
      <c r="A51" s="1"/>
      <c r="B51" s="18" t="s">
        <v>151</v>
      </c>
      <c r="C51" s="24">
        <v>-24</v>
      </c>
      <c r="D51" s="24">
        <v>0</v>
      </c>
      <c r="E51" s="24">
        <v>9</v>
      </c>
      <c r="F51" s="24">
        <v>-14</v>
      </c>
      <c r="G51" s="2">
        <f>SUM(C51:F51)</f>
        <v>-29</v>
      </c>
      <c r="H51" s="24">
        <v>-15</v>
      </c>
      <c r="I51" s="24">
        <v>0</v>
      </c>
      <c r="J51" s="39">
        <v>0</v>
      </c>
      <c r="K51" s="14" t="s">
        <v>152</v>
      </c>
    </row>
    <row r="52">
      <c r="A52" s="1"/>
      <c r="B52" s="18" t="s">
        <v>153</v>
      </c>
      <c r="C52" s="24">
        <v>0</v>
      </c>
      <c r="D52" s="24">
        <v>-39</v>
      </c>
      <c r="E52" s="24">
        <v>0</v>
      </c>
      <c r="F52" s="24">
        <v>0</v>
      </c>
      <c r="G52" s="2">
        <f>SUM(C52:F52)</f>
        <v>-39</v>
      </c>
      <c r="H52" s="24">
        <v>0</v>
      </c>
      <c r="I52" s="24">
        <v>0</v>
      </c>
      <c r="J52" s="39">
        <v>0</v>
      </c>
      <c r="K52" s="14" t="s">
        <v>154</v>
      </c>
    </row>
    <row r="53">
      <c r="A53" s="1"/>
      <c r="B53" s="20" t="s">
        <v>155</v>
      </c>
      <c r="C53" s="16">
        <f>C48+C51+C52</f>
        <v>-258</v>
      </c>
      <c r="D53" s="16">
        <f>D48+D51+D52</f>
        <v>-279</v>
      </c>
      <c r="E53" s="16">
        <f>E48+E51+E52</f>
        <v>-234</v>
      </c>
      <c r="F53" s="16">
        <f>F48+F51+F52</f>
        <v>-286</v>
      </c>
      <c r="G53" s="16">
        <f>SUM(C53:F53)</f>
        <v>-1057</v>
      </c>
      <c r="H53" s="16">
        <f>H48+H51+H52</f>
        <v>-254</v>
      </c>
      <c r="I53" s="16">
        <f>I48+I51+I52</f>
        <v>-249</v>
      </c>
      <c r="J53" s="65">
        <f>J48+J51+J52</f>
        <v>-260</v>
      </c>
      <c r="K53" s="14"/>
    </row>
    <row r="54">
      <c r="A54" s="1"/>
      <c r="B54" s="37" t="s">
        <v>63</v>
      </c>
      <c r="C54" s="25" t="s">
        <v>64</v>
      </c>
      <c r="D54" s="25" t="s">
        <v>64</v>
      </c>
      <c r="E54" s="25" t="s">
        <v>64</v>
      </c>
      <c r="F54" s="25" t="s">
        <v>64</v>
      </c>
      <c r="G54" s="25" t="s">
        <v>64</v>
      </c>
      <c r="H54" s="25">
        <f>IFERROR(H53/C53-1,"n.a.")</f>
        <v>-0.015503875968992276</v>
      </c>
      <c r="I54" s="25">
        <f>IFERROR(I53/D53-1,"n.a.")</f>
        <v>-0.10752688172043012</v>
      </c>
      <c r="J54" s="51">
        <f>IFERROR(J53/E53-1,"n.a.")</f>
        <v>0.11111111111111116</v>
      </c>
      <c r="K54" s="14"/>
    </row>
    <row r="55">
      <c r="A55" s="1"/>
      <c r="B55" s="48" t="s">
        <v>78</v>
      </c>
      <c r="C55" s="2" t="s">
        <v>64</v>
      </c>
      <c r="D55" s="2">
        <f>IFERROR(D53-C53,"n.a.")</f>
        <v>-21</v>
      </c>
      <c r="E55" s="2">
        <f>IFERROR(E53-D53,"n.a.")</f>
        <v>45</v>
      </c>
      <c r="F55" s="2">
        <f>IFERROR(F53-E53,"n.a.")</f>
        <v>-52</v>
      </c>
      <c r="G55" s="2" t="s">
        <v>64</v>
      </c>
      <c r="H55" s="2">
        <f>IFERROR(H53-F53,"n.a.")</f>
        <v>32</v>
      </c>
      <c r="I55" s="2">
        <f>IFERROR(I53-H53,"n.a.")</f>
        <v>5</v>
      </c>
      <c r="J55" s="26">
        <f>IFERROR(J53-I53,"n.a.")</f>
        <v>-11</v>
      </c>
      <c r="K55" s="14"/>
    </row>
    <row r="56">
      <c r="A56" s="1"/>
      <c r="B56" s="18" t="s">
        <v>156</v>
      </c>
      <c r="C56" s="24">
        <v>0</v>
      </c>
      <c r="D56" s="24">
        <v>0</v>
      </c>
      <c r="E56" s="24">
        <v>0</v>
      </c>
      <c r="F56" s="24">
        <v>0</v>
      </c>
      <c r="G56" s="2">
        <f>SUM(C56:F56)</f>
        <v>0</v>
      </c>
      <c r="H56" s="24">
        <v>0</v>
      </c>
      <c r="I56" s="24">
        <v>0</v>
      </c>
      <c r="J56" s="39">
        <v>0</v>
      </c>
      <c r="K56" s="14"/>
    </row>
    <row r="57">
      <c r="A57" s="1"/>
      <c r="B57" s="20" t="s">
        <v>157</v>
      </c>
      <c r="C57" s="16">
        <f>C29+C53+C56</f>
        <v>226</v>
      </c>
      <c r="D57" s="16">
        <f>D29+D53+D56</f>
        <v>240</v>
      </c>
      <c r="E57" s="16">
        <f>E29+E53+E56</f>
        <v>288</v>
      </c>
      <c r="F57" s="16">
        <f>F29+F53+F56</f>
        <v>253</v>
      </c>
      <c r="G57" s="16">
        <f>SUM(C57:F57)</f>
        <v>1007</v>
      </c>
      <c r="H57" s="16">
        <f>H29+H53+H56</f>
        <v>276</v>
      </c>
      <c r="I57" s="16">
        <f>I29+I53+I56</f>
        <v>309</v>
      </c>
      <c r="J57" s="65">
        <f>J29+J53+J56</f>
        <v>306.20534005479453</v>
      </c>
      <c r="K57" s="14"/>
    </row>
    <row r="58">
      <c r="A58" s="1"/>
      <c r="B58" s="37" t="s">
        <v>63</v>
      </c>
      <c r="C58" s="25" t="s">
        <v>64</v>
      </c>
      <c r="D58" s="25" t="s">
        <v>64</v>
      </c>
      <c r="E58" s="25" t="s">
        <v>64</v>
      </c>
      <c r="F58" s="25" t="s">
        <v>64</v>
      </c>
      <c r="G58" s="25" t="s">
        <v>64</v>
      </c>
      <c r="H58" s="25">
        <f>IFERROR(H57/C57-1,"n.a.")</f>
        <v>0.22123893805309724</v>
      </c>
      <c r="I58" s="25">
        <f>IFERROR(I57/D57-1,"n.a.")</f>
        <v>0.2875000000000001</v>
      </c>
      <c r="J58" s="51">
        <f>IFERROR(J57/E57-1,"n.a.")</f>
        <v>0.06321298630136996</v>
      </c>
      <c r="K58" s="14"/>
    </row>
    <row r="59">
      <c r="A59" s="1"/>
      <c r="B59" s="48" t="s">
        <v>78</v>
      </c>
      <c r="C59" s="2" t="s">
        <v>64</v>
      </c>
      <c r="D59" s="2">
        <f>IFERROR(D57-C57,"n.a.")</f>
        <v>14</v>
      </c>
      <c r="E59" s="2">
        <f>IFERROR(E57-D57,"n.a.")</f>
        <v>48</v>
      </c>
      <c r="F59" s="2">
        <f>IFERROR(F57-E57,"n.a.")</f>
        <v>-35</v>
      </c>
      <c r="G59" s="2" t="s">
        <v>64</v>
      </c>
      <c r="H59" s="2">
        <f>IFERROR(H57-F57,"n.a.")</f>
        <v>23</v>
      </c>
      <c r="I59" s="2">
        <f>IFERROR(I57-H57,"n.a.")</f>
        <v>33</v>
      </c>
      <c r="J59" s="26">
        <f>IFERROR(J57-I57,"n.a.")</f>
        <v>-2.794659945205467</v>
      </c>
      <c r="K59" s="14"/>
    </row>
    <row r="60">
      <c r="A60" s="1"/>
      <c r="B60" s="18"/>
      <c r="C60" s="19"/>
      <c r="D60" s="19"/>
      <c r="E60" s="19"/>
      <c r="F60" s="19"/>
      <c r="G60" s="19"/>
      <c r="H60" s="19"/>
      <c r="I60" s="19"/>
      <c r="J60" s="27"/>
      <c r="K60" s="14"/>
    </row>
    <row r="61">
      <c r="A61" s="1"/>
      <c r="B61" s="20" t="s">
        <v>158</v>
      </c>
      <c r="C61" s="32"/>
      <c r="D61" s="32"/>
      <c r="E61" s="32"/>
      <c r="F61" s="32"/>
      <c r="G61" s="32"/>
      <c r="H61" s="32"/>
      <c r="I61" s="32"/>
      <c r="J61" s="28"/>
      <c r="K61" s="14"/>
    </row>
    <row r="62" ht="14.624267578125">
      <c r="A62" s="1"/>
      <c r="B62" s="63" t="s">
        <v>219</v>
      </c>
      <c r="C62" s="45" t="s">
        <v>64</v>
      </c>
      <c r="D62" s="45" t="s">
        <v>64</v>
      </c>
      <c r="E62" s="45" t="s">
        <v>64</v>
      </c>
      <c r="F62" s="45" t="s">
        <v>64</v>
      </c>
      <c r="G62" s="45" t="s">
        <v>64</v>
      </c>
      <c r="H62" s="45" t="s">
        <v>64</v>
      </c>
      <c r="I62" s="45" t="s">
        <v>64</v>
      </c>
      <c r="J62" s="90">
        <v>0.0015</v>
      </c>
      <c r="K62" s="14" t="s">
        <v>220</v>
      </c>
    </row>
    <row r="63" ht="14.624267578125">
      <c r="A63" s="1"/>
      <c r="B63" s="46" t="s">
        <v>221</v>
      </c>
      <c r="C63" s="62">
        <v>-19</v>
      </c>
      <c r="D63" s="62">
        <v>-12</v>
      </c>
      <c r="E63" s="62">
        <v>-5</v>
      </c>
      <c r="F63" s="62">
        <v>-1</v>
      </c>
      <c r="G63" s="38">
        <f>SUM(C63:F63)</f>
        <v>-37</v>
      </c>
      <c r="H63" s="62">
        <v>-3</v>
      </c>
      <c r="I63" s="62">
        <v>-16</v>
      </c>
      <c r="J63" s="23">
        <f>-J81*1000*J62*J$7/365</f>
        <v>-11.952312328767123</v>
      </c>
      <c r="K63" s="14" t="s">
        <v>128</v>
      </c>
    </row>
    <row r="64">
      <c r="A64" s="1"/>
      <c r="B64" s="37" t="s">
        <v>63</v>
      </c>
      <c r="C64" s="25" t="s">
        <v>64</v>
      </c>
      <c r="D64" s="25" t="s">
        <v>64</v>
      </c>
      <c r="E64" s="25" t="s">
        <v>64</v>
      </c>
      <c r="F64" s="25" t="s">
        <v>64</v>
      </c>
      <c r="G64" s="25" t="s">
        <v>64</v>
      </c>
      <c r="H64" s="25">
        <f>IFERROR(H63/C63-1,"n.a.")</f>
        <v>-0.8421052631578947</v>
      </c>
      <c r="I64" s="25">
        <f>IFERROR(I63/D63-1,"n.a.")</f>
        <v>0.33333333333333326</v>
      </c>
      <c r="J64" s="51">
        <f>IFERROR(J63/E63-1,"n.a.")</f>
        <v>1.3904624657534246</v>
      </c>
      <c r="K64" s="14"/>
    </row>
    <row r="65">
      <c r="A65" s="1"/>
      <c r="B65" s="48" t="s">
        <v>78</v>
      </c>
      <c r="C65" s="2" t="s">
        <v>64</v>
      </c>
      <c r="D65" s="2">
        <f>IFERROR(D63-C63,"n.a.")</f>
        <v>7</v>
      </c>
      <c r="E65" s="2">
        <f>IFERROR(E63-D63,"n.a.")</f>
        <v>7</v>
      </c>
      <c r="F65" s="2">
        <f>IFERROR(F63-E63,"n.a.")</f>
        <v>4</v>
      </c>
      <c r="G65" s="2" t="s">
        <v>64</v>
      </c>
      <c r="H65" s="2">
        <f>IFERROR(H63-F63,"n.a.")</f>
        <v>-2</v>
      </c>
      <c r="I65" s="2">
        <f>IFERROR(I63-H63,"n.a.")</f>
        <v>-13</v>
      </c>
      <c r="J65" s="26">
        <f>IFERROR(J63-I63,"n.a.")</f>
        <v>4.047687671232877</v>
      </c>
      <c r="K65" s="14"/>
    </row>
    <row r="66">
      <c r="A66" s="1"/>
      <c r="B66" s="20" t="s">
        <v>165</v>
      </c>
      <c r="C66" s="16">
        <f>C57+C63</f>
        <v>207</v>
      </c>
      <c r="D66" s="16">
        <f>D57+D63</f>
        <v>228</v>
      </c>
      <c r="E66" s="16">
        <f>E57+E63</f>
        <v>283</v>
      </c>
      <c r="F66" s="16">
        <f>F57+F63</f>
        <v>252</v>
      </c>
      <c r="G66" s="16">
        <f>SUM(C66:F66)</f>
        <v>970</v>
      </c>
      <c r="H66" s="16">
        <f>H57+H63</f>
        <v>273</v>
      </c>
      <c r="I66" s="16">
        <f>I57+I63</f>
        <v>293</v>
      </c>
      <c r="J66" s="65">
        <f>J57+J63</f>
        <v>294.2530277260274</v>
      </c>
      <c r="K66" s="14"/>
    </row>
    <row r="67">
      <c r="A67" s="1"/>
      <c r="B67" s="37" t="s">
        <v>63</v>
      </c>
      <c r="C67" s="25" t="s">
        <v>64</v>
      </c>
      <c r="D67" s="25" t="s">
        <v>64</v>
      </c>
      <c r="E67" s="25" t="s">
        <v>64</v>
      </c>
      <c r="F67" s="25" t="s">
        <v>64</v>
      </c>
      <c r="G67" s="25" t="s">
        <v>64</v>
      </c>
      <c r="H67" s="25">
        <f>IFERROR(H66/C66-1,"n.a.")</f>
        <v>0.318840579710145</v>
      </c>
      <c r="I67" s="25">
        <f>IFERROR(I66/D66-1,"n.a.")</f>
        <v>0.2850877192982457</v>
      </c>
      <c r="J67" s="51">
        <f>IFERROR(J66/E66-1,"n.a.")</f>
        <v>0.03976334885522048</v>
      </c>
      <c r="K67" s="14"/>
    </row>
    <row r="68">
      <c r="A68" s="1"/>
      <c r="B68" s="48" t="s">
        <v>78</v>
      </c>
      <c r="C68" s="2" t="s">
        <v>64</v>
      </c>
      <c r="D68" s="2">
        <f>IFERROR(D66-C66,"n.a.")</f>
        <v>21</v>
      </c>
      <c r="E68" s="2">
        <f>IFERROR(E66-D66,"n.a.")</f>
        <v>55</v>
      </c>
      <c r="F68" s="2">
        <f>IFERROR(F66-E66,"n.a.")</f>
        <v>-31</v>
      </c>
      <c r="G68" s="2" t="s">
        <v>64</v>
      </c>
      <c r="H68" s="2">
        <f>IFERROR(H66-F66,"n.a.")</f>
        <v>21</v>
      </c>
      <c r="I68" s="2">
        <f>IFERROR(I66-H66,"n.a.")</f>
        <v>20</v>
      </c>
      <c r="J68" s="26">
        <f>IFERROR(J66-I66,"n.a.")</f>
        <v>1.253027726027426</v>
      </c>
      <c r="K68" s="14"/>
    </row>
    <row r="69" ht="14.624267578125">
      <c r="A69" s="1"/>
      <c r="B69" s="63" t="s">
        <v>166</v>
      </c>
      <c r="C69" s="24">
        <v>207</v>
      </c>
      <c r="D69" s="24">
        <v>228</v>
      </c>
      <c r="E69" s="24">
        <v>283</v>
      </c>
      <c r="F69" s="24">
        <v>252</v>
      </c>
      <c r="G69" s="2">
        <f>SUM(C69:F69)</f>
        <v>970</v>
      </c>
      <c r="H69" s="24">
        <v>273</v>
      </c>
      <c r="I69" s="24">
        <v>293</v>
      </c>
      <c r="J69" s="26" t="s">
        <v>64</v>
      </c>
      <c r="K69" s="14" t="s">
        <v>128</v>
      </c>
    </row>
    <row r="70" ht="14.624267578125">
      <c r="A70" s="1"/>
      <c r="B70" s="63" t="s">
        <v>167</v>
      </c>
      <c r="C70" s="2">
        <f>C66-C69</f>
        <v>0</v>
      </c>
      <c r="D70" s="2">
        <f>D66-D69</f>
        <v>0</v>
      </c>
      <c r="E70" s="2">
        <f>E66-E69</f>
        <v>0</v>
      </c>
      <c r="F70" s="2">
        <f>F66-F69</f>
        <v>0</v>
      </c>
      <c r="G70" s="2">
        <f>G66-G69</f>
        <v>0</v>
      </c>
      <c r="H70" s="2">
        <f>H66-H69</f>
        <v>0</v>
      </c>
      <c r="I70" s="2">
        <f>I66-I69</f>
        <v>0</v>
      </c>
      <c r="J70" s="26" t="s">
        <v>64</v>
      </c>
      <c r="K70" s="14"/>
    </row>
    <row r="71">
      <c r="A71" s="1"/>
      <c r="B71" s="18" t="s">
        <v>168</v>
      </c>
      <c r="C71" s="24">
        <v>142</v>
      </c>
      <c r="D71" s="24">
        <v>142</v>
      </c>
      <c r="E71" s="24">
        <v>196</v>
      </c>
      <c r="F71" s="24">
        <v>168</v>
      </c>
      <c r="G71" s="2">
        <f>SUM(C71:F71)</f>
        <v>648</v>
      </c>
      <c r="H71" s="24">
        <v>187</v>
      </c>
      <c r="I71" s="24">
        <v>201</v>
      </c>
      <c r="J71" s="26" t="s">
        <v>169</v>
      </c>
      <c r="K71" s="14" t="s">
        <v>170</v>
      </c>
    </row>
    <row r="72">
      <c r="A72" s="1"/>
      <c r="B72" s="37" t="s">
        <v>63</v>
      </c>
      <c r="C72" s="25" t="s">
        <v>64</v>
      </c>
      <c r="D72" s="25" t="s">
        <v>64</v>
      </c>
      <c r="E72" s="25" t="s">
        <v>64</v>
      </c>
      <c r="F72" s="25" t="s">
        <v>64</v>
      </c>
      <c r="G72" s="25" t="s">
        <v>64</v>
      </c>
      <c r="H72" s="25">
        <f>IFERROR(H71/C71-1,"n.a.")</f>
        <v>0.31690140845070425</v>
      </c>
      <c r="I72" s="25">
        <f>IFERROR(I71/D71-1,"n.a.")</f>
        <v>0.41549295774647876</v>
      </c>
      <c r="J72" s="51" t="str">
        <f>IFERROR(J71/E71-1,"n.a.")</f>
        <v>n.a.</v>
      </c>
      <c r="K72" s="14"/>
    </row>
    <row r="73">
      <c r="A73" s="1"/>
      <c r="B73" s="18"/>
      <c r="C73" s="19"/>
      <c r="D73" s="19"/>
      <c r="E73" s="19"/>
      <c r="F73" s="19"/>
      <c r="G73" s="19"/>
      <c r="H73" s="19"/>
      <c r="I73" s="19"/>
      <c r="J73" s="27"/>
      <c r="K73" s="14"/>
    </row>
    <row r="74">
      <c r="A74" s="1"/>
      <c r="B74" s="20" t="s">
        <v>171</v>
      </c>
      <c r="C74" s="32"/>
      <c r="D74" s="32"/>
      <c r="E74" s="32"/>
      <c r="F74" s="32"/>
      <c r="G74" s="32"/>
      <c r="H74" s="32"/>
      <c r="I74" s="32"/>
      <c r="J74" s="28"/>
      <c r="K74" s="14"/>
    </row>
    <row r="75">
      <c r="A75" s="1"/>
      <c r="B75" s="66" t="s">
        <v>222</v>
      </c>
      <c r="C75" s="25" t="s">
        <v>64</v>
      </c>
      <c r="D75" s="25" t="s">
        <v>64</v>
      </c>
      <c r="E75" s="25" t="s">
        <v>64</v>
      </c>
      <c r="F75" s="25" t="s">
        <v>64</v>
      </c>
      <c r="G75" s="25" t="s">
        <v>64</v>
      </c>
      <c r="H75" s="25" t="s">
        <v>64</v>
      </c>
      <c r="I75" s="25" t="s">
        <v>64</v>
      </c>
      <c r="J75" s="85">
        <v>0.02</v>
      </c>
      <c r="K75" s="14" t="s">
        <v>223</v>
      </c>
    </row>
    <row r="76" ht="23.24853515625">
      <c r="A76" s="1"/>
      <c r="B76" s="79" t="s">
        <v>224</v>
      </c>
      <c r="C76" s="2" t="s">
        <v>64</v>
      </c>
      <c r="D76" s="2">
        <f>C78</f>
        <v>26.7</v>
      </c>
      <c r="E76" s="2">
        <f>D78</f>
        <v>27.9</v>
      </c>
      <c r="F76" s="2">
        <f>E78</f>
        <v>29</v>
      </c>
      <c r="G76" s="2" t="s">
        <v>64</v>
      </c>
      <c r="H76" s="2">
        <f>F78</f>
        <v>30</v>
      </c>
      <c r="I76" s="2">
        <f>H78</f>
        <v>30.8</v>
      </c>
      <c r="J76" s="26">
        <f>I78</f>
        <v>31.3</v>
      </c>
      <c r="K76" s="14"/>
    </row>
    <row r="77" ht="14.624267578125">
      <c r="A77" s="1"/>
      <c r="B77" s="63" t="s">
        <v>225</v>
      </c>
      <c r="C77" s="2" t="s">
        <v>64</v>
      </c>
      <c r="D77" s="2">
        <f>D78-D76</f>
        <v>1.1999999999999993</v>
      </c>
      <c r="E77" s="2">
        <f>E78-E76</f>
        <v>1.1000000000000014</v>
      </c>
      <c r="F77" s="2">
        <f>F78-F76</f>
        <v>1</v>
      </c>
      <c r="G77" s="2" t="s">
        <v>64</v>
      </c>
      <c r="H77" s="2">
        <f>H78-H76</f>
        <v>0.8000000000000007</v>
      </c>
      <c r="I77" s="2">
        <f>I78-I76</f>
        <v>0.5</v>
      </c>
      <c r="J77" s="26">
        <f>J78-J76</f>
        <v>0.6260000000000012</v>
      </c>
      <c r="K77" s="14"/>
    </row>
    <row r="78" ht="23.24853515625">
      <c r="A78" s="1"/>
      <c r="B78" s="46" t="s">
        <v>226</v>
      </c>
      <c r="C78" s="62">
        <v>26.7</v>
      </c>
      <c r="D78" s="62">
        <v>27.9</v>
      </c>
      <c r="E78" s="62">
        <v>29</v>
      </c>
      <c r="F78" s="62">
        <v>30</v>
      </c>
      <c r="G78" s="38">
        <f>F78</f>
        <v>30</v>
      </c>
      <c r="H78" s="62">
        <v>30.8</v>
      </c>
      <c r="I78" s="62">
        <v>31.3</v>
      </c>
      <c r="J78" s="23">
        <f>I78*(1+J75)</f>
        <v>31.926000000000002</v>
      </c>
      <c r="K78" s="14" t="s">
        <v>128</v>
      </c>
    </row>
    <row r="79">
      <c r="A79" s="1"/>
      <c r="B79" s="37" t="s">
        <v>63</v>
      </c>
      <c r="C79" s="25" t="s">
        <v>64</v>
      </c>
      <c r="D79" s="25" t="s">
        <v>64</v>
      </c>
      <c r="E79" s="25" t="s">
        <v>64</v>
      </c>
      <c r="F79" s="25" t="s">
        <v>64</v>
      </c>
      <c r="G79" s="25" t="s">
        <v>64</v>
      </c>
      <c r="H79" s="25">
        <f>IFERROR(H78/C78-1,"n.a.")</f>
        <v>0.15355805243445708</v>
      </c>
      <c r="I79" s="25">
        <f>IFERROR(I78/D78-1,"n.a.")</f>
        <v>0.12186379928315416</v>
      </c>
      <c r="J79" s="51">
        <f>IFERROR(J78/E78-1,"n.a.")</f>
        <v>0.10089655172413803</v>
      </c>
      <c r="K79" s="14"/>
    </row>
    <row r="80" ht="14.624267578125">
      <c r="A80" s="1"/>
      <c r="B80" s="48" t="s">
        <v>78</v>
      </c>
      <c r="C80" s="2" t="s">
        <v>64</v>
      </c>
      <c r="D80" s="2">
        <f>IFERROR(D78-C78,"n.a.")</f>
        <v>1.1999999999999993</v>
      </c>
      <c r="E80" s="2">
        <f>IFERROR(E78-D78,"n.a.")</f>
        <v>1.1000000000000014</v>
      </c>
      <c r="F80" s="2">
        <f>IFERROR(F78-E78,"n.a.")</f>
        <v>1</v>
      </c>
      <c r="G80" s="2" t="s">
        <v>64</v>
      </c>
      <c r="H80" s="2">
        <f>IFERROR(H78-F78,"n.a.")</f>
        <v>0.8000000000000007</v>
      </c>
      <c r="I80" s="2">
        <f>IFERROR(I78-H78,"n.a.")</f>
        <v>0.5</v>
      </c>
      <c r="J80" s="26">
        <f>IFERROR(J78-I78,"n.a.")</f>
        <v>0.6260000000000012</v>
      </c>
      <c r="K80" s="14"/>
    </row>
    <row r="81">
      <c r="A81" s="1"/>
      <c r="B81" s="79" t="s">
        <v>227</v>
      </c>
      <c r="C81" s="2" t="s">
        <v>64</v>
      </c>
      <c r="D81" s="2">
        <f>AVERAGE(D76,D78)</f>
        <v>27.299999999999997</v>
      </c>
      <c r="E81" s="2">
        <f>AVERAGE(E76,E78)</f>
        <v>28.45</v>
      </c>
      <c r="F81" s="2">
        <f>AVERAGE(F76,F78)</f>
        <v>29.5</v>
      </c>
      <c r="G81" s="2" t="s">
        <v>64</v>
      </c>
      <c r="H81" s="2">
        <f>AVERAGE(H76,H78)</f>
        <v>30.4</v>
      </c>
      <c r="I81" s="2">
        <f>AVERAGE(I76,I78)</f>
        <v>31.05</v>
      </c>
      <c r="J81" s="26">
        <f>AVERAGE(J76,J78)</f>
        <v>31.613</v>
      </c>
      <c r="K81" s="14"/>
    </row>
    <row r="82">
      <c r="A82" s="1"/>
      <c r="B82" s="37" t="s">
        <v>63</v>
      </c>
      <c r="C82" s="25" t="s">
        <v>64</v>
      </c>
      <c r="D82" s="25" t="s">
        <v>64</v>
      </c>
      <c r="E82" s="25" t="s">
        <v>64</v>
      </c>
      <c r="F82" s="25" t="s">
        <v>64</v>
      </c>
      <c r="G82" s="25" t="s">
        <v>64</v>
      </c>
      <c r="H82" s="25" t="str">
        <f>IFERROR(H81/C81-1,"n.a.")</f>
        <v>n.a.</v>
      </c>
      <c r="I82" s="25">
        <f>IFERROR(I81/D81-1,"n.a.")</f>
        <v>0.13736263736263754</v>
      </c>
      <c r="J82" s="51">
        <f>IFERROR(J81/E81-1,"n.a.")</f>
        <v>0.11117750439367313</v>
      </c>
      <c r="K82" s="14"/>
    </row>
    <row r="83">
      <c r="A83" s="1"/>
      <c r="B83" s="48" t="s">
        <v>78</v>
      </c>
      <c r="C83" s="2" t="s">
        <v>64</v>
      </c>
      <c r="D83" s="2" t="str">
        <f>IFERROR(D81-C81,"n.a.")</f>
        <v>n.a.</v>
      </c>
      <c r="E83" s="2">
        <f>IFERROR(E81-D81,"n.a.")</f>
        <v>1.1500000000000021</v>
      </c>
      <c r="F83" s="2">
        <f>IFERROR(F81-E81,"n.a.")</f>
        <v>1.0500000000000007</v>
      </c>
      <c r="G83" s="2" t="s">
        <v>64</v>
      </c>
      <c r="H83" s="2">
        <f>IFERROR(H81-F81,"n.a.")</f>
        <v>0.8999999999999986</v>
      </c>
      <c r="I83" s="2">
        <f>IFERROR(I81-H81,"n.a.")</f>
        <v>0.6500000000000021</v>
      </c>
      <c r="J83" s="26">
        <f>IFERROR(J81-I81,"n.a.")</f>
        <v>0.5629999999999988</v>
      </c>
      <c r="K83" s="14"/>
    </row>
    <row r="84">
      <c r="A84" s="1"/>
      <c r="B84" s="66" t="s">
        <v>228</v>
      </c>
      <c r="C84" s="25" t="s">
        <v>64</v>
      </c>
      <c r="D84" s="25" t="s">
        <v>64</v>
      </c>
      <c r="E84" s="25" t="s">
        <v>64</v>
      </c>
      <c r="F84" s="25" t="s">
        <v>64</v>
      </c>
      <c r="G84" s="25" t="s">
        <v>64</v>
      </c>
      <c r="H84" s="25" t="s">
        <v>64</v>
      </c>
      <c r="I84" s="25" t="s">
        <v>64</v>
      </c>
      <c r="J84" s="85">
        <v>0.01</v>
      </c>
      <c r="K84" s="14" t="s">
        <v>229</v>
      </c>
    </row>
    <row r="85">
      <c r="A85" s="1"/>
      <c r="B85" s="20" t="s">
        <v>230</v>
      </c>
      <c r="C85" s="62">
        <v>85.3</v>
      </c>
      <c r="D85" s="62">
        <v>85.3</v>
      </c>
      <c r="E85" s="62">
        <v>86.7</v>
      </c>
      <c r="F85" s="62">
        <v>88.7</v>
      </c>
      <c r="G85" s="38">
        <f>F85</f>
        <v>88.7</v>
      </c>
      <c r="H85" s="62">
        <v>88</v>
      </c>
      <c r="I85" s="62">
        <v>89.1</v>
      </c>
      <c r="J85" s="23">
        <f>I85*(1+J84)</f>
        <v>89.991</v>
      </c>
      <c r="K85" s="14" t="s">
        <v>128</v>
      </c>
    </row>
    <row r="86">
      <c r="A86" s="1"/>
      <c r="B86" s="37" t="s">
        <v>63</v>
      </c>
      <c r="C86" s="25" t="s">
        <v>64</v>
      </c>
      <c r="D86" s="25" t="s">
        <v>64</v>
      </c>
      <c r="E86" s="25" t="s">
        <v>64</v>
      </c>
      <c r="F86" s="25" t="s">
        <v>64</v>
      </c>
      <c r="G86" s="25" t="s">
        <v>64</v>
      </c>
      <c r="H86" s="25">
        <f>IFERROR(H85/C85-1,"n.a.")</f>
        <v>0.03165298944900363</v>
      </c>
      <c r="I86" s="25">
        <f>IFERROR(I85/D85-1,"n.a.")</f>
        <v>0.04454865181711609</v>
      </c>
      <c r="J86" s="51">
        <f>IFERROR(J85/E85-1,"n.a.")</f>
        <v>0.03795847750865056</v>
      </c>
      <c r="K86" s="14"/>
    </row>
    <row r="87">
      <c r="A87" s="1"/>
      <c r="B87" s="48" t="s">
        <v>78</v>
      </c>
      <c r="C87" s="2" t="s">
        <v>64</v>
      </c>
      <c r="D87" s="2">
        <f>IFERROR(D85-C85,"n.a.")</f>
        <v>0</v>
      </c>
      <c r="E87" s="2">
        <f>IFERROR(E85-D85,"n.a.")</f>
        <v>1.4000000000000057</v>
      </c>
      <c r="F87" s="2">
        <f>IFERROR(F85-E85,"n.a.")</f>
        <v>2</v>
      </c>
      <c r="G87" s="2" t="s">
        <v>64</v>
      </c>
      <c r="H87" s="2">
        <f>IFERROR(H85-F85,"n.a.")</f>
        <v>-0.7000000000000028</v>
      </c>
      <c r="I87" s="2">
        <f>IFERROR(I85-H85,"n.a.")</f>
        <v>1.0999999999999943</v>
      </c>
      <c r="J87" s="26">
        <f>IFERROR(J85-I85,"n.a.")</f>
        <v>0.8910000000000053</v>
      </c>
      <c r="K87" s="14"/>
    </row>
    <row r="88">
      <c r="A88" s="1"/>
      <c r="B88" s="18" t="s">
        <v>189</v>
      </c>
      <c r="C88" s="10">
        <f>C78/C85</f>
        <v>0.3130128956623681</v>
      </c>
      <c r="D88" s="10">
        <f>D78/D85</f>
        <v>0.32708089097303633</v>
      </c>
      <c r="E88" s="10">
        <f>E78/E85</f>
        <v>0.3344867358708189</v>
      </c>
      <c r="F88" s="10">
        <f>F78/F85</f>
        <v>0.3382187147688839</v>
      </c>
      <c r="G88" s="10">
        <f>G78/G85</f>
        <v>0.3382187147688839</v>
      </c>
      <c r="H88" s="10">
        <f>H78/H85</f>
        <v>0.35000000000000003</v>
      </c>
      <c r="I88" s="10">
        <f>I78/I85</f>
        <v>0.35129068462401797</v>
      </c>
      <c r="J88" s="81">
        <f>J78/J85</f>
        <v>0.3547688102143548</v>
      </c>
      <c r="K88" s="14"/>
    </row>
    <row r="89">
      <c r="A89" s="1"/>
      <c r="B89" s="48" t="s">
        <v>94</v>
      </c>
      <c r="C89" s="71" t="s">
        <v>64</v>
      </c>
      <c r="D89" s="71" t="s">
        <v>64</v>
      </c>
      <c r="E89" s="71" t="s">
        <v>64</v>
      </c>
      <c r="F89" s="71" t="s">
        <v>64</v>
      </c>
      <c r="G89" s="71" t="s">
        <v>64</v>
      </c>
      <c r="H89" s="71">
        <f>IFERROR((H88-C88)*10000,"n.a.")</f>
        <v>369.87104337631916</v>
      </c>
      <c r="I89" s="71">
        <f>IFERROR((I88-D88)*10000,"n.a.")</f>
        <v>242.09793650981638</v>
      </c>
      <c r="J89" s="72">
        <f>IFERROR((J88-E88)*10000,"n.a.")</f>
        <v>202.82074343535905</v>
      </c>
      <c r="K89" s="14"/>
    </row>
    <row r="90">
      <c r="A90" s="1"/>
      <c r="B90" s="48" t="s">
        <v>95</v>
      </c>
      <c r="C90" s="71" t="s">
        <v>64</v>
      </c>
      <c r="D90" s="71">
        <f>IFERROR((D88-C88)*10000,"n.a.")</f>
        <v>140.67995310668212</v>
      </c>
      <c r="E90" s="71">
        <f>IFERROR((E88-D88)*10000,"n.a.")</f>
        <v>74.05844897782565</v>
      </c>
      <c r="F90" s="71">
        <f>IFERROR((F88-E88)*10000,"n.a.")</f>
        <v>37.319788980649804</v>
      </c>
      <c r="G90" s="71" t="s">
        <v>64</v>
      </c>
      <c r="H90" s="71">
        <f>IFERROR((H88-F88)*10000,"n.a.")</f>
        <v>117.81285231116156</v>
      </c>
      <c r="I90" s="71">
        <f>IFERROR((I88-H88)*10000,"n.a.")</f>
        <v>12.906846240179348</v>
      </c>
      <c r="J90" s="72">
        <f>IFERROR((J88-I88)*10000,"n.a.")</f>
        <v>34.78125590336833</v>
      </c>
      <c r="K90" s="14"/>
    </row>
    <row r="91">
      <c r="A91" s="1"/>
      <c r="B91" s="18" t="s">
        <v>190</v>
      </c>
      <c r="C91" s="24">
        <v>24.2</v>
      </c>
      <c r="D91" s="24">
        <v>25.3</v>
      </c>
      <c r="E91" s="24">
        <v>25.2</v>
      </c>
      <c r="F91" s="24">
        <v>26.5</v>
      </c>
      <c r="G91" s="2">
        <f>F91</f>
        <v>26.5</v>
      </c>
      <c r="H91" s="24">
        <v>27.3</v>
      </c>
      <c r="I91" s="24">
        <v>26.6</v>
      </c>
      <c r="J91" s="26">
        <f>I91*(1+J75)</f>
        <v>27.132</v>
      </c>
      <c r="K91" s="14" t="s">
        <v>231</v>
      </c>
    </row>
    <row r="92">
      <c r="A92" s="1"/>
      <c r="B92" s="37" t="s">
        <v>63</v>
      </c>
      <c r="C92" s="25" t="s">
        <v>64</v>
      </c>
      <c r="D92" s="25" t="s">
        <v>64</v>
      </c>
      <c r="E92" s="25" t="s">
        <v>64</v>
      </c>
      <c r="F92" s="25" t="s">
        <v>64</v>
      </c>
      <c r="G92" s="25" t="s">
        <v>64</v>
      </c>
      <c r="H92" s="25">
        <f>IFERROR(H91/C91-1,"n.a.")</f>
        <v>0.12809917355371914</v>
      </c>
      <c r="I92" s="25">
        <f>IFERROR(I91/D91-1,"n.a.")</f>
        <v>0.05138339920948609</v>
      </c>
      <c r="J92" s="51">
        <f>IFERROR(J91/E91-1,"n.a.")</f>
        <v>0.07666666666666666</v>
      </c>
      <c r="K92" s="14"/>
    </row>
    <row r="93">
      <c r="A93" s="1"/>
      <c r="B93" s="48" t="s">
        <v>78</v>
      </c>
      <c r="C93" s="2" t="s">
        <v>64</v>
      </c>
      <c r="D93" s="2">
        <f>IFERROR(D91-C91,"n.a.")</f>
        <v>1.1000000000000014</v>
      </c>
      <c r="E93" s="2">
        <f>IFERROR(E91-D91,"n.a.")</f>
        <v>-0.10000000000000142</v>
      </c>
      <c r="F93" s="2">
        <f>IFERROR(F91-E91,"n.a.")</f>
        <v>1.3000000000000007</v>
      </c>
      <c r="G93" s="2" t="s">
        <v>64</v>
      </c>
      <c r="H93" s="2">
        <f>IFERROR(H91-F91,"n.a.")</f>
        <v>0.8000000000000007</v>
      </c>
      <c r="I93" s="2">
        <f>IFERROR(I91-H91,"n.a.")</f>
        <v>-0.6999999999999993</v>
      </c>
      <c r="J93" s="26">
        <f>IFERROR(J91-I91,"n.a.")</f>
        <v>0.532</v>
      </c>
      <c r="K93" s="14"/>
    </row>
    <row r="94">
      <c r="A94" s="1"/>
      <c r="B94" s="18"/>
      <c r="C94" s="19"/>
      <c r="D94" s="19"/>
      <c r="E94" s="19"/>
      <c r="F94" s="19"/>
      <c r="G94" s="19"/>
      <c r="H94" s="19"/>
      <c r="I94" s="19"/>
      <c r="J94" s="27"/>
      <c r="K94" s="14"/>
    </row>
    <row r="95">
      <c r="A95" s="1"/>
      <c r="B95" s="20" t="s">
        <v>192</v>
      </c>
      <c r="C95" s="32"/>
      <c r="D95" s="32"/>
      <c r="E95" s="32"/>
      <c r="F95" s="32"/>
      <c r="G95" s="32"/>
      <c r="H95" s="32"/>
      <c r="I95" s="32"/>
      <c r="J95" s="28"/>
      <c r="K95" s="14"/>
    </row>
    <row r="96">
      <c r="A96" s="1"/>
      <c r="B96" s="18" t="s">
        <v>193</v>
      </c>
      <c r="C96" s="10">
        <f>IFERROR(-C53/C29,"n.a.")</f>
        <v>0.5330578512396694</v>
      </c>
      <c r="D96" s="10">
        <f>IFERROR(-D53/D29,"n.a.")</f>
        <v>0.5375722543352601</v>
      </c>
      <c r="E96" s="10">
        <f>IFERROR(-E53/E29,"n.a.")</f>
        <v>0.4482758620689655</v>
      </c>
      <c r="F96" s="10">
        <f>IFERROR(-F53/F29,"n.a.")</f>
        <v>0.5306122448979592</v>
      </c>
      <c r="G96" s="10">
        <f>IFERROR(-G53/G29,"n.a.")</f>
        <v>0.5121124031007752</v>
      </c>
      <c r="H96" s="10">
        <f>IFERROR(-H53/H29,"n.a.")</f>
        <v>0.47924528301886793</v>
      </c>
      <c r="I96" s="10">
        <f>IFERROR(-I53/I29,"n.a.")</f>
        <v>0.44623655913978494</v>
      </c>
      <c r="J96" s="81">
        <f>IFERROR(-J53/J29,"n.a.")</f>
        <v>0.459197364643079</v>
      </c>
      <c r="K96" s="14"/>
    </row>
    <row r="97">
      <c r="A97" s="1"/>
      <c r="B97" s="48" t="s">
        <v>94</v>
      </c>
      <c r="C97" s="71" t="s">
        <v>64</v>
      </c>
      <c r="D97" s="71" t="s">
        <v>64</v>
      </c>
      <c r="E97" s="71" t="s">
        <v>64</v>
      </c>
      <c r="F97" s="71" t="s">
        <v>64</v>
      </c>
      <c r="G97" s="71" t="s">
        <v>64</v>
      </c>
      <c r="H97" s="71">
        <f>IFERROR((H96-C96)*10000,"n.a.")</f>
        <v>-538.125682208015</v>
      </c>
      <c r="I97" s="71">
        <f>IFERROR((I96-D96)*10000,"n.a.")</f>
        <v>-913.3569519547518</v>
      </c>
      <c r="J97" s="72">
        <f>IFERROR((J96-E96)*10000,"n.a.")</f>
        <v>109.21502574113451</v>
      </c>
      <c r="K97" s="14"/>
    </row>
    <row r="98" ht="23.24853515625">
      <c r="A98" s="1"/>
      <c r="B98" s="48" t="s">
        <v>95</v>
      </c>
      <c r="C98" s="71" t="s">
        <v>64</v>
      </c>
      <c r="D98" s="71">
        <f>IFERROR((D96-C96)*10000,"n.a.")</f>
        <v>45.14403095590702</v>
      </c>
      <c r="E98" s="71">
        <f>IFERROR((E96-D96)*10000,"n.a.")</f>
        <v>-892.963922662946</v>
      </c>
      <c r="F98" s="71">
        <f>IFERROR((F96-E96)*10000,"n.a.")</f>
        <v>823.3638282899369</v>
      </c>
      <c r="G98" s="71" t="s">
        <v>64</v>
      </c>
      <c r="H98" s="71">
        <f>IFERROR((H96-F96)*10000,"n.a.")</f>
        <v>-513.6696187909129</v>
      </c>
      <c r="I98" s="71">
        <f>IFERROR((I96-H96)*10000,"n.a.")</f>
        <v>-330.08723879082993</v>
      </c>
      <c r="J98" s="72">
        <f>IFERROR((J96-I96)*10000,"n.a.")</f>
        <v>129.60805503294037</v>
      </c>
      <c r="K98" s="14"/>
    </row>
    <row r="99">
      <c r="A99" s="1"/>
      <c r="B99" s="79" t="s">
        <v>194</v>
      </c>
      <c r="C99" s="30">
        <v>0.53</v>
      </c>
      <c r="D99" s="30">
        <v>0.54</v>
      </c>
      <c r="E99" s="30">
        <v>0.45</v>
      </c>
      <c r="F99" s="30">
        <v>0.53</v>
      </c>
      <c r="G99" s="10" t="s">
        <v>64</v>
      </c>
      <c r="H99" s="30">
        <v>0.48</v>
      </c>
      <c r="I99" s="30">
        <v>0.45</v>
      </c>
      <c r="J99" s="81" t="s">
        <v>64</v>
      </c>
      <c r="K99" s="14" t="s">
        <v>128</v>
      </c>
    </row>
    <row r="100">
      <c r="A100" s="1"/>
      <c r="B100" s="48" t="s">
        <v>94</v>
      </c>
      <c r="C100" s="71" t="s">
        <v>64</v>
      </c>
      <c r="D100" s="71" t="s">
        <v>64</v>
      </c>
      <c r="E100" s="71" t="s">
        <v>64</v>
      </c>
      <c r="F100" s="71" t="s">
        <v>64</v>
      </c>
      <c r="G100" s="71" t="s">
        <v>64</v>
      </c>
      <c r="H100" s="71">
        <f>IFERROR((H99-C99)*10000,"n.a.")</f>
        <v>-500.00000000000045</v>
      </c>
      <c r="I100" s="71">
        <f>IFERROR((I99-D99)*10000,"n.a.")</f>
        <v>-900.0000000000002</v>
      </c>
      <c r="J100" s="72" t="str">
        <f>IFERROR((J99-E99)*10000,"n.a.")</f>
        <v>n.a.</v>
      </c>
      <c r="K100" s="14"/>
    </row>
    <row r="101">
      <c r="A101" s="1"/>
      <c r="B101" s="48" t="s">
        <v>95</v>
      </c>
      <c r="C101" s="71" t="s">
        <v>64</v>
      </c>
      <c r="D101" s="71">
        <f>IFERROR((D99-C99)*10000,"n.a.")</f>
        <v>100.00000000000009</v>
      </c>
      <c r="E101" s="71">
        <f>IFERROR((E99-D99)*10000,"n.a.")</f>
        <v>-900.0000000000002</v>
      </c>
      <c r="F101" s="71">
        <f>IFERROR((F99-E99)*10000,"n.a.")</f>
        <v>800.0000000000001</v>
      </c>
      <c r="G101" s="71" t="s">
        <v>64</v>
      </c>
      <c r="H101" s="71">
        <f>IFERROR((H99-F99)*10000,"n.a.")</f>
        <v>-500.00000000000045</v>
      </c>
      <c r="I101" s="71">
        <f>IFERROR((I99-H99)*10000,"n.a.")</f>
        <v>-299.9999999999997</v>
      </c>
      <c r="J101" s="72" t="str">
        <f>IFERROR((J99-I99)*10000,"n.a.")</f>
        <v>n.a.</v>
      </c>
      <c r="K101" s="14"/>
    </row>
    <row r="102" ht="23.24853515625">
      <c r="A102" s="1"/>
      <c r="B102" s="13" t="s">
        <v>195</v>
      </c>
      <c r="C102" s="45">
        <f>IFERROR(-C63*365/C$7/(C78*1000),"n.a.")</f>
        <v>0.0028859758635039535</v>
      </c>
      <c r="D102" s="45">
        <f>IFERROR(-D63*365/D$7/(D78*1000),"n.a.")</f>
        <v>0.0017251565638662413</v>
      </c>
      <c r="E102" s="45">
        <f>IFERROR(-E63*365/E$7/(E78*1000),"n.a.")</f>
        <v>0.0006840329835082459</v>
      </c>
      <c r="F102" s="45">
        <f>IFERROR(-F63*365/F$7/(F78*1000),"n.a.")</f>
        <v>0.0001322463768115942</v>
      </c>
      <c r="G102" s="45">
        <f>IFERROR(-G63*365/G$7/(G78*1000),"n.a.")</f>
        <v>0.0012333333333333332</v>
      </c>
      <c r="H102" s="45">
        <f>IFERROR(-H63*365/H$7/(H78*1000),"n.a.")</f>
        <v>0.000395021645021645</v>
      </c>
      <c r="I102" s="45">
        <f>IFERROR(-I63*365/I$7/(I78*1000),"n.a.")</f>
        <v>0.0020503458203138714</v>
      </c>
      <c r="J102" s="89">
        <f>IFERROR(-J63*365/J$7/(J78*1000),"n.a.")</f>
        <v>0.0014852941176470586</v>
      </c>
      <c r="K102" s="14" t="s">
        <v>196</v>
      </c>
    </row>
    <row r="103">
      <c r="A103" s="1"/>
      <c r="B103" s="48" t="s">
        <v>94</v>
      </c>
      <c r="C103" s="71" t="s">
        <v>64</v>
      </c>
      <c r="D103" s="71" t="s">
        <v>64</v>
      </c>
      <c r="E103" s="71" t="s">
        <v>64</v>
      </c>
      <c r="F103" s="71" t="s">
        <v>64</v>
      </c>
      <c r="G103" s="71" t="s">
        <v>64</v>
      </c>
      <c r="H103" s="71">
        <f>IFERROR((H102-C102)*10000,"n.a.")</f>
        <v>-24.90954218482309</v>
      </c>
      <c r="I103" s="71">
        <f>IFERROR((I102-D102)*10000,"n.a.")</f>
        <v>3.251892564476301</v>
      </c>
      <c r="J103" s="72">
        <f>IFERROR((J102-E102)*10000,"n.a.")</f>
        <v>8.012611341388128</v>
      </c>
      <c r="K103" s="14"/>
    </row>
    <row r="104">
      <c r="A104" s="1"/>
      <c r="B104" s="48" t="s">
        <v>95</v>
      </c>
      <c r="C104" s="71" t="s">
        <v>64</v>
      </c>
      <c r="D104" s="71">
        <f>IFERROR((D102-C102)*10000,"n.a.")</f>
        <v>-11.608192996377122</v>
      </c>
      <c r="E104" s="71">
        <f>IFERROR((E102-D102)*10000,"n.a.")</f>
        <v>-10.411235803579952</v>
      </c>
      <c r="F104" s="71">
        <f>IFERROR((F102-E102)*10000,"n.a.")</f>
        <v>-5.5178660669665165</v>
      </c>
      <c r="G104" s="71" t="s">
        <v>64</v>
      </c>
      <c r="H104" s="71">
        <f>IFERROR((H102-F102)*10000,"n.a.")</f>
        <v>2.6277526821005077</v>
      </c>
      <c r="I104" s="71">
        <f>IFERROR((I102-H102)*10000,"n.a.")</f>
        <v>16.553241752922265</v>
      </c>
      <c r="J104" s="72">
        <f>IFERROR((J102-I102)*10000,"n.a.")</f>
        <v>-5.650517026668128</v>
      </c>
      <c r="K104" s="14"/>
    </row>
    <row r="105" ht="14.624267578125">
      <c r="A105" s="1"/>
      <c r="B105" s="79" t="s">
        <v>197</v>
      </c>
      <c r="C105" s="49">
        <v>0.0028</v>
      </c>
      <c r="D105" s="49">
        <v>0.0017</v>
      </c>
      <c r="E105" s="49">
        <v>0.0007</v>
      </c>
      <c r="F105" s="49">
        <v>0.0001</v>
      </c>
      <c r="G105" s="45" t="s">
        <v>64</v>
      </c>
      <c r="H105" s="49">
        <v>0.0004</v>
      </c>
      <c r="I105" s="49">
        <v>0.002</v>
      </c>
      <c r="J105" s="89" t="s">
        <v>64</v>
      </c>
      <c r="K105" s="14" t="s">
        <v>198</v>
      </c>
    </row>
    <row r="106">
      <c r="A106" s="1"/>
      <c r="B106" s="48" t="s">
        <v>94</v>
      </c>
      <c r="C106" s="71" t="s">
        <v>64</v>
      </c>
      <c r="D106" s="71" t="s">
        <v>64</v>
      </c>
      <c r="E106" s="71" t="s">
        <v>64</v>
      </c>
      <c r="F106" s="71" t="s">
        <v>64</v>
      </c>
      <c r="G106" s="71" t="s">
        <v>64</v>
      </c>
      <c r="H106" s="71">
        <f>IFERROR((H105-C105)*10000,"n.a.")</f>
        <v>-23.999999999999996</v>
      </c>
      <c r="I106" s="71">
        <f>IFERROR((I105-D105)*10000,"n.a.")</f>
        <v>3.0000000000000013</v>
      </c>
      <c r="J106" s="72" t="str">
        <f>IFERROR((J105-E105)*10000,"n.a.")</f>
        <v>n.a.</v>
      </c>
      <c r="K106" s="14"/>
    </row>
    <row r="107">
      <c r="A107" s="1"/>
      <c r="B107" s="48" t="s">
        <v>95</v>
      </c>
      <c r="C107" s="71" t="s">
        <v>64</v>
      </c>
      <c r="D107" s="71">
        <f>IFERROR((D105-C105)*10000,"n.a.")</f>
        <v>-11</v>
      </c>
      <c r="E107" s="71">
        <f>IFERROR((E105-D105)*10000,"n.a.")</f>
        <v>-10</v>
      </c>
      <c r="F107" s="71">
        <f>IFERROR((F105-E105)*10000,"n.a.")</f>
        <v>-5.999999999999999</v>
      </c>
      <c r="G107" s="71" t="s">
        <v>64</v>
      </c>
      <c r="H107" s="71">
        <f>IFERROR((H105-F105)*10000,"n.a.")</f>
        <v>3.0000000000000004</v>
      </c>
      <c r="I107" s="71">
        <f>IFERROR((I105-H105)*10000,"n.a.")</f>
        <v>16</v>
      </c>
      <c r="J107" s="72" t="str">
        <f>IFERROR((J105-I105)*10000,"n.a.")</f>
        <v>n.a.</v>
      </c>
      <c r="K107" s="14"/>
    </row>
    <row r="108" ht="23.24853515625">
      <c r="A108" s="1"/>
      <c r="B108" s="13" t="s">
        <v>199</v>
      </c>
      <c r="C108" s="30">
        <v>0.171</v>
      </c>
      <c r="D108" s="30">
        <v>0.166</v>
      </c>
      <c r="E108" s="30">
        <v>0.228</v>
      </c>
      <c r="F108" s="30">
        <v>0.191</v>
      </c>
      <c r="G108" s="10" t="s">
        <v>64</v>
      </c>
      <c r="H108" s="30">
        <v>0.199</v>
      </c>
      <c r="I108" s="30">
        <v>0.213</v>
      </c>
      <c r="J108" s="81" t="s">
        <v>64</v>
      </c>
      <c r="K108" s="14" t="s">
        <v>128</v>
      </c>
    </row>
    <row r="109">
      <c r="A109" s="1"/>
      <c r="B109" s="48" t="s">
        <v>94</v>
      </c>
      <c r="C109" s="71" t="s">
        <v>64</v>
      </c>
      <c r="D109" s="71" t="s">
        <v>64</v>
      </c>
      <c r="E109" s="71" t="s">
        <v>64</v>
      </c>
      <c r="F109" s="71" t="s">
        <v>64</v>
      </c>
      <c r="G109" s="71" t="s">
        <v>64</v>
      </c>
      <c r="H109" s="71">
        <f>IFERROR((H108-C108)*10000,"n.a.")</f>
        <v>279.99999999999994</v>
      </c>
      <c r="I109" s="71">
        <f>IFERROR((I108-D108)*10000,"n.a.")</f>
        <v>469.9999999999999</v>
      </c>
      <c r="J109" s="72" t="str">
        <f>IFERROR((J108-E108)*10000,"n.a.")</f>
        <v>n.a.</v>
      </c>
      <c r="K109" s="14"/>
    </row>
    <row r="110">
      <c r="A110" s="1"/>
      <c r="B110" s="48" t="s">
        <v>95</v>
      </c>
      <c r="C110" s="71" t="s">
        <v>64</v>
      </c>
      <c r="D110" s="71">
        <f>IFERROR((D108-C108)*10000,"n.a.")</f>
        <v>-50.00000000000004</v>
      </c>
      <c r="E110" s="71">
        <f>IFERROR((E108-D108)*10000,"n.a.")</f>
        <v>620</v>
      </c>
      <c r="F110" s="71">
        <f>IFERROR((F108-E108)*10000,"n.a.")</f>
        <v>-370.00000000000006</v>
      </c>
      <c r="G110" s="71" t="s">
        <v>64</v>
      </c>
      <c r="H110" s="71">
        <f>IFERROR((H108-F108)*10000,"n.a.")</f>
        <v>80.00000000000007</v>
      </c>
      <c r="I110" s="71">
        <f>IFERROR((I108-H108)*10000,"n.a.")</f>
        <v>139.99999999999986</v>
      </c>
      <c r="J110" s="72" t="str">
        <f>IFERROR((J108-I108)*10000,"n.a.")</f>
        <v>n.a.</v>
      </c>
      <c r="K110" s="14"/>
    </row>
    <row r="111" ht="14.624267578125">
      <c r="A111" s="1"/>
      <c r="B111" s="13" t="s">
        <v>200</v>
      </c>
      <c r="C111" s="24">
        <v>3.3</v>
      </c>
      <c r="D111" s="24">
        <v>3.4</v>
      </c>
      <c r="E111" s="24">
        <v>3.4</v>
      </c>
      <c r="F111" s="24">
        <v>3.5</v>
      </c>
      <c r="G111" s="2" t="s">
        <v>64</v>
      </c>
      <c r="H111" s="24">
        <v>3.8</v>
      </c>
      <c r="I111" s="24">
        <v>3.8</v>
      </c>
      <c r="J111" s="26" t="s">
        <v>64</v>
      </c>
      <c r="K111" s="14" t="s">
        <v>128</v>
      </c>
    </row>
    <row r="112">
      <c r="A112" s="1"/>
      <c r="B112" s="37" t="s">
        <v>63</v>
      </c>
      <c r="C112" s="25" t="s">
        <v>64</v>
      </c>
      <c r="D112" s="25" t="s">
        <v>64</v>
      </c>
      <c r="E112" s="25" t="s">
        <v>64</v>
      </c>
      <c r="F112" s="25" t="s">
        <v>64</v>
      </c>
      <c r="G112" s="25" t="s">
        <v>64</v>
      </c>
      <c r="H112" s="25">
        <f>IFERROR(H111/C111-1,"n.a.")</f>
        <v>0.1515151515151516</v>
      </c>
      <c r="I112" s="25">
        <f>IFERROR(I111/D111-1,"n.a.")</f>
        <v>0.11764705882352944</v>
      </c>
      <c r="J112" s="51" t="str">
        <f>IFERROR(J111/E111-1,"n.a.")</f>
        <v>n.a.</v>
      </c>
      <c r="K112" s="14"/>
    </row>
    <row r="113" ht="14.624267578125">
      <c r="A113" s="1"/>
      <c r="B113" s="48" t="s">
        <v>78</v>
      </c>
      <c r="C113" s="2" t="s">
        <v>64</v>
      </c>
      <c r="D113" s="2">
        <f>IFERROR(D111-C111,"n.a.")</f>
        <v>0.10000000000000009</v>
      </c>
      <c r="E113" s="2">
        <f>IFERROR(E111-D111,"n.a.")</f>
        <v>0</v>
      </c>
      <c r="F113" s="2">
        <f>IFERROR(F111-E111,"n.a.")</f>
        <v>0.10000000000000009</v>
      </c>
      <c r="G113" s="2" t="s">
        <v>64</v>
      </c>
      <c r="H113" s="2">
        <f>IFERROR(H111-F111,"n.a.")</f>
        <v>0.2999999999999998</v>
      </c>
      <c r="I113" s="2">
        <f>IFERROR(I111-H111,"n.a.")</f>
        <v>0</v>
      </c>
      <c r="J113" s="26" t="str">
        <f>IFERROR(J111-I111,"n.a.")</f>
        <v>n.a.</v>
      </c>
      <c r="K113" s="14"/>
    </row>
    <row r="114">
      <c r="A114" s="1"/>
      <c r="B114" s="18"/>
      <c r="C114" s="19"/>
      <c r="D114" s="19"/>
      <c r="E114" s="19"/>
      <c r="F114" s="19"/>
      <c r="G114" s="19"/>
      <c r="H114" s="19"/>
      <c r="I114" s="19"/>
      <c r="J114" s="27"/>
      <c r="K114" s="14"/>
    </row>
    <row r="115">
      <c r="A115" s="1"/>
      <c r="B115" s="20" t="s">
        <v>201</v>
      </c>
      <c r="C115" s="32"/>
      <c r="D115" s="32"/>
      <c r="E115" s="32"/>
      <c r="F115" s="32"/>
      <c r="G115" s="32"/>
      <c r="H115" s="32"/>
      <c r="I115" s="32"/>
      <c r="J115" s="28"/>
      <c r="K115" s="14"/>
    </row>
    <row r="116">
      <c r="A116" s="1"/>
      <c r="B116" s="66" t="s">
        <v>202</v>
      </c>
      <c r="C116" s="25" t="s">
        <v>64</v>
      </c>
      <c r="D116" s="25" t="s">
        <v>64</v>
      </c>
      <c r="E116" s="25" t="s">
        <v>64</v>
      </c>
      <c r="F116" s="25" t="s">
        <v>64</v>
      </c>
      <c r="G116" s="25" t="s">
        <v>64</v>
      </c>
      <c r="H116" s="25">
        <f>IFERROR(H29/C29-1,"n.a.")</f>
        <v>0.0950413223140496</v>
      </c>
      <c r="I116" s="25">
        <f>IFERROR(I29/D29-1,"n.a.")</f>
        <v>0.07514450867052025</v>
      </c>
      <c r="J116" s="51">
        <f>IFERROR(J29/E29-1,"n.a.")</f>
        <v>0.08468455949194365</v>
      </c>
      <c r="K116" s="14"/>
    </row>
    <row r="117">
      <c r="A117" s="1"/>
      <c r="B117" s="66" t="s">
        <v>100</v>
      </c>
      <c r="C117" s="25" t="s">
        <v>101</v>
      </c>
      <c r="D117" s="25" t="s">
        <v>101</v>
      </c>
      <c r="E117" s="25" t="s">
        <v>101</v>
      </c>
      <c r="F117" s="25" t="s">
        <v>101</v>
      </c>
      <c r="G117" s="25" t="s">
        <v>101</v>
      </c>
      <c r="H117" s="25" t="s">
        <v>101</v>
      </c>
      <c r="I117" s="25" t="s">
        <v>101</v>
      </c>
      <c r="J117" s="51" t="s">
        <v>101</v>
      </c>
      <c r="K117" s="14" t="s">
        <v>203</v>
      </c>
    </row>
    <row r="118">
      <c r="A118" s="1"/>
      <c r="B118" s="66" t="s">
        <v>103</v>
      </c>
      <c r="C118" s="25" t="s">
        <v>101</v>
      </c>
      <c r="D118" s="25" t="s">
        <v>101</v>
      </c>
      <c r="E118" s="25" t="s">
        <v>101</v>
      </c>
      <c r="F118" s="25" t="s">
        <v>101</v>
      </c>
      <c r="G118" s="25" t="s">
        <v>101</v>
      </c>
      <c r="H118" s="25" t="s">
        <v>101</v>
      </c>
      <c r="I118" s="25" t="s">
        <v>101</v>
      </c>
      <c r="J118" s="51" t="s">
        <v>101</v>
      </c>
      <c r="K118" s="14" t="s">
        <v>204</v>
      </c>
    </row>
    <row r="119" ht="14.624267578125">
      <c r="A119" s="1"/>
      <c r="B119" s="67" t="s">
        <v>205</v>
      </c>
      <c r="C119" s="25" t="str">
        <f>IF(OR(ISTEXT(C116),ISTEXT(C117),ISTEXT(C118)),"n.d.",(1+C116)/((1+C117)*(1+C118))-1)</f>
        <v>n.d.</v>
      </c>
      <c r="D119" s="25" t="str">
        <f>IF(OR(ISTEXT(D116),ISTEXT(D117),ISTEXT(D118)),"n.d.",(1+D116)/((1+D117)*(1+D118))-1)</f>
        <v>n.d.</v>
      </c>
      <c r="E119" s="25" t="str">
        <f>IF(OR(ISTEXT(E116),ISTEXT(E117),ISTEXT(E118)),"n.d.",(1+E116)/((1+E117)*(1+E118))-1)</f>
        <v>n.d.</v>
      </c>
      <c r="F119" s="25" t="str">
        <f>IF(OR(ISTEXT(F116),ISTEXT(F117),ISTEXT(F118)),"n.d.",(1+F116)/((1+F117)*(1+F118))-1)</f>
        <v>n.d.</v>
      </c>
      <c r="G119" s="25" t="str">
        <f>IF(OR(ISTEXT(G116),ISTEXT(G117),ISTEXT(G118)),"n.d.",(1+G116)/((1+G117)*(1+G118))-1)</f>
        <v>n.d.</v>
      </c>
      <c r="H119" s="25" t="str">
        <f>IF(OR(ISTEXT(H116),ISTEXT(H117),ISTEXT(H118)),"n.d.",(1+H116)/((1+H117)*(1+H118))-1)</f>
        <v>n.d.</v>
      </c>
      <c r="I119" s="25" t="str">
        <f>IF(OR(ISTEXT(I116),ISTEXT(I117),ISTEXT(I118)),"n.d.",(1+I116)/((1+I117)*(1+I118))-1)</f>
        <v>n.d.</v>
      </c>
      <c r="J119" s="51" t="str">
        <f>IF(OR(ISTEXT(J116),ISTEXT(J117),ISTEXT(J118)),"n.d.",(1+J116)/((1+J117)*(1+J118))-1)</f>
        <v>n.d.</v>
      </c>
      <c r="K119" s="14" t="s">
        <v>206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A1:K112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  <col min="11" max="11" width="9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35" t="s">
        <v>49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9" t="s">
        <v>232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3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6" t="s">
        <v>51</v>
      </c>
      <c r="C5" s="21" t="s">
        <v>52</v>
      </c>
      <c r="D5" s="21" t="s">
        <v>53</v>
      </c>
      <c r="E5" s="21" t="s">
        <v>54</v>
      </c>
      <c r="F5" s="21" t="s">
        <v>55</v>
      </c>
      <c r="G5" s="21" t="s">
        <v>56</v>
      </c>
      <c r="H5" s="21" t="s">
        <v>57</v>
      </c>
      <c r="I5" s="21" t="s">
        <v>58</v>
      </c>
      <c r="J5" s="40" t="s">
        <v>4</v>
      </c>
      <c r="K5" s="6" t="s">
        <v>59</v>
      </c>
    </row>
    <row r="6">
      <c r="A6" s="1"/>
      <c r="B6" s="7" t="s">
        <v>5</v>
      </c>
      <c r="C6" s="29">
        <v>45747</v>
      </c>
      <c r="D6" s="29">
        <v>45838</v>
      </c>
      <c r="E6" s="29">
        <v>45930</v>
      </c>
      <c r="F6" s="29">
        <v>46022</v>
      </c>
      <c r="G6" s="29">
        <v>46022</v>
      </c>
      <c r="H6" s="29">
        <v>46112</v>
      </c>
      <c r="I6" s="29">
        <v>46203</v>
      </c>
      <c r="J6" s="50">
        <v>46295</v>
      </c>
      <c r="K6" s="7"/>
    </row>
    <row r="7">
      <c r="A7" s="1"/>
      <c r="B7" s="12" t="s">
        <v>6</v>
      </c>
      <c r="C7" s="34">
        <f>C6-EOMONTH(C6,-3)</f>
        <v>90</v>
      </c>
      <c r="D7" s="34">
        <f>D6-EOMONTH(D6,-3)</f>
        <v>91</v>
      </c>
      <c r="E7" s="34">
        <f>E6-EOMONTH(E6,-3)</f>
        <v>92</v>
      </c>
      <c r="F7" s="34">
        <f>F6-EOMONTH(F6,-3)</f>
        <v>92</v>
      </c>
      <c r="G7" s="34">
        <f>G6-EOMONTH(G6,-12)</f>
        <v>365</v>
      </c>
      <c r="H7" s="34">
        <f>H6-EOMONTH(H6,-3)</f>
        <v>90</v>
      </c>
      <c r="I7" s="34">
        <f>I6-EOMONTH(I6,-3)</f>
        <v>91</v>
      </c>
      <c r="J7" s="43">
        <f>J6-EOMONTH(J6,-3)</f>
        <v>92</v>
      </c>
      <c r="K7" s="12"/>
    </row>
    <row r="8">
      <c r="A8" s="1"/>
      <c r="B8" s="1"/>
      <c r="C8" s="1"/>
      <c r="D8" s="1"/>
      <c r="E8" s="1"/>
      <c r="F8" s="1"/>
      <c r="G8" s="1"/>
      <c r="H8" s="1"/>
      <c r="I8" s="1"/>
      <c r="J8" s="54"/>
      <c r="K8" s="1"/>
    </row>
    <row r="9">
      <c r="A9" s="1"/>
      <c r="B9" s="20" t="s">
        <v>122</v>
      </c>
      <c r="C9" s="32"/>
      <c r="D9" s="32"/>
      <c r="E9" s="32"/>
      <c r="F9" s="32"/>
      <c r="G9" s="32"/>
      <c r="H9" s="32"/>
      <c r="I9" s="32"/>
      <c r="J9" s="28"/>
      <c r="K9" s="14"/>
    </row>
    <row r="10" ht="23.24853515625">
      <c r="A10" s="1"/>
      <c r="B10" s="67" t="s">
        <v>123</v>
      </c>
      <c r="C10" s="25" t="s">
        <v>64</v>
      </c>
      <c r="D10" s="25" t="s">
        <v>64</v>
      </c>
      <c r="E10" s="25" t="s">
        <v>64</v>
      </c>
      <c r="F10" s="25" t="s">
        <v>64</v>
      </c>
      <c r="G10" s="25" t="s">
        <v>64</v>
      </c>
      <c r="H10" s="25" t="s">
        <v>64</v>
      </c>
      <c r="I10" s="25" t="s">
        <v>64</v>
      </c>
      <c r="J10" s="85">
        <v>0.005</v>
      </c>
      <c r="K10" s="14" t="s">
        <v>233</v>
      </c>
    </row>
    <row r="11">
      <c r="A11" s="1"/>
      <c r="B11" s="18" t="s">
        <v>125</v>
      </c>
      <c r="C11" s="24">
        <v>14674</v>
      </c>
      <c r="D11" s="24">
        <v>14729</v>
      </c>
      <c r="E11" s="24">
        <v>14802</v>
      </c>
      <c r="F11" s="24">
        <v>15105</v>
      </c>
      <c r="G11" s="2">
        <f>AVERAGE(C11:F11)</f>
        <v>14827.5</v>
      </c>
      <c r="H11" s="24">
        <v>15022</v>
      </c>
      <c r="I11" s="24">
        <v>14936</v>
      </c>
      <c r="J11" s="26">
        <f>I11*(1+J10)</f>
        <v>15010.679999999998</v>
      </c>
      <c r="K11" s="14" t="s">
        <v>126</v>
      </c>
    </row>
    <row r="12">
      <c r="A12" s="1"/>
      <c r="B12" s="37" t="s">
        <v>63</v>
      </c>
      <c r="C12" s="25" t="s">
        <v>64</v>
      </c>
      <c r="D12" s="25" t="s">
        <v>64</v>
      </c>
      <c r="E12" s="25" t="s">
        <v>64</v>
      </c>
      <c r="F12" s="25" t="s">
        <v>64</v>
      </c>
      <c r="G12" s="25" t="s">
        <v>64</v>
      </c>
      <c r="H12" s="25">
        <f>IFERROR(H11/C11-1,"n.a.")</f>
        <v>0.02371541501976293</v>
      </c>
      <c r="I12" s="25">
        <f>IFERROR(I11/D11-1,"n.a.")</f>
        <v>0.014053907257790765</v>
      </c>
      <c r="J12" s="51">
        <f>IFERROR(J11/E11-1,"n.a.")</f>
        <v>0.014098094852046827</v>
      </c>
      <c r="K12" s="14"/>
    </row>
    <row r="13">
      <c r="A13" s="1"/>
      <c r="B13" s="48" t="s">
        <v>78</v>
      </c>
      <c r="C13" s="2" t="s">
        <v>64</v>
      </c>
      <c r="D13" s="2">
        <f>IFERROR(D11-C11,"n.a.")</f>
        <v>55</v>
      </c>
      <c r="E13" s="2">
        <f>IFERROR(E11-D11,"n.a.")</f>
        <v>73</v>
      </c>
      <c r="F13" s="2">
        <f>IFERROR(F11-E11,"n.a.")</f>
        <v>303</v>
      </c>
      <c r="G13" s="2" t="s">
        <v>64</v>
      </c>
      <c r="H13" s="2">
        <f>IFERROR(H11-F11,"n.a.")</f>
        <v>-83</v>
      </c>
      <c r="I13" s="2">
        <f>IFERROR(I11-H11,"n.a.")</f>
        <v>-86</v>
      </c>
      <c r="J13" s="26">
        <f>IFERROR(J11-I11,"n.a.")</f>
        <v>74.67999999999847</v>
      </c>
      <c r="K13" s="14"/>
    </row>
    <row r="14">
      <c r="A14" s="1"/>
      <c r="B14" s="18" t="s">
        <v>127</v>
      </c>
      <c r="C14" s="49">
        <v>0.0564</v>
      </c>
      <c r="D14" s="49">
        <v>0.0553</v>
      </c>
      <c r="E14" s="49">
        <v>0.0509</v>
      </c>
      <c r="F14" s="49">
        <v>0.053099999999999994</v>
      </c>
      <c r="G14" s="45" t="s">
        <v>64</v>
      </c>
      <c r="H14" s="49">
        <v>0.0551</v>
      </c>
      <c r="I14" s="49">
        <v>0.058</v>
      </c>
      <c r="J14" s="89" t="s">
        <v>64</v>
      </c>
      <c r="K14" s="14" t="s">
        <v>128</v>
      </c>
    </row>
    <row r="15">
      <c r="A15" s="1"/>
      <c r="B15" s="48" t="s">
        <v>94</v>
      </c>
      <c r="C15" s="71" t="s">
        <v>64</v>
      </c>
      <c r="D15" s="71" t="s">
        <v>64</v>
      </c>
      <c r="E15" s="71" t="s">
        <v>64</v>
      </c>
      <c r="F15" s="71" t="s">
        <v>64</v>
      </c>
      <c r="G15" s="71" t="s">
        <v>64</v>
      </c>
      <c r="H15" s="71">
        <f>IFERROR((H14-C14)*10000,"n.a.")</f>
        <v>-12.999999999999956</v>
      </c>
      <c r="I15" s="71">
        <f>IFERROR((I14-D14)*10000,"n.a.")</f>
        <v>27.00000000000001</v>
      </c>
      <c r="J15" s="72" t="str">
        <f>IFERROR((J14-E14)*10000,"n.a.")</f>
        <v>n.a.</v>
      </c>
      <c r="K15" s="14"/>
    </row>
    <row r="16">
      <c r="A16" s="1"/>
      <c r="B16" s="48" t="s">
        <v>95</v>
      </c>
      <c r="C16" s="71" t="s">
        <v>64</v>
      </c>
      <c r="D16" s="71">
        <f>IFERROR((D14-C14)*10000,"n.a.")</f>
        <v>-10.999999999999968</v>
      </c>
      <c r="E16" s="71">
        <f>IFERROR((E14-D14)*10000,"n.a.")</f>
        <v>-44.000000000000014</v>
      </c>
      <c r="F16" s="71">
        <f>IFERROR((F14-E14)*10000,"n.a.")</f>
        <v>21.999999999999936</v>
      </c>
      <c r="G16" s="71" t="s">
        <v>64</v>
      </c>
      <c r="H16" s="71">
        <f>IFERROR((H14-F14)*10000,"n.a.")</f>
        <v>20.00000000000009</v>
      </c>
      <c r="I16" s="71">
        <f>IFERROR((I14-H14)*10000,"n.a.")</f>
        <v>28.999999999999996</v>
      </c>
      <c r="J16" s="72" t="str">
        <f>IFERROR((J14-I14)*10000,"n.a.")</f>
        <v>n.a.</v>
      </c>
      <c r="K16" s="14"/>
    </row>
    <row r="17" ht="14.624267578125">
      <c r="A17" s="1"/>
      <c r="B17" s="63" t="s">
        <v>129</v>
      </c>
      <c r="C17" s="45" t="s">
        <v>64</v>
      </c>
      <c r="D17" s="45" t="s">
        <v>64</v>
      </c>
      <c r="E17" s="45" t="s">
        <v>64</v>
      </c>
      <c r="F17" s="45" t="s">
        <v>64</v>
      </c>
      <c r="G17" s="45" t="s">
        <v>64</v>
      </c>
      <c r="H17" s="45" t="s">
        <v>64</v>
      </c>
      <c r="I17" s="45" t="s">
        <v>64</v>
      </c>
      <c r="J17" s="90">
        <v>0.057</v>
      </c>
      <c r="K17" s="14" t="s">
        <v>234</v>
      </c>
    </row>
    <row r="18" ht="23.24853515625">
      <c r="A18" s="1"/>
      <c r="B18" s="18"/>
      <c r="C18" s="19"/>
      <c r="D18" s="19"/>
      <c r="E18" s="19"/>
      <c r="F18" s="19"/>
      <c r="G18" s="19"/>
      <c r="H18" s="19"/>
      <c r="I18" s="19"/>
      <c r="J18" s="27"/>
      <c r="K18" s="14"/>
    </row>
    <row r="19">
      <c r="A19" s="1"/>
      <c r="B19" s="20" t="s">
        <v>131</v>
      </c>
      <c r="C19" s="32"/>
      <c r="D19" s="32"/>
      <c r="E19" s="32"/>
      <c r="F19" s="32"/>
      <c r="G19" s="32"/>
      <c r="H19" s="32"/>
      <c r="I19" s="32"/>
      <c r="J19" s="28"/>
      <c r="K19" s="14"/>
    </row>
    <row r="20">
      <c r="A20" s="1"/>
      <c r="B20" s="18" t="s">
        <v>82</v>
      </c>
      <c r="C20" s="24">
        <v>204</v>
      </c>
      <c r="D20" s="24">
        <v>203</v>
      </c>
      <c r="E20" s="24">
        <v>190</v>
      </c>
      <c r="F20" s="24">
        <v>202</v>
      </c>
      <c r="G20" s="2">
        <f>SUM(C20:F20)</f>
        <v>799</v>
      </c>
      <c r="H20" s="24">
        <v>204</v>
      </c>
      <c r="I20" s="24">
        <v>216</v>
      </c>
      <c r="J20" s="26">
        <f>J11*J17*J$7/365</f>
        <v>215.6602901917808</v>
      </c>
      <c r="K20" s="14" t="s">
        <v>132</v>
      </c>
    </row>
    <row r="21">
      <c r="A21" s="1"/>
      <c r="B21" s="37" t="s">
        <v>63</v>
      </c>
      <c r="C21" s="25" t="s">
        <v>64</v>
      </c>
      <c r="D21" s="25" t="s">
        <v>64</v>
      </c>
      <c r="E21" s="25" t="s">
        <v>64</v>
      </c>
      <c r="F21" s="25" t="s">
        <v>64</v>
      </c>
      <c r="G21" s="25" t="s">
        <v>64</v>
      </c>
      <c r="H21" s="25">
        <f>IFERROR(H20/C20-1,"n.a.")</f>
        <v>0</v>
      </c>
      <c r="I21" s="25">
        <f>IFERROR(I20/D20-1,"n.a.")</f>
        <v>0.0640394088669951</v>
      </c>
      <c r="J21" s="51">
        <f>IFERROR(J20/E20-1,"n.a.")</f>
        <v>0.13505415890410943</v>
      </c>
      <c r="K21" s="14"/>
    </row>
    <row r="22">
      <c r="A22" s="1"/>
      <c r="B22" s="48" t="s">
        <v>78</v>
      </c>
      <c r="C22" s="2" t="s">
        <v>64</v>
      </c>
      <c r="D22" s="2">
        <f>IFERROR(D20-C20,"n.a.")</f>
        <v>-1</v>
      </c>
      <c r="E22" s="2">
        <f>IFERROR(E20-D20,"n.a.")</f>
        <v>-13</v>
      </c>
      <c r="F22" s="2">
        <f>IFERROR(F20-E20,"n.a.")</f>
        <v>12</v>
      </c>
      <c r="G22" s="2" t="s">
        <v>64</v>
      </c>
      <c r="H22" s="2">
        <f>IFERROR(H20-F20,"n.a.")</f>
        <v>2</v>
      </c>
      <c r="I22" s="2">
        <f>IFERROR(I20-H20,"n.a.")</f>
        <v>12</v>
      </c>
      <c r="J22" s="26">
        <f>IFERROR(J20-I20,"n.a.")</f>
        <v>-0.3397098082191974</v>
      </c>
      <c r="K22" s="14"/>
    </row>
    <row r="23" ht="23.24853515625">
      <c r="A23" s="1"/>
      <c r="B23" s="13" t="s">
        <v>133</v>
      </c>
      <c r="C23" s="45">
        <f>IFERROR(C20/C11*365/C$7,"n.a.")</f>
        <v>0.05638090045886148</v>
      </c>
      <c r="D23" s="45">
        <f>IFERROR(D20/D11*365/D$7,"n.a.")</f>
        <v>0.0552807909043906</v>
      </c>
      <c r="E23" s="45">
        <f>IFERROR(E20/E11*365/E$7,"n.a.")</f>
        <v>0.05092584433360945</v>
      </c>
      <c r="F23" s="45">
        <f>IFERROR(F20/F11*365/F$7,"n.a.")</f>
        <v>0.0530561432292791</v>
      </c>
      <c r="G23" s="45">
        <f>IFERROR(G20/G11*365/G$7,"n.a.")</f>
        <v>0.053886359804417465</v>
      </c>
      <c r="H23" s="45">
        <f>IFERROR(H20/H11*365/H$7,"n.a.")</f>
        <v>0.05507477921271025</v>
      </c>
      <c r="I23" s="45">
        <f>IFERROR(I20/I11*365/I$7,"n.a.")</f>
        <v>0.058005732885218694</v>
      </c>
      <c r="J23" s="89">
        <f>IFERROR(J20/J11*365/J$7,"n.a.")</f>
        <v>0.056999999999999995</v>
      </c>
      <c r="K23" s="14"/>
    </row>
    <row r="24">
      <c r="A24" s="1"/>
      <c r="B24" s="48" t="s">
        <v>94</v>
      </c>
      <c r="C24" s="71" t="s">
        <v>64</v>
      </c>
      <c r="D24" s="71" t="s">
        <v>64</v>
      </c>
      <c r="E24" s="71" t="s">
        <v>64</v>
      </c>
      <c r="F24" s="71" t="s">
        <v>64</v>
      </c>
      <c r="G24" s="71" t="s">
        <v>64</v>
      </c>
      <c r="H24" s="71">
        <f>IFERROR((H23-C23)*10000,"n.a.")</f>
        <v>-13.061212461512318</v>
      </c>
      <c r="I24" s="71">
        <f>IFERROR((I23-D23)*10000,"n.a.")</f>
        <v>27.24941980828094</v>
      </c>
      <c r="J24" s="72">
        <f>IFERROR((J23-E23)*10000,"n.a.")</f>
        <v>60.74155666390545</v>
      </c>
      <c r="K24" s="14"/>
    </row>
    <row r="25">
      <c r="A25" s="1"/>
      <c r="B25" s="48" t="s">
        <v>95</v>
      </c>
      <c r="C25" s="71" t="s">
        <v>64</v>
      </c>
      <c r="D25" s="71">
        <f>IFERROR((D23-C23)*10000,"n.a.")</f>
        <v>-11.001095544708809</v>
      </c>
      <c r="E25" s="71">
        <f>IFERROR((E23-D23)*10000,"n.a.")</f>
        <v>-43.5494657078115</v>
      </c>
      <c r="F25" s="71">
        <f>IFERROR((F23-E23)*10000,"n.a.")</f>
        <v>21.302988956696524</v>
      </c>
      <c r="G25" s="71" t="s">
        <v>64</v>
      </c>
      <c r="H25" s="71">
        <f>IFERROR((H23-F23)*10000,"n.a.")</f>
        <v>20.186359834311467</v>
      </c>
      <c r="I25" s="71">
        <f>IFERROR((I23-H23)*10000,"n.a.")</f>
        <v>29.30953672508445</v>
      </c>
      <c r="J25" s="72">
        <f>IFERROR((J23-I23)*10000,"n.a.")</f>
        <v>-10.057328852186991</v>
      </c>
      <c r="K25" s="14"/>
    </row>
    <row r="26" ht="14.624267578125">
      <c r="A26" s="1"/>
      <c r="B26" s="13" t="s">
        <v>134</v>
      </c>
      <c r="C26" s="24">
        <v>145</v>
      </c>
      <c r="D26" s="24">
        <v>145</v>
      </c>
      <c r="E26" s="24">
        <v>145</v>
      </c>
      <c r="F26" s="24">
        <v>146</v>
      </c>
      <c r="G26" s="2">
        <f>SUM(C26:F26)</f>
        <v>581</v>
      </c>
      <c r="H26" s="24">
        <v>143</v>
      </c>
      <c r="I26" s="24">
        <v>150</v>
      </c>
      <c r="J26" s="39">
        <v>148</v>
      </c>
      <c r="K26" s="14" t="s">
        <v>235</v>
      </c>
    </row>
    <row r="27">
      <c r="A27" s="1"/>
      <c r="B27" s="37" t="s">
        <v>63</v>
      </c>
      <c r="C27" s="25" t="s">
        <v>64</v>
      </c>
      <c r="D27" s="25" t="s">
        <v>64</v>
      </c>
      <c r="E27" s="25" t="s">
        <v>64</v>
      </c>
      <c r="F27" s="25" t="s">
        <v>64</v>
      </c>
      <c r="G27" s="25" t="s">
        <v>64</v>
      </c>
      <c r="H27" s="25">
        <f>IFERROR(H26/C26-1,"n.a.")</f>
        <v>-0.01379310344827589</v>
      </c>
      <c r="I27" s="25">
        <f>IFERROR(I26/D26-1,"n.a.")</f>
        <v>0.034482758620689724</v>
      </c>
      <c r="J27" s="51">
        <f>IFERROR(J26/E26-1,"n.a.")</f>
        <v>0.020689655172413834</v>
      </c>
      <c r="K27" s="14"/>
    </row>
    <row r="28">
      <c r="A28" s="1"/>
      <c r="B28" s="48" t="s">
        <v>78</v>
      </c>
      <c r="C28" s="2" t="s">
        <v>64</v>
      </c>
      <c r="D28" s="2">
        <f>IFERROR(D26-C26,"n.a.")</f>
        <v>0</v>
      </c>
      <c r="E28" s="2">
        <f>IFERROR(E26-D26,"n.a.")</f>
        <v>0</v>
      </c>
      <c r="F28" s="2">
        <f>IFERROR(F26-E26,"n.a.")</f>
        <v>1</v>
      </c>
      <c r="G28" s="2" t="s">
        <v>64</v>
      </c>
      <c r="H28" s="2">
        <f>IFERROR(H26-F26,"n.a.")</f>
        <v>-3</v>
      </c>
      <c r="I28" s="2">
        <f>IFERROR(I26-H26,"n.a.")</f>
        <v>7</v>
      </c>
      <c r="J28" s="26">
        <f>IFERROR(J26-I26,"n.a.")</f>
        <v>-2</v>
      </c>
      <c r="K28" s="14"/>
    </row>
    <row r="29">
      <c r="A29" s="1"/>
      <c r="B29" s="20" t="s">
        <v>136</v>
      </c>
      <c r="C29" s="16">
        <f>C20+C26</f>
        <v>349</v>
      </c>
      <c r="D29" s="16">
        <f>D20+D26</f>
        <v>348</v>
      </c>
      <c r="E29" s="16">
        <f>E20+E26</f>
        <v>335</v>
      </c>
      <c r="F29" s="16">
        <f>F20+F26</f>
        <v>348</v>
      </c>
      <c r="G29" s="16">
        <f>SUM(C29:F29)</f>
        <v>1380</v>
      </c>
      <c r="H29" s="16">
        <f>H20+H26</f>
        <v>347</v>
      </c>
      <c r="I29" s="16">
        <f>I20+I26</f>
        <v>366</v>
      </c>
      <c r="J29" s="65">
        <f>J20+J26</f>
        <v>363.6602901917808</v>
      </c>
      <c r="K29" s="14"/>
    </row>
    <row r="30">
      <c r="A30" s="1"/>
      <c r="B30" s="37" t="s">
        <v>63</v>
      </c>
      <c r="C30" s="25" t="s">
        <v>64</v>
      </c>
      <c r="D30" s="25" t="s">
        <v>64</v>
      </c>
      <c r="E30" s="25" t="s">
        <v>64</v>
      </c>
      <c r="F30" s="25" t="s">
        <v>64</v>
      </c>
      <c r="G30" s="25" t="s">
        <v>64</v>
      </c>
      <c r="H30" s="25">
        <f>IFERROR(H29/C29-1,"n.a.")</f>
        <v>-0.005730659025787954</v>
      </c>
      <c r="I30" s="25">
        <f>IFERROR(I29/D29-1,"n.a.")</f>
        <v>0.051724137931034475</v>
      </c>
      <c r="J30" s="51">
        <f>IFERROR(J29/E29-1,"n.a.")</f>
        <v>0.08555310505009195</v>
      </c>
      <c r="K30" s="14"/>
    </row>
    <row r="31">
      <c r="A31" s="1"/>
      <c r="B31" s="37" t="s">
        <v>65</v>
      </c>
      <c r="C31" s="25" t="s">
        <v>64</v>
      </c>
      <c r="D31" s="25">
        <f>IFERROR(D29/C29-1,"n.a.")</f>
        <v>-0.002865329512893977</v>
      </c>
      <c r="E31" s="25">
        <f>IFERROR(E29/D29-1,"n.a.")</f>
        <v>-0.03735632183908044</v>
      </c>
      <c r="F31" s="25">
        <f>IFERROR(F29/E29-1,"n.a.")</f>
        <v>0.0388059701492538</v>
      </c>
      <c r="G31" s="25" t="s">
        <v>64</v>
      </c>
      <c r="H31" s="25">
        <f>IFERROR(H29/F29-1,"n.a.")</f>
        <v>-0.002873563218390829</v>
      </c>
      <c r="I31" s="25">
        <f>IFERROR(I29/H29-1,"n.a.")</f>
        <v>0.05475504322766578</v>
      </c>
      <c r="J31" s="51">
        <f>IFERROR(J29/I29-1,"n.a.")</f>
        <v>-0.006392649749232815</v>
      </c>
      <c r="K31" s="14"/>
    </row>
    <row r="32">
      <c r="A32" s="1"/>
      <c r="B32" s="48" t="s">
        <v>78</v>
      </c>
      <c r="C32" s="2" t="s">
        <v>64</v>
      </c>
      <c r="D32" s="2">
        <f>IFERROR(D29-C29,"n.a.")</f>
        <v>-1</v>
      </c>
      <c r="E32" s="2">
        <f>IFERROR(E29-D29,"n.a.")</f>
        <v>-13</v>
      </c>
      <c r="F32" s="2">
        <f>IFERROR(F29-E29,"n.a.")</f>
        <v>13</v>
      </c>
      <c r="G32" s="2" t="s">
        <v>64</v>
      </c>
      <c r="H32" s="2">
        <f>IFERROR(H29-F29,"n.a.")</f>
        <v>-1</v>
      </c>
      <c r="I32" s="2">
        <f>IFERROR(I29-H29,"n.a.")</f>
        <v>19</v>
      </c>
      <c r="J32" s="26">
        <f>IFERROR(J29-I29,"n.a.")</f>
        <v>-2.3397098082191974</v>
      </c>
      <c r="K32" s="14"/>
    </row>
    <row r="33">
      <c r="A33" s="1"/>
      <c r="B33" s="18"/>
      <c r="C33" s="19"/>
      <c r="D33" s="19"/>
      <c r="E33" s="19"/>
      <c r="F33" s="19"/>
      <c r="G33" s="19"/>
      <c r="H33" s="19"/>
      <c r="I33" s="19"/>
      <c r="J33" s="27"/>
      <c r="K33" s="14"/>
    </row>
    <row r="34">
      <c r="A34" s="1"/>
      <c r="B34" s="20" t="s">
        <v>145</v>
      </c>
      <c r="C34" s="32"/>
      <c r="D34" s="32"/>
      <c r="E34" s="32"/>
      <c r="F34" s="32"/>
      <c r="G34" s="32"/>
      <c r="H34" s="32"/>
      <c r="I34" s="32"/>
      <c r="J34" s="28"/>
      <c r="K34" s="14"/>
    </row>
    <row r="35" ht="14.624267578125">
      <c r="A35" s="1"/>
      <c r="B35" s="63" t="s">
        <v>146</v>
      </c>
      <c r="C35" s="2" t="s">
        <v>64</v>
      </c>
      <c r="D35" s="2" t="s">
        <v>64</v>
      </c>
      <c r="E35" s="2" t="s">
        <v>64</v>
      </c>
      <c r="F35" s="2" t="s">
        <v>64</v>
      </c>
      <c r="G35" s="2" t="s">
        <v>64</v>
      </c>
      <c r="H35" s="2" t="s">
        <v>64</v>
      </c>
      <c r="I35" s="2" t="s">
        <v>64</v>
      </c>
      <c r="J35" s="39">
        <v>-260</v>
      </c>
      <c r="K35" s="14" t="s">
        <v>236</v>
      </c>
    </row>
    <row r="36" ht="14.624267578125">
      <c r="A36" s="1"/>
      <c r="B36" s="63" t="s">
        <v>148</v>
      </c>
      <c r="C36" s="2" t="s">
        <v>64</v>
      </c>
      <c r="D36" s="2" t="s">
        <v>64</v>
      </c>
      <c r="E36" s="2" t="s">
        <v>64</v>
      </c>
      <c r="F36" s="2" t="s">
        <v>64</v>
      </c>
      <c r="G36" s="2" t="s">
        <v>64</v>
      </c>
      <c r="H36" s="2" t="s">
        <v>64</v>
      </c>
      <c r="I36" s="2" t="s">
        <v>64</v>
      </c>
      <c r="J36" s="39">
        <v>-10</v>
      </c>
      <c r="K36" s="14" t="s">
        <v>149</v>
      </c>
    </row>
    <row r="37">
      <c r="A37" s="1"/>
      <c r="B37" s="18" t="s">
        <v>150</v>
      </c>
      <c r="C37" s="24">
        <v>-234</v>
      </c>
      <c r="D37" s="24">
        <v>-238</v>
      </c>
      <c r="E37" s="24">
        <v>-243</v>
      </c>
      <c r="F37" s="24">
        <v>-279</v>
      </c>
      <c r="G37" s="2">
        <f>SUM(C37:F37)</f>
        <v>-994</v>
      </c>
      <c r="H37" s="24">
        <v>-254</v>
      </c>
      <c r="I37" s="24">
        <v>-267</v>
      </c>
      <c r="J37" s="26">
        <f>J35+J36</f>
        <v>-270</v>
      </c>
      <c r="K37" s="14" t="s">
        <v>128</v>
      </c>
    </row>
    <row r="38">
      <c r="A38" s="1"/>
      <c r="B38" s="37" t="s">
        <v>63</v>
      </c>
      <c r="C38" s="25" t="s">
        <v>64</v>
      </c>
      <c r="D38" s="25" t="s">
        <v>64</v>
      </c>
      <c r="E38" s="25" t="s">
        <v>64</v>
      </c>
      <c r="F38" s="25" t="s">
        <v>64</v>
      </c>
      <c r="G38" s="25" t="s">
        <v>64</v>
      </c>
      <c r="H38" s="25">
        <f>IFERROR(H37/C37-1,"n.a.")</f>
        <v>0.08547008547008539</v>
      </c>
      <c r="I38" s="25">
        <f>IFERROR(I37/D37-1,"n.a.")</f>
        <v>0.12184873949579833</v>
      </c>
      <c r="J38" s="51">
        <f>IFERROR(J37/E37-1,"n.a.")</f>
        <v>0.11111111111111116</v>
      </c>
      <c r="K38" s="14"/>
    </row>
    <row r="39">
      <c r="A39" s="1"/>
      <c r="B39" s="48" t="s">
        <v>78</v>
      </c>
      <c r="C39" s="2" t="s">
        <v>64</v>
      </c>
      <c r="D39" s="2">
        <f>IFERROR(D37-C37,"n.a.")</f>
        <v>-4</v>
      </c>
      <c r="E39" s="2">
        <f>IFERROR(E37-D37,"n.a.")</f>
        <v>-5</v>
      </c>
      <c r="F39" s="2">
        <f>IFERROR(F37-E37,"n.a.")</f>
        <v>-36</v>
      </c>
      <c r="G39" s="2" t="s">
        <v>64</v>
      </c>
      <c r="H39" s="2">
        <f>IFERROR(H37-F37,"n.a.")</f>
        <v>25</v>
      </c>
      <c r="I39" s="2">
        <f>IFERROR(I37-H37,"n.a.")</f>
        <v>-13</v>
      </c>
      <c r="J39" s="26">
        <f>IFERROR(J37-I37,"n.a.")</f>
        <v>-3</v>
      </c>
      <c r="K39" s="14"/>
    </row>
    <row r="40">
      <c r="A40" s="1"/>
      <c r="B40" s="18" t="s">
        <v>151</v>
      </c>
      <c r="C40" s="24">
        <v>-2</v>
      </c>
      <c r="D40" s="24">
        <v>0</v>
      </c>
      <c r="E40" s="24">
        <v>-1</v>
      </c>
      <c r="F40" s="24">
        <v>-7</v>
      </c>
      <c r="G40" s="2">
        <f>SUM(C40:F40)</f>
        <v>-10</v>
      </c>
      <c r="H40" s="24">
        <v>-3</v>
      </c>
      <c r="I40" s="24">
        <v>0</v>
      </c>
      <c r="J40" s="39">
        <v>0</v>
      </c>
      <c r="K40" s="14" t="s">
        <v>152</v>
      </c>
    </row>
    <row r="41">
      <c r="A41" s="1"/>
      <c r="B41" s="18" t="s">
        <v>153</v>
      </c>
      <c r="C41" s="24">
        <v>0</v>
      </c>
      <c r="D41" s="24">
        <v>0</v>
      </c>
      <c r="E41" s="24">
        <v>1</v>
      </c>
      <c r="F41" s="24">
        <v>-10</v>
      </c>
      <c r="G41" s="2">
        <f>SUM(C41:F41)</f>
        <v>-9</v>
      </c>
      <c r="H41" s="24">
        <v>0</v>
      </c>
      <c r="I41" s="24">
        <v>0</v>
      </c>
      <c r="J41" s="39">
        <v>0</v>
      </c>
      <c r="K41" s="14" t="s">
        <v>154</v>
      </c>
    </row>
    <row r="42">
      <c r="A42" s="1"/>
      <c r="B42" s="20" t="s">
        <v>155</v>
      </c>
      <c r="C42" s="16">
        <f>C37+C40+C41</f>
        <v>-236</v>
      </c>
      <c r="D42" s="16">
        <f>D37+D40+D41</f>
        <v>-238</v>
      </c>
      <c r="E42" s="16">
        <f>E37+E40+E41</f>
        <v>-243</v>
      </c>
      <c r="F42" s="16">
        <f>F37+F40+F41</f>
        <v>-296</v>
      </c>
      <c r="G42" s="16">
        <f>SUM(C42:F42)</f>
        <v>-1013</v>
      </c>
      <c r="H42" s="16">
        <f>H37+H40+H41</f>
        <v>-257</v>
      </c>
      <c r="I42" s="16">
        <f>I37+I40+I41</f>
        <v>-267</v>
      </c>
      <c r="J42" s="65">
        <f>J37+J40+J41</f>
        <v>-270</v>
      </c>
      <c r="K42" s="14"/>
    </row>
    <row r="43">
      <c r="A43" s="1"/>
      <c r="B43" s="37" t="s">
        <v>63</v>
      </c>
      <c r="C43" s="25" t="s">
        <v>64</v>
      </c>
      <c r="D43" s="25" t="s">
        <v>64</v>
      </c>
      <c r="E43" s="25" t="s">
        <v>64</v>
      </c>
      <c r="F43" s="25" t="s">
        <v>64</v>
      </c>
      <c r="G43" s="25" t="s">
        <v>64</v>
      </c>
      <c r="H43" s="25">
        <f>IFERROR(H42/C42-1,"n.a.")</f>
        <v>0.08898305084745761</v>
      </c>
      <c r="I43" s="25">
        <f>IFERROR(I42/D42-1,"n.a.")</f>
        <v>0.12184873949579833</v>
      </c>
      <c r="J43" s="51">
        <f>IFERROR(J42/E42-1,"n.a.")</f>
        <v>0.11111111111111116</v>
      </c>
      <c r="K43" s="14"/>
    </row>
    <row r="44">
      <c r="A44" s="1"/>
      <c r="B44" s="48" t="s">
        <v>78</v>
      </c>
      <c r="C44" s="2" t="s">
        <v>64</v>
      </c>
      <c r="D44" s="2">
        <f>IFERROR(D42-C42,"n.a.")</f>
        <v>-2</v>
      </c>
      <c r="E44" s="2">
        <f>IFERROR(E42-D42,"n.a.")</f>
        <v>-5</v>
      </c>
      <c r="F44" s="2">
        <f>IFERROR(F42-E42,"n.a.")</f>
        <v>-53</v>
      </c>
      <c r="G44" s="2" t="s">
        <v>64</v>
      </c>
      <c r="H44" s="2">
        <f>IFERROR(H42-F42,"n.a.")</f>
        <v>39</v>
      </c>
      <c r="I44" s="2">
        <f>IFERROR(I42-H42,"n.a.")</f>
        <v>-10</v>
      </c>
      <c r="J44" s="26">
        <f>IFERROR(J42-I42,"n.a.")</f>
        <v>-3</v>
      </c>
      <c r="K44" s="14"/>
    </row>
    <row r="45">
      <c r="A45" s="1"/>
      <c r="B45" s="18" t="s">
        <v>156</v>
      </c>
      <c r="C45" s="24">
        <v>0</v>
      </c>
      <c r="D45" s="24">
        <v>0</v>
      </c>
      <c r="E45" s="24">
        <v>0</v>
      </c>
      <c r="F45" s="24">
        <v>0</v>
      </c>
      <c r="G45" s="2">
        <f>SUM(C45:F45)</f>
        <v>0</v>
      </c>
      <c r="H45" s="24">
        <v>0</v>
      </c>
      <c r="I45" s="24">
        <v>0</v>
      </c>
      <c r="J45" s="39">
        <v>0</v>
      </c>
      <c r="K45" s="14"/>
    </row>
    <row r="46">
      <c r="A46" s="1"/>
      <c r="B46" s="20" t="s">
        <v>157</v>
      </c>
      <c r="C46" s="16">
        <f>C29+C42+C45</f>
        <v>113</v>
      </c>
      <c r="D46" s="16">
        <f>D29+D42+D45</f>
        <v>110</v>
      </c>
      <c r="E46" s="16">
        <f>E29+E42+E45</f>
        <v>92</v>
      </c>
      <c r="F46" s="16">
        <f>F29+F42+F45</f>
        <v>52</v>
      </c>
      <c r="G46" s="16">
        <f>SUM(C46:F46)</f>
        <v>367</v>
      </c>
      <c r="H46" s="16">
        <f>H29+H42+H45</f>
        <v>90</v>
      </c>
      <c r="I46" s="16">
        <f>I29+I42+I45</f>
        <v>99</v>
      </c>
      <c r="J46" s="65">
        <f>J29+J42+J45</f>
        <v>93.6602901917808</v>
      </c>
      <c r="K46" s="14"/>
    </row>
    <row r="47">
      <c r="A47" s="1"/>
      <c r="B47" s="37" t="s">
        <v>63</v>
      </c>
      <c r="C47" s="25" t="s">
        <v>64</v>
      </c>
      <c r="D47" s="25" t="s">
        <v>64</v>
      </c>
      <c r="E47" s="25" t="s">
        <v>64</v>
      </c>
      <c r="F47" s="25" t="s">
        <v>64</v>
      </c>
      <c r="G47" s="25" t="s">
        <v>64</v>
      </c>
      <c r="H47" s="25">
        <f>IFERROR(H46/C46-1,"n.a.")</f>
        <v>-0.20353982300884954</v>
      </c>
      <c r="I47" s="25">
        <f>IFERROR(I46/D46-1,"n.a.")</f>
        <v>-0.09999999999999998</v>
      </c>
      <c r="J47" s="51">
        <f>IFERROR(J46/E46-1,"n.a.")</f>
        <v>0.018046632519356454</v>
      </c>
      <c r="K47" s="14"/>
    </row>
    <row r="48">
      <c r="A48" s="1"/>
      <c r="B48" s="48" t="s">
        <v>78</v>
      </c>
      <c r="C48" s="2" t="s">
        <v>64</v>
      </c>
      <c r="D48" s="2">
        <f>IFERROR(D46-C46,"n.a.")</f>
        <v>-3</v>
      </c>
      <c r="E48" s="2">
        <f>IFERROR(E46-D46,"n.a.")</f>
        <v>-18</v>
      </c>
      <c r="F48" s="2">
        <f>IFERROR(F46-E46,"n.a.")</f>
        <v>-40</v>
      </c>
      <c r="G48" s="2" t="s">
        <v>64</v>
      </c>
      <c r="H48" s="2">
        <f>IFERROR(H46-F46,"n.a.")</f>
        <v>38</v>
      </c>
      <c r="I48" s="2">
        <f>IFERROR(I46-H46,"n.a.")</f>
        <v>9</v>
      </c>
      <c r="J48" s="26">
        <f>IFERROR(J46-I46,"n.a.")</f>
        <v>-5.339709808219197</v>
      </c>
      <c r="K48" s="14"/>
    </row>
    <row r="49">
      <c r="A49" s="1"/>
      <c r="B49" s="18"/>
      <c r="C49" s="19"/>
      <c r="D49" s="19"/>
      <c r="E49" s="19"/>
      <c r="F49" s="19"/>
      <c r="G49" s="19"/>
      <c r="H49" s="19"/>
      <c r="I49" s="19"/>
      <c r="J49" s="27"/>
      <c r="K49" s="14"/>
    </row>
    <row r="50">
      <c r="A50" s="1"/>
      <c r="B50" s="20" t="s">
        <v>158</v>
      </c>
      <c r="C50" s="32"/>
      <c r="D50" s="32"/>
      <c r="E50" s="32"/>
      <c r="F50" s="32"/>
      <c r="G50" s="32"/>
      <c r="H50" s="32"/>
      <c r="I50" s="32"/>
      <c r="J50" s="28"/>
      <c r="K50" s="14"/>
    </row>
    <row r="51" ht="14.624267578125">
      <c r="A51" s="1"/>
      <c r="B51" s="63" t="s">
        <v>219</v>
      </c>
      <c r="C51" s="45" t="s">
        <v>64</v>
      </c>
      <c r="D51" s="45" t="s">
        <v>64</v>
      </c>
      <c r="E51" s="45" t="s">
        <v>64</v>
      </c>
      <c r="F51" s="45" t="s">
        <v>64</v>
      </c>
      <c r="G51" s="45" t="s">
        <v>64</v>
      </c>
      <c r="H51" s="45" t="s">
        <v>64</v>
      </c>
      <c r="I51" s="45" t="s">
        <v>64</v>
      </c>
      <c r="J51" s="90">
        <v>0.0008</v>
      </c>
      <c r="K51" s="14" t="s">
        <v>237</v>
      </c>
    </row>
    <row r="52" ht="14.624267578125">
      <c r="A52" s="1"/>
      <c r="B52" s="46" t="s">
        <v>221</v>
      </c>
      <c r="C52" s="62">
        <v>9</v>
      </c>
      <c r="D52" s="62">
        <v>2</v>
      </c>
      <c r="E52" s="62">
        <v>-1</v>
      </c>
      <c r="F52" s="62">
        <v>-2</v>
      </c>
      <c r="G52" s="38">
        <f>SUM(C52:F52)</f>
        <v>8</v>
      </c>
      <c r="H52" s="62">
        <v>2</v>
      </c>
      <c r="I52" s="62">
        <v>-5</v>
      </c>
      <c r="J52" s="23">
        <f>-J70*1000*J51*J$7/365</f>
        <v>-2.991789589041096</v>
      </c>
      <c r="K52" s="14" t="s">
        <v>128</v>
      </c>
    </row>
    <row r="53">
      <c r="A53" s="1"/>
      <c r="B53" s="37" t="s">
        <v>63</v>
      </c>
      <c r="C53" s="25" t="s">
        <v>64</v>
      </c>
      <c r="D53" s="25" t="s">
        <v>64</v>
      </c>
      <c r="E53" s="25" t="s">
        <v>64</v>
      </c>
      <c r="F53" s="25" t="s">
        <v>64</v>
      </c>
      <c r="G53" s="25" t="s">
        <v>64</v>
      </c>
      <c r="H53" s="25">
        <f>IF(AND(ISNUMBER(H52),ISNUMBER(C52)),IF(OR(C52&lt;=0,H52&lt;0),"n.m.",H52/C52-1),"n.a.")</f>
        <v>-0.7777777777777778</v>
      </c>
      <c r="I53" s="25" t="str">
        <f>IF(AND(ISNUMBER(I52),ISNUMBER(D52)),IF(OR(D52&lt;=0,I52&lt;0),"n.m.",I52/D52-1),"n.a.")</f>
        <v>n.m.</v>
      </c>
      <c r="J53" s="51" t="str">
        <f>IF(AND(ISNUMBER(J52),ISNUMBER(E52)),IF(OR(E52&lt;=0,J52&lt;0),"n.m.",J52/E52-1),"n.a.")</f>
        <v>n.m.</v>
      </c>
      <c r="K53" s="14" t="s">
        <v>238</v>
      </c>
    </row>
    <row r="54">
      <c r="A54" s="1"/>
      <c r="B54" s="48" t="s">
        <v>78</v>
      </c>
      <c r="C54" s="2" t="s">
        <v>64</v>
      </c>
      <c r="D54" s="2">
        <f>IFERROR(D52-C52,"n.a.")</f>
        <v>-7</v>
      </c>
      <c r="E54" s="2">
        <f>IFERROR(E52-D52,"n.a.")</f>
        <v>-3</v>
      </c>
      <c r="F54" s="2">
        <f>IFERROR(F52-E52,"n.a.")</f>
        <v>-1</v>
      </c>
      <c r="G54" s="2" t="s">
        <v>64</v>
      </c>
      <c r="H54" s="2">
        <f>IFERROR(H52-F52,"n.a.")</f>
        <v>4</v>
      </c>
      <c r="I54" s="2">
        <f>IFERROR(I52-H52,"n.a.")</f>
        <v>-7</v>
      </c>
      <c r="J54" s="26">
        <f>IFERROR(J52-I52,"n.a.")</f>
        <v>2.008210410958904</v>
      </c>
      <c r="K54" s="14"/>
    </row>
    <row r="55">
      <c r="A55" s="1"/>
      <c r="B55" s="20" t="s">
        <v>165</v>
      </c>
      <c r="C55" s="16">
        <f>C46+C52</f>
        <v>122</v>
      </c>
      <c r="D55" s="16">
        <f>D46+D52</f>
        <v>112</v>
      </c>
      <c r="E55" s="16">
        <f>E46+E52</f>
        <v>91</v>
      </c>
      <c r="F55" s="16">
        <f>F46+F52</f>
        <v>50</v>
      </c>
      <c r="G55" s="16">
        <f>SUM(C55:F55)</f>
        <v>375</v>
      </c>
      <c r="H55" s="16">
        <f>H46+H52</f>
        <v>92</v>
      </c>
      <c r="I55" s="16">
        <f>I46+I52</f>
        <v>94</v>
      </c>
      <c r="J55" s="65">
        <f>J46+J52</f>
        <v>90.66850060273971</v>
      </c>
      <c r="K55" s="14"/>
    </row>
    <row r="56">
      <c r="A56" s="1"/>
      <c r="B56" s="37" t="s">
        <v>63</v>
      </c>
      <c r="C56" s="25" t="s">
        <v>64</v>
      </c>
      <c r="D56" s="25" t="s">
        <v>64</v>
      </c>
      <c r="E56" s="25" t="s">
        <v>64</v>
      </c>
      <c r="F56" s="25" t="s">
        <v>64</v>
      </c>
      <c r="G56" s="25" t="s">
        <v>64</v>
      </c>
      <c r="H56" s="25">
        <f>IFERROR(H55/C55-1,"n.a.")</f>
        <v>-0.24590163934426235</v>
      </c>
      <c r="I56" s="25">
        <f>IFERROR(I55/D55-1,"n.a.")</f>
        <v>-0.1607142857142857</v>
      </c>
      <c r="J56" s="51">
        <f>IFERROR(J55/E55-1,"n.a.")</f>
        <v>-0.0036428505193438765</v>
      </c>
      <c r="K56" s="14"/>
    </row>
    <row r="57">
      <c r="A57" s="1"/>
      <c r="B57" s="48" t="s">
        <v>78</v>
      </c>
      <c r="C57" s="2" t="s">
        <v>64</v>
      </c>
      <c r="D57" s="2">
        <f>IFERROR(D55-C55,"n.a.")</f>
        <v>-10</v>
      </c>
      <c r="E57" s="2">
        <f>IFERROR(E55-D55,"n.a.")</f>
        <v>-21</v>
      </c>
      <c r="F57" s="2">
        <f>IFERROR(F55-E55,"n.a.")</f>
        <v>-41</v>
      </c>
      <c r="G57" s="2" t="s">
        <v>64</v>
      </c>
      <c r="H57" s="2">
        <f>IFERROR(H55-F55,"n.a.")</f>
        <v>42</v>
      </c>
      <c r="I57" s="2">
        <f>IFERROR(I55-H55,"n.a.")</f>
        <v>2</v>
      </c>
      <c r="J57" s="26">
        <f>IFERROR(J55-I55,"n.a.")</f>
        <v>-3.3314993972602878</v>
      </c>
      <c r="K57" s="14"/>
    </row>
    <row r="58" ht="14.624267578125">
      <c r="A58" s="1"/>
      <c r="B58" s="63" t="s">
        <v>166</v>
      </c>
      <c r="C58" s="24">
        <v>122</v>
      </c>
      <c r="D58" s="24">
        <v>112</v>
      </c>
      <c r="E58" s="24">
        <v>91</v>
      </c>
      <c r="F58" s="24">
        <v>50</v>
      </c>
      <c r="G58" s="2">
        <f>SUM(C58:F58)</f>
        <v>375</v>
      </c>
      <c r="H58" s="24">
        <v>92</v>
      </c>
      <c r="I58" s="24">
        <v>94</v>
      </c>
      <c r="J58" s="26" t="s">
        <v>64</v>
      </c>
      <c r="K58" s="14" t="s">
        <v>128</v>
      </c>
    </row>
    <row r="59" ht="14.624267578125">
      <c r="A59" s="1"/>
      <c r="B59" s="63" t="s">
        <v>167</v>
      </c>
      <c r="C59" s="2">
        <f>C55-C58</f>
        <v>0</v>
      </c>
      <c r="D59" s="2">
        <f>D55-D58</f>
        <v>0</v>
      </c>
      <c r="E59" s="2">
        <f>E55-E58</f>
        <v>0</v>
      </c>
      <c r="F59" s="2">
        <f>F55-F58</f>
        <v>0</v>
      </c>
      <c r="G59" s="2">
        <f>G55-G58</f>
        <v>0</v>
      </c>
      <c r="H59" s="2">
        <f>H55-H58</f>
        <v>0</v>
      </c>
      <c r="I59" s="2">
        <f>I55-I58</f>
        <v>0</v>
      </c>
      <c r="J59" s="26" t="s">
        <v>64</v>
      </c>
      <c r="K59" s="14"/>
    </row>
    <row r="60">
      <c r="A60" s="1"/>
      <c r="B60" s="18" t="s">
        <v>168</v>
      </c>
      <c r="C60" s="24">
        <v>96</v>
      </c>
      <c r="D60" s="24">
        <v>88</v>
      </c>
      <c r="E60" s="24">
        <v>72</v>
      </c>
      <c r="F60" s="24">
        <v>35</v>
      </c>
      <c r="G60" s="2">
        <f>SUM(C60:F60)</f>
        <v>291</v>
      </c>
      <c r="H60" s="24">
        <v>73</v>
      </c>
      <c r="I60" s="24">
        <v>75</v>
      </c>
      <c r="J60" s="26" t="s">
        <v>169</v>
      </c>
      <c r="K60" s="14" t="s">
        <v>170</v>
      </c>
    </row>
    <row r="61">
      <c r="A61" s="1"/>
      <c r="B61" s="37" t="s">
        <v>63</v>
      </c>
      <c r="C61" s="25" t="s">
        <v>64</v>
      </c>
      <c r="D61" s="25" t="s">
        <v>64</v>
      </c>
      <c r="E61" s="25" t="s">
        <v>64</v>
      </c>
      <c r="F61" s="25" t="s">
        <v>64</v>
      </c>
      <c r="G61" s="25" t="s">
        <v>64</v>
      </c>
      <c r="H61" s="25">
        <f>IFERROR(H60/C60-1,"n.a.")</f>
        <v>-0.23958333333333337</v>
      </c>
      <c r="I61" s="25">
        <f>IFERROR(I60/D60-1,"n.a.")</f>
        <v>-0.1477272727272727</v>
      </c>
      <c r="J61" s="51" t="str">
        <f>IFERROR(J60/E60-1,"n.a.")</f>
        <v>n.a.</v>
      </c>
      <c r="K61" s="14"/>
    </row>
    <row r="62">
      <c r="A62" s="1"/>
      <c r="B62" s="18"/>
      <c r="C62" s="19"/>
      <c r="D62" s="19"/>
      <c r="E62" s="19"/>
      <c r="F62" s="19"/>
      <c r="G62" s="19"/>
      <c r="H62" s="19"/>
      <c r="I62" s="19"/>
      <c r="J62" s="27"/>
      <c r="K62" s="14"/>
    </row>
    <row r="63">
      <c r="A63" s="1"/>
      <c r="B63" s="20" t="s">
        <v>171</v>
      </c>
      <c r="C63" s="32"/>
      <c r="D63" s="32"/>
      <c r="E63" s="32"/>
      <c r="F63" s="32"/>
      <c r="G63" s="32"/>
      <c r="H63" s="32"/>
      <c r="I63" s="32"/>
      <c r="J63" s="28"/>
      <c r="K63" s="14"/>
    </row>
    <row r="64">
      <c r="A64" s="1"/>
      <c r="B64" s="66" t="s">
        <v>222</v>
      </c>
      <c r="C64" s="25" t="s">
        <v>64</v>
      </c>
      <c r="D64" s="25" t="s">
        <v>64</v>
      </c>
      <c r="E64" s="25" t="s">
        <v>64</v>
      </c>
      <c r="F64" s="25" t="s">
        <v>64</v>
      </c>
      <c r="G64" s="25" t="s">
        <v>64</v>
      </c>
      <c r="H64" s="25" t="s">
        <v>64</v>
      </c>
      <c r="I64" s="25" t="s">
        <v>64</v>
      </c>
      <c r="J64" s="85">
        <v>0.005</v>
      </c>
      <c r="K64" s="14" t="s">
        <v>183</v>
      </c>
    </row>
    <row r="65" ht="23.24853515625">
      <c r="A65" s="1"/>
      <c r="B65" s="79" t="s">
        <v>224</v>
      </c>
      <c r="C65" s="2" t="s">
        <v>64</v>
      </c>
      <c r="D65" s="2">
        <f>C67</f>
        <v>14.5</v>
      </c>
      <c r="E65" s="2">
        <f>D67</f>
        <v>14.5</v>
      </c>
      <c r="F65" s="2">
        <f>E67</f>
        <v>14.9</v>
      </c>
      <c r="G65" s="2" t="s">
        <v>64</v>
      </c>
      <c r="H65" s="2">
        <f>F67</f>
        <v>14.7</v>
      </c>
      <c r="I65" s="2">
        <f>H67</f>
        <v>14.7</v>
      </c>
      <c r="J65" s="26">
        <f>I67</f>
        <v>14.8</v>
      </c>
      <c r="K65" s="14"/>
    </row>
    <row r="66" ht="14.624267578125">
      <c r="A66" s="1"/>
      <c r="B66" s="63" t="s">
        <v>225</v>
      </c>
      <c r="C66" s="2" t="s">
        <v>64</v>
      </c>
      <c r="D66" s="2">
        <f>D67-D65</f>
        <v>0</v>
      </c>
      <c r="E66" s="2">
        <f>E67-E65</f>
        <v>0.40000000000000036</v>
      </c>
      <c r="F66" s="2">
        <f>F67-F65</f>
        <v>-0.20000000000000107</v>
      </c>
      <c r="G66" s="2" t="s">
        <v>64</v>
      </c>
      <c r="H66" s="2">
        <f>H67-H65</f>
        <v>0</v>
      </c>
      <c r="I66" s="2">
        <f>I67-I65</f>
        <v>0.10000000000000142</v>
      </c>
      <c r="J66" s="26">
        <f>J67-J65</f>
        <v>0.07399999999999807</v>
      </c>
      <c r="K66" s="14"/>
    </row>
    <row r="67" ht="23.24853515625">
      <c r="A67" s="1"/>
      <c r="B67" s="46" t="s">
        <v>226</v>
      </c>
      <c r="C67" s="62">
        <v>14.5</v>
      </c>
      <c r="D67" s="62">
        <v>14.5</v>
      </c>
      <c r="E67" s="62">
        <v>14.9</v>
      </c>
      <c r="F67" s="62">
        <v>14.7</v>
      </c>
      <c r="G67" s="38">
        <f>F67</f>
        <v>14.7</v>
      </c>
      <c r="H67" s="62">
        <v>14.7</v>
      </c>
      <c r="I67" s="62">
        <v>14.8</v>
      </c>
      <c r="J67" s="23">
        <f>I67*(1+J64)</f>
        <v>14.873999999999999</v>
      </c>
      <c r="K67" s="14" t="s">
        <v>128</v>
      </c>
    </row>
    <row r="68">
      <c r="A68" s="1"/>
      <c r="B68" s="37" t="s">
        <v>63</v>
      </c>
      <c r="C68" s="25" t="s">
        <v>64</v>
      </c>
      <c r="D68" s="25" t="s">
        <v>64</v>
      </c>
      <c r="E68" s="25" t="s">
        <v>64</v>
      </c>
      <c r="F68" s="25" t="s">
        <v>64</v>
      </c>
      <c r="G68" s="25" t="s">
        <v>64</v>
      </c>
      <c r="H68" s="25">
        <f>IFERROR(H67/C67-1,"n.a.")</f>
        <v>0.01379310344827589</v>
      </c>
      <c r="I68" s="25">
        <f>IFERROR(I67/D67-1,"n.a.")</f>
        <v>0.020689655172413834</v>
      </c>
      <c r="J68" s="51">
        <f>IFERROR(J67/E67-1,"n.a.")</f>
        <v>-0.0017449664429530776</v>
      </c>
      <c r="K68" s="14"/>
    </row>
    <row r="69" ht="14.624267578125">
      <c r="A69" s="1"/>
      <c r="B69" s="48" t="s">
        <v>78</v>
      </c>
      <c r="C69" s="2" t="s">
        <v>64</v>
      </c>
      <c r="D69" s="2">
        <f>IFERROR(D67-C67,"n.a.")</f>
        <v>0</v>
      </c>
      <c r="E69" s="2">
        <f>IFERROR(E67-D67,"n.a.")</f>
        <v>0.40000000000000036</v>
      </c>
      <c r="F69" s="2">
        <f>IFERROR(F67-E67,"n.a.")</f>
        <v>-0.20000000000000107</v>
      </c>
      <c r="G69" s="2" t="s">
        <v>64</v>
      </c>
      <c r="H69" s="2">
        <f>IFERROR(H67-F67,"n.a.")</f>
        <v>0</v>
      </c>
      <c r="I69" s="2">
        <f>IFERROR(I67-H67,"n.a.")</f>
        <v>0.10000000000000142</v>
      </c>
      <c r="J69" s="26">
        <f>IFERROR(J67-I67,"n.a.")</f>
        <v>0.07399999999999807</v>
      </c>
      <c r="K69" s="14"/>
    </row>
    <row r="70">
      <c r="A70" s="1"/>
      <c r="B70" s="79" t="s">
        <v>227</v>
      </c>
      <c r="C70" s="2" t="s">
        <v>64</v>
      </c>
      <c r="D70" s="2">
        <f>AVERAGE(D65,D67)</f>
        <v>14.5</v>
      </c>
      <c r="E70" s="2">
        <f>AVERAGE(E65,E67)</f>
        <v>14.7</v>
      </c>
      <c r="F70" s="2">
        <f>AVERAGE(F65,F67)</f>
        <v>14.8</v>
      </c>
      <c r="G70" s="2" t="s">
        <v>64</v>
      </c>
      <c r="H70" s="2">
        <f>AVERAGE(H65,H67)</f>
        <v>14.7</v>
      </c>
      <c r="I70" s="2">
        <f>AVERAGE(I65,I67)</f>
        <v>14.75</v>
      </c>
      <c r="J70" s="26">
        <f>AVERAGE(J65,J67)</f>
        <v>14.837</v>
      </c>
      <c r="K70" s="14"/>
    </row>
    <row r="71">
      <c r="A71" s="1"/>
      <c r="B71" s="37" t="s">
        <v>63</v>
      </c>
      <c r="C71" s="25" t="s">
        <v>64</v>
      </c>
      <c r="D71" s="25" t="s">
        <v>64</v>
      </c>
      <c r="E71" s="25" t="s">
        <v>64</v>
      </c>
      <c r="F71" s="25" t="s">
        <v>64</v>
      </c>
      <c r="G71" s="25" t="s">
        <v>64</v>
      </c>
      <c r="H71" s="25" t="str">
        <f>IFERROR(H70/C70-1,"n.a.")</f>
        <v>n.a.</v>
      </c>
      <c r="I71" s="25">
        <f>IFERROR(I70/D70-1,"n.a.")</f>
        <v>0.01724137931034475</v>
      </c>
      <c r="J71" s="51">
        <f>IFERROR(J70/E70-1,"n.a.")</f>
        <v>0.009319727891156537</v>
      </c>
      <c r="K71" s="14"/>
    </row>
    <row r="72">
      <c r="A72" s="1"/>
      <c r="B72" s="48" t="s">
        <v>78</v>
      </c>
      <c r="C72" s="2" t="s">
        <v>64</v>
      </c>
      <c r="D72" s="2" t="str">
        <f>IFERROR(D70-C70,"n.a.")</f>
        <v>n.a.</v>
      </c>
      <c r="E72" s="2">
        <f>IFERROR(E70-D70,"n.a.")</f>
        <v>0.1999999999999993</v>
      </c>
      <c r="F72" s="2">
        <f>IFERROR(F70-E70,"n.a.")</f>
        <v>0.10000000000000142</v>
      </c>
      <c r="G72" s="2" t="s">
        <v>64</v>
      </c>
      <c r="H72" s="2">
        <f>IFERROR(H70-F70,"n.a.")</f>
        <v>-0.10000000000000142</v>
      </c>
      <c r="I72" s="2">
        <f>IFERROR(I70-H70,"n.a.")</f>
        <v>0.05000000000000071</v>
      </c>
      <c r="J72" s="26">
        <f>IFERROR(J70-I70,"n.a.")</f>
        <v>0.08699999999999974</v>
      </c>
      <c r="K72" s="14"/>
    </row>
    <row r="73">
      <c r="A73" s="1"/>
      <c r="B73" s="66" t="s">
        <v>228</v>
      </c>
      <c r="C73" s="25" t="s">
        <v>64</v>
      </c>
      <c r="D73" s="25" t="s">
        <v>64</v>
      </c>
      <c r="E73" s="25" t="s">
        <v>64</v>
      </c>
      <c r="F73" s="25" t="s">
        <v>64</v>
      </c>
      <c r="G73" s="25" t="s">
        <v>64</v>
      </c>
      <c r="H73" s="25" t="s">
        <v>64</v>
      </c>
      <c r="I73" s="25" t="s">
        <v>64</v>
      </c>
      <c r="J73" s="85">
        <v>0.005</v>
      </c>
      <c r="K73" s="14" t="s">
        <v>183</v>
      </c>
    </row>
    <row r="74">
      <c r="A74" s="1"/>
      <c r="B74" s="20" t="s">
        <v>230</v>
      </c>
      <c r="C74" s="62">
        <v>73.1</v>
      </c>
      <c r="D74" s="62">
        <v>66.7</v>
      </c>
      <c r="E74" s="62">
        <v>70.6</v>
      </c>
      <c r="F74" s="62">
        <v>72</v>
      </c>
      <c r="G74" s="38">
        <f>F74</f>
        <v>72</v>
      </c>
      <c r="H74" s="62">
        <v>73.3</v>
      </c>
      <c r="I74" s="62">
        <v>72.7</v>
      </c>
      <c r="J74" s="23">
        <f>I74*(1+J73)</f>
        <v>73.06349999999999</v>
      </c>
      <c r="K74" s="14" t="s">
        <v>128</v>
      </c>
    </row>
    <row r="75">
      <c r="A75" s="1"/>
      <c r="B75" s="37" t="s">
        <v>63</v>
      </c>
      <c r="C75" s="25" t="s">
        <v>64</v>
      </c>
      <c r="D75" s="25" t="s">
        <v>64</v>
      </c>
      <c r="E75" s="25" t="s">
        <v>64</v>
      </c>
      <c r="F75" s="25" t="s">
        <v>64</v>
      </c>
      <c r="G75" s="25" t="s">
        <v>64</v>
      </c>
      <c r="H75" s="25">
        <f>IFERROR(H74/C74-1,"n.a.")</f>
        <v>0.002735978112175186</v>
      </c>
      <c r="I75" s="25">
        <f>IFERROR(I74/D74-1,"n.a.")</f>
        <v>0.08995502248875553</v>
      </c>
      <c r="J75" s="51">
        <f>IFERROR(J74/E74-1,"n.a.")</f>
        <v>0.03489376770538244</v>
      </c>
      <c r="K75" s="14"/>
    </row>
    <row r="76">
      <c r="A76" s="1"/>
      <c r="B76" s="48" t="s">
        <v>78</v>
      </c>
      <c r="C76" s="2" t="s">
        <v>64</v>
      </c>
      <c r="D76" s="2">
        <f>IFERROR(D74-C74,"n.a.")</f>
        <v>-6.3999999999999915</v>
      </c>
      <c r="E76" s="2">
        <f>IFERROR(E74-D74,"n.a.")</f>
        <v>3.8999999999999915</v>
      </c>
      <c r="F76" s="2">
        <f>IFERROR(F74-E74,"n.a.")</f>
        <v>1.4000000000000057</v>
      </c>
      <c r="G76" s="2" t="s">
        <v>64</v>
      </c>
      <c r="H76" s="2">
        <f>IFERROR(H74-F74,"n.a.")</f>
        <v>1.2999999999999972</v>
      </c>
      <c r="I76" s="2">
        <f>IFERROR(I74-H74,"n.a.")</f>
        <v>-0.5999999999999943</v>
      </c>
      <c r="J76" s="26">
        <f>IFERROR(J74-I74,"n.a.")</f>
        <v>0.3634999999999877</v>
      </c>
      <c r="K76" s="14"/>
    </row>
    <row r="77">
      <c r="A77" s="1"/>
      <c r="B77" s="18" t="s">
        <v>189</v>
      </c>
      <c r="C77" s="10">
        <f>C67/C74</f>
        <v>0.19835841313269495</v>
      </c>
      <c r="D77" s="10">
        <f>D67/D74</f>
        <v>0.21739130434782608</v>
      </c>
      <c r="E77" s="10">
        <f>E67/E74</f>
        <v>0.21104815864022666</v>
      </c>
      <c r="F77" s="10">
        <f>F67/F74</f>
        <v>0.20416666666666666</v>
      </c>
      <c r="G77" s="10">
        <f>G67/G74</f>
        <v>0.20416666666666666</v>
      </c>
      <c r="H77" s="10">
        <f>H67/H74</f>
        <v>0.20054570259208732</v>
      </c>
      <c r="I77" s="10">
        <f>I67/I74</f>
        <v>0.20357634112792297</v>
      </c>
      <c r="J77" s="81">
        <f>J67/J74</f>
        <v>0.20357634112792297</v>
      </c>
      <c r="K77" s="14"/>
    </row>
    <row r="78" ht="23.24853515625">
      <c r="A78" s="1"/>
      <c r="B78" s="48" t="s">
        <v>94</v>
      </c>
      <c r="C78" s="71" t="s">
        <v>64</v>
      </c>
      <c r="D78" s="71" t="s">
        <v>64</v>
      </c>
      <c r="E78" s="71" t="s">
        <v>64</v>
      </c>
      <c r="F78" s="71" t="s">
        <v>64</v>
      </c>
      <c r="G78" s="71" t="s">
        <v>64</v>
      </c>
      <c r="H78" s="71">
        <f>IFERROR((H77-C77)*10000,"n.a.")</f>
        <v>21.872894593923665</v>
      </c>
      <c r="I78" s="71">
        <f>IFERROR((I77-D77)*10000,"n.a.")</f>
        <v>-138.1496321990311</v>
      </c>
      <c r="J78" s="72">
        <f>IFERROR((J77-E77)*10000,"n.a.")</f>
        <v>-74.71817512303691</v>
      </c>
      <c r="K78" s="14"/>
    </row>
    <row r="79">
      <c r="A79" s="1"/>
      <c r="B79" s="48" t="s">
        <v>95</v>
      </c>
      <c r="C79" s="71" t="s">
        <v>64</v>
      </c>
      <c r="D79" s="71">
        <f>IFERROR((D77-C77)*10000,"n.a.")</f>
        <v>190.3289121513113</v>
      </c>
      <c r="E79" s="71">
        <f>IFERROR((E77-D77)*10000,"n.a.")</f>
        <v>-63.43145707599418</v>
      </c>
      <c r="F79" s="71">
        <f>IFERROR((F77-E77)*10000,"n.a.")</f>
        <v>-68.8149197356</v>
      </c>
      <c r="G79" s="71" t="s">
        <v>64</v>
      </c>
      <c r="H79" s="71">
        <f>IFERROR((H77-F77)*10000,"n.a.")</f>
        <v>-36.20964074579347</v>
      </c>
      <c r="I79" s="71">
        <f>IFERROR((I77-H77)*10000,"n.a.")</f>
        <v>30.306385358356557</v>
      </c>
      <c r="J79" s="72">
        <f>IFERROR((J77-I77)*10000,"n.a.")</f>
        <v>0</v>
      </c>
      <c r="K79" s="14"/>
    </row>
    <row r="80" ht="23.24853515625">
      <c r="A80" s="1"/>
      <c r="B80" s="67" t="s">
        <v>239</v>
      </c>
      <c r="C80" s="25" t="s">
        <v>64</v>
      </c>
      <c r="D80" s="25" t="s">
        <v>64</v>
      </c>
      <c r="E80" s="25" t="s">
        <v>64</v>
      </c>
      <c r="F80" s="25" t="s">
        <v>64</v>
      </c>
      <c r="G80" s="25" t="s">
        <v>64</v>
      </c>
      <c r="H80" s="25" t="s">
        <v>64</v>
      </c>
      <c r="I80" s="25" t="s">
        <v>64</v>
      </c>
      <c r="J80" s="85">
        <v>0.015</v>
      </c>
      <c r="K80" s="14" t="s">
        <v>240</v>
      </c>
    </row>
    <row r="81">
      <c r="A81" s="1"/>
      <c r="B81" s="18" t="s">
        <v>241</v>
      </c>
      <c r="C81" s="24">
        <v>212.4</v>
      </c>
      <c r="D81" s="24">
        <v>213.4</v>
      </c>
      <c r="E81" s="24">
        <v>221.5</v>
      </c>
      <c r="F81" s="24">
        <v>227.6</v>
      </c>
      <c r="G81" s="2">
        <f>F81</f>
        <v>227.6</v>
      </c>
      <c r="H81" s="24">
        <v>223.8</v>
      </c>
      <c r="I81" s="24">
        <v>230.2</v>
      </c>
      <c r="J81" s="26">
        <f>I81*(1+J80)</f>
        <v>233.65299999999996</v>
      </c>
      <c r="K81" s="14" t="s">
        <v>128</v>
      </c>
    </row>
    <row r="82">
      <c r="A82" s="1"/>
      <c r="B82" s="37" t="s">
        <v>63</v>
      </c>
      <c r="C82" s="25" t="s">
        <v>64</v>
      </c>
      <c r="D82" s="25" t="s">
        <v>64</v>
      </c>
      <c r="E82" s="25" t="s">
        <v>64</v>
      </c>
      <c r="F82" s="25" t="s">
        <v>64</v>
      </c>
      <c r="G82" s="25" t="s">
        <v>64</v>
      </c>
      <c r="H82" s="25">
        <f>IFERROR(H81/C81-1,"n.a.")</f>
        <v>0.053672316384180796</v>
      </c>
      <c r="I82" s="25">
        <f>IFERROR(I81/D81-1,"n.a.")</f>
        <v>0.07872539831302716</v>
      </c>
      <c r="J82" s="51">
        <f>IFERROR(J81/E81-1,"n.a.")</f>
        <v>0.05486681715575603</v>
      </c>
      <c r="K82" s="14"/>
    </row>
    <row r="83">
      <c r="A83" s="1"/>
      <c r="B83" s="48" t="s">
        <v>78</v>
      </c>
      <c r="C83" s="2" t="s">
        <v>64</v>
      </c>
      <c r="D83" s="2">
        <f>IFERROR(D81-C81,"n.a.")</f>
        <v>1</v>
      </c>
      <c r="E83" s="2">
        <f>IFERROR(E81-D81,"n.a.")</f>
        <v>8.099999999999994</v>
      </c>
      <c r="F83" s="2">
        <f>IFERROR(F81-E81,"n.a.")</f>
        <v>6.099999999999994</v>
      </c>
      <c r="G83" s="2" t="s">
        <v>64</v>
      </c>
      <c r="H83" s="2">
        <f>IFERROR(H81-F81,"n.a.")</f>
        <v>-3.799999999999983</v>
      </c>
      <c r="I83" s="2">
        <f>IFERROR(I81-H81,"n.a.")</f>
        <v>6.399999999999977</v>
      </c>
      <c r="J83" s="26">
        <f>IFERROR(J81-I81,"n.a.")</f>
        <v>3.4529999999999745</v>
      </c>
      <c r="K83" s="14"/>
    </row>
    <row r="84">
      <c r="A84" s="1"/>
      <c r="B84" s="18" t="s">
        <v>190</v>
      </c>
      <c r="C84" s="24">
        <v>8</v>
      </c>
      <c r="D84" s="24">
        <v>7.9</v>
      </c>
      <c r="E84" s="24">
        <v>7.9</v>
      </c>
      <c r="F84" s="24">
        <v>8</v>
      </c>
      <c r="G84" s="2">
        <f>F84</f>
        <v>8</v>
      </c>
      <c r="H84" s="24">
        <v>8.2</v>
      </c>
      <c r="I84" s="24">
        <v>8</v>
      </c>
      <c r="J84" s="26">
        <f>I84*(1+J64)</f>
        <v>8.04</v>
      </c>
      <c r="K84" s="14" t="s">
        <v>231</v>
      </c>
    </row>
    <row r="85">
      <c r="A85" s="1"/>
      <c r="B85" s="37" t="s">
        <v>63</v>
      </c>
      <c r="C85" s="25" t="s">
        <v>64</v>
      </c>
      <c r="D85" s="25" t="s">
        <v>64</v>
      </c>
      <c r="E85" s="25" t="s">
        <v>64</v>
      </c>
      <c r="F85" s="25" t="s">
        <v>64</v>
      </c>
      <c r="G85" s="25" t="s">
        <v>64</v>
      </c>
      <c r="H85" s="25">
        <f>IFERROR(H84/C84-1,"n.a.")</f>
        <v>0.02499999999999991</v>
      </c>
      <c r="I85" s="25">
        <f>IFERROR(I84/D84-1,"n.a.")</f>
        <v>0.012658227848101111</v>
      </c>
      <c r="J85" s="51">
        <f>IFERROR(J84/E84-1,"n.a.")</f>
        <v>0.017721518987341645</v>
      </c>
      <c r="K85" s="14"/>
    </row>
    <row r="86">
      <c r="A86" s="1"/>
      <c r="B86" s="48" t="s">
        <v>78</v>
      </c>
      <c r="C86" s="2" t="s">
        <v>64</v>
      </c>
      <c r="D86" s="2">
        <f>IFERROR(D84-C84,"n.a.")</f>
        <v>-0.09999999999999964</v>
      </c>
      <c r="E86" s="2">
        <f>IFERROR(E84-D84,"n.a.")</f>
        <v>0</v>
      </c>
      <c r="F86" s="2">
        <f>IFERROR(F84-E84,"n.a.")</f>
        <v>0.09999999999999964</v>
      </c>
      <c r="G86" s="2" t="s">
        <v>64</v>
      </c>
      <c r="H86" s="2">
        <f>IFERROR(H84-F84,"n.a.")</f>
        <v>0.1999999999999993</v>
      </c>
      <c r="I86" s="2">
        <f>IFERROR(I84-H84,"n.a.")</f>
        <v>-0.1999999999999993</v>
      </c>
      <c r="J86" s="26">
        <f>IFERROR(J84-I84,"n.a.")</f>
        <v>0.03999999999999915</v>
      </c>
      <c r="K86" s="14"/>
    </row>
    <row r="87">
      <c r="A87" s="1"/>
      <c r="B87" s="18"/>
      <c r="C87" s="19"/>
      <c r="D87" s="19"/>
      <c r="E87" s="19"/>
      <c r="F87" s="19"/>
      <c r="G87" s="19"/>
      <c r="H87" s="19"/>
      <c r="I87" s="19"/>
      <c r="J87" s="27"/>
      <c r="K87" s="14"/>
    </row>
    <row r="88">
      <c r="A88" s="1"/>
      <c r="B88" s="20" t="s">
        <v>192</v>
      </c>
      <c r="C88" s="32"/>
      <c r="D88" s="32"/>
      <c r="E88" s="32"/>
      <c r="F88" s="32"/>
      <c r="G88" s="32"/>
      <c r="H88" s="32"/>
      <c r="I88" s="32"/>
      <c r="J88" s="28"/>
      <c r="K88" s="14"/>
    </row>
    <row r="89">
      <c r="A89" s="1"/>
      <c r="B89" s="18" t="s">
        <v>193</v>
      </c>
      <c r="C89" s="10">
        <f>IFERROR(-C42/C29,"n.a.")</f>
        <v>0.6762177650429799</v>
      </c>
      <c r="D89" s="10">
        <f>IFERROR(-D42/D29,"n.a.")</f>
        <v>0.6839080459770115</v>
      </c>
      <c r="E89" s="10">
        <f>IFERROR(-E42/E29,"n.a.")</f>
        <v>0.7253731343283583</v>
      </c>
      <c r="F89" s="10">
        <f>IFERROR(-F42/F29,"n.a.")</f>
        <v>0.8505747126436781</v>
      </c>
      <c r="G89" s="10">
        <f>IFERROR(-G42/G29,"n.a.")</f>
        <v>0.7340579710144928</v>
      </c>
      <c r="H89" s="10">
        <f>IFERROR(-H42/H29,"n.a.")</f>
        <v>0.7406340057636888</v>
      </c>
      <c r="I89" s="10">
        <f>IFERROR(-I42/I29,"n.a.")</f>
        <v>0.7295081967213115</v>
      </c>
      <c r="J89" s="81">
        <f>IFERROR(-J42/J29,"n.a.")</f>
        <v>0.742451148179011</v>
      </c>
      <c r="K89" s="14"/>
    </row>
    <row r="90">
      <c r="A90" s="1"/>
      <c r="B90" s="48" t="s">
        <v>94</v>
      </c>
      <c r="C90" s="71" t="s">
        <v>64</v>
      </c>
      <c r="D90" s="71" t="s">
        <v>64</v>
      </c>
      <c r="E90" s="71" t="s">
        <v>64</v>
      </c>
      <c r="F90" s="71" t="s">
        <v>64</v>
      </c>
      <c r="G90" s="71" t="s">
        <v>64</v>
      </c>
      <c r="H90" s="71">
        <f>IFERROR((H89-C89)*10000,"n.a.")</f>
        <v>644.1624072070884</v>
      </c>
      <c r="I90" s="71">
        <f>IFERROR((I89-D89)*10000,"n.a.")</f>
        <v>456.00150744300015</v>
      </c>
      <c r="J90" s="72">
        <f>IFERROR((J89-E89)*10000,"n.a.")</f>
        <v>170.78013850652775</v>
      </c>
      <c r="K90" s="14"/>
    </row>
    <row r="91" ht="23.24853515625">
      <c r="A91" s="1"/>
      <c r="B91" s="48" t="s">
        <v>95</v>
      </c>
      <c r="C91" s="71" t="s">
        <v>64</v>
      </c>
      <c r="D91" s="71">
        <f>IFERROR((D89-C89)*10000,"n.a.")</f>
        <v>76.90280934031568</v>
      </c>
      <c r="E91" s="71">
        <f>IFERROR((E89-D89)*10000,"n.a.")</f>
        <v>414.6508835134677</v>
      </c>
      <c r="F91" s="71">
        <f>IFERROR((F89-E89)*10000,"n.a.")</f>
        <v>1252.0157831531985</v>
      </c>
      <c r="G91" s="71" t="s">
        <v>64</v>
      </c>
      <c r="H91" s="71">
        <f>IFERROR((H89-F89)*10000,"n.a.")</f>
        <v>-1099.4070687998935</v>
      </c>
      <c r="I91" s="71">
        <f>IFERROR((I89-H89)*10000,"n.a.")</f>
        <v>-111.25809042377254</v>
      </c>
      <c r="J91" s="72">
        <f>IFERROR((J89-I89)*10000,"n.a.")</f>
        <v>129.42951457699525</v>
      </c>
      <c r="K91" s="14"/>
    </row>
    <row r="92">
      <c r="A92" s="1"/>
      <c r="B92" s="79" t="s">
        <v>194</v>
      </c>
      <c r="C92" s="30">
        <v>0.68</v>
      </c>
      <c r="D92" s="30">
        <v>0.68</v>
      </c>
      <c r="E92" s="30">
        <v>0.73</v>
      </c>
      <c r="F92" s="30">
        <v>0.85</v>
      </c>
      <c r="G92" s="10" t="s">
        <v>64</v>
      </c>
      <c r="H92" s="30">
        <v>0.74</v>
      </c>
      <c r="I92" s="30">
        <v>0.73</v>
      </c>
      <c r="J92" s="81" t="s">
        <v>64</v>
      </c>
      <c r="K92" s="14" t="s">
        <v>128</v>
      </c>
    </row>
    <row r="93">
      <c r="A93" s="1"/>
      <c r="B93" s="48" t="s">
        <v>94</v>
      </c>
      <c r="C93" s="71" t="s">
        <v>64</v>
      </c>
      <c r="D93" s="71" t="s">
        <v>64</v>
      </c>
      <c r="E93" s="71" t="s">
        <v>64</v>
      </c>
      <c r="F93" s="71" t="s">
        <v>64</v>
      </c>
      <c r="G93" s="71" t="s">
        <v>64</v>
      </c>
      <c r="H93" s="71">
        <f>IFERROR((H92-C92)*10000,"n.a.")</f>
        <v>599.9999999999994</v>
      </c>
      <c r="I93" s="71">
        <f>IFERROR((I92-D92)*10000,"n.a.")</f>
        <v>499.9999999999993</v>
      </c>
      <c r="J93" s="72" t="str">
        <f>IFERROR((J92-E92)*10000,"n.a.")</f>
        <v>n.a.</v>
      </c>
      <c r="K93" s="14"/>
    </row>
    <row r="94">
      <c r="A94" s="1"/>
      <c r="B94" s="48" t="s">
        <v>95</v>
      </c>
      <c r="C94" s="71" t="s">
        <v>64</v>
      </c>
      <c r="D94" s="71">
        <f>IFERROR((D92-C92)*10000,"n.a.")</f>
        <v>0</v>
      </c>
      <c r="E94" s="71">
        <f>IFERROR((E92-D92)*10000,"n.a.")</f>
        <v>499.9999999999993</v>
      </c>
      <c r="F94" s="71">
        <f>IFERROR((F92-E92)*10000,"n.a.")</f>
        <v>1200</v>
      </c>
      <c r="G94" s="71" t="s">
        <v>64</v>
      </c>
      <c r="H94" s="71">
        <f>IFERROR((H92-F92)*10000,"n.a.")</f>
        <v>-1099.9999999999998</v>
      </c>
      <c r="I94" s="71">
        <f>IFERROR((I92-H92)*10000,"n.a.")</f>
        <v>-100.00000000000009</v>
      </c>
      <c r="J94" s="72" t="str">
        <f>IFERROR((J92-I92)*10000,"n.a.")</f>
        <v>n.a.</v>
      </c>
      <c r="K94" s="14"/>
    </row>
    <row r="95" ht="23.24853515625">
      <c r="A95" s="1"/>
      <c r="B95" s="13" t="s">
        <v>195</v>
      </c>
      <c r="C95" s="45">
        <f>IFERROR(-C52*365/C$7/(C67*1000),"n.a.")</f>
        <v>-0.0025172413793103448</v>
      </c>
      <c r="D95" s="45">
        <f>IFERROR(-D52*365/D$7/(D67*1000),"n.a.")</f>
        <v>-0.0005532398635846911</v>
      </c>
      <c r="E95" s="45">
        <f>IFERROR(-E52*365/E$7/(E67*1000),"n.a.")</f>
        <v>0.0002662678727750219</v>
      </c>
      <c r="F95" s="45">
        <f>IFERROR(-F52*365/F$7/(F67*1000),"n.a.")</f>
        <v>0.0005397811298432417</v>
      </c>
      <c r="G95" s="45">
        <f>IFERROR(-G52*365/G$7/(G67*1000),"n.a.")</f>
        <v>-0.0005442176870748299</v>
      </c>
      <c r="H95" s="45">
        <f>IFERROR(-H52*365/H$7/(H67*1000),"n.a.")</f>
        <v>-0.0005517762660619803</v>
      </c>
      <c r="I95" s="45">
        <f>IFERROR(-I52*365/I$7/(I67*1000),"n.a.")</f>
        <v>0.001355063855063855</v>
      </c>
      <c r="J95" s="89">
        <f>IFERROR(-J52*365/J$7/(J67*1000),"n.a.")</f>
        <v>0.0007980099502487564</v>
      </c>
      <c r="K95" s="14" t="s">
        <v>196</v>
      </c>
    </row>
    <row r="96">
      <c r="A96" s="1"/>
      <c r="B96" s="48" t="s">
        <v>94</v>
      </c>
      <c r="C96" s="71" t="s">
        <v>64</v>
      </c>
      <c r="D96" s="71" t="s">
        <v>64</v>
      </c>
      <c r="E96" s="71" t="s">
        <v>64</v>
      </c>
      <c r="F96" s="71" t="s">
        <v>64</v>
      </c>
      <c r="G96" s="71" t="s">
        <v>64</v>
      </c>
      <c r="H96" s="71">
        <f>IFERROR((H95-C95)*10000,"n.a.")</f>
        <v>19.654651132483643</v>
      </c>
      <c r="I96" s="71">
        <f>IFERROR((I95-D95)*10000,"n.a.")</f>
        <v>19.083037186485463</v>
      </c>
      <c r="J96" s="72">
        <f>IFERROR((J95-E95)*10000,"n.a.")</f>
        <v>5.317420774737346</v>
      </c>
      <c r="K96" s="14"/>
    </row>
    <row r="97">
      <c r="A97" s="1"/>
      <c r="B97" s="48" t="s">
        <v>95</v>
      </c>
      <c r="C97" s="71" t="s">
        <v>64</v>
      </c>
      <c r="D97" s="71">
        <f>IFERROR((D95-C95)*10000,"n.a.")</f>
        <v>19.640015157256535</v>
      </c>
      <c r="E97" s="71">
        <f>IFERROR((E95-D95)*10000,"n.a.")</f>
        <v>8.19507736359713</v>
      </c>
      <c r="F97" s="71">
        <f>IFERROR((F95-E95)*10000,"n.a.")</f>
        <v>2.7351325706821976</v>
      </c>
      <c r="G97" s="71" t="s">
        <v>64</v>
      </c>
      <c r="H97" s="71">
        <f>IFERROR((H95-F95)*10000,"n.a.")</f>
        <v>-10.91557395905222</v>
      </c>
      <c r="I97" s="71">
        <f>IFERROR((I95-H95)*10000,"n.a.")</f>
        <v>19.068401211258355</v>
      </c>
      <c r="J97" s="72">
        <f>IFERROR((J95-I95)*10000,"n.a.")</f>
        <v>-5.570539048150986</v>
      </c>
      <c r="K97" s="14"/>
    </row>
    <row r="98" ht="14.624267578125">
      <c r="A98" s="1"/>
      <c r="B98" s="79" t="s">
        <v>197</v>
      </c>
      <c r="C98" s="49">
        <v>-0.0025</v>
      </c>
      <c r="D98" s="49">
        <v>-0.0005</v>
      </c>
      <c r="E98" s="49">
        <v>0.0003</v>
      </c>
      <c r="F98" s="49">
        <v>0.0005</v>
      </c>
      <c r="G98" s="45" t="s">
        <v>64</v>
      </c>
      <c r="H98" s="49">
        <v>-0.0006</v>
      </c>
      <c r="I98" s="49">
        <v>0.0013</v>
      </c>
      <c r="J98" s="89" t="s">
        <v>64</v>
      </c>
      <c r="K98" s="14" t="s">
        <v>198</v>
      </c>
    </row>
    <row r="99">
      <c r="A99" s="1"/>
      <c r="B99" s="48" t="s">
        <v>94</v>
      </c>
      <c r="C99" s="71" t="s">
        <v>64</v>
      </c>
      <c r="D99" s="71" t="s">
        <v>64</v>
      </c>
      <c r="E99" s="71" t="s">
        <v>64</v>
      </c>
      <c r="F99" s="71" t="s">
        <v>64</v>
      </c>
      <c r="G99" s="71" t="s">
        <v>64</v>
      </c>
      <c r="H99" s="71">
        <f>IFERROR((H98-C98)*10000,"n.a.")</f>
        <v>19.000000000000004</v>
      </c>
      <c r="I99" s="71">
        <f>IFERROR((I98-D98)*10000,"n.a.")</f>
        <v>18</v>
      </c>
      <c r="J99" s="72" t="str">
        <f>IFERROR((J98-E98)*10000,"n.a.")</f>
        <v>n.a.</v>
      </c>
      <c r="K99" s="14"/>
    </row>
    <row r="100">
      <c r="A100" s="1"/>
      <c r="B100" s="48" t="s">
        <v>95</v>
      </c>
      <c r="C100" s="71" t="s">
        <v>64</v>
      </c>
      <c r="D100" s="71">
        <f>IFERROR((D98-C98)*10000,"n.a.")</f>
        <v>20</v>
      </c>
      <c r="E100" s="71">
        <f>IFERROR((E98-D98)*10000,"n.a.")</f>
        <v>7.999999999999999</v>
      </c>
      <c r="F100" s="71">
        <f>IFERROR((F98-E98)*10000,"n.a.")</f>
        <v>2.0000000000000004</v>
      </c>
      <c r="G100" s="71" t="s">
        <v>64</v>
      </c>
      <c r="H100" s="71">
        <f>IFERROR((H98-F98)*10000,"n.a.")</f>
        <v>-10.999999999999998</v>
      </c>
      <c r="I100" s="71">
        <f>IFERROR((I98-H98)*10000,"n.a.")</f>
        <v>18.999999999999996</v>
      </c>
      <c r="J100" s="72" t="str">
        <f>IFERROR((J98-I98)*10000,"n.a.")</f>
        <v>n.a.</v>
      </c>
      <c r="K100" s="14"/>
    </row>
    <row r="101" ht="23.24853515625">
      <c r="A101" s="1"/>
      <c r="B101" s="13" t="s">
        <v>199</v>
      </c>
      <c r="C101" s="30">
        <v>0.345</v>
      </c>
      <c r="D101" s="30">
        <v>0.319</v>
      </c>
      <c r="E101" s="30">
        <v>0.264</v>
      </c>
      <c r="F101" s="30">
        <v>0.126</v>
      </c>
      <c r="G101" s="10" t="s">
        <v>64</v>
      </c>
      <c r="H101" s="30">
        <v>0.255</v>
      </c>
      <c r="I101" s="30">
        <v>0.26899999999999996</v>
      </c>
      <c r="J101" s="81" t="s">
        <v>64</v>
      </c>
      <c r="K101" s="14" t="s">
        <v>128</v>
      </c>
    </row>
    <row r="102">
      <c r="A102" s="1"/>
      <c r="B102" s="48" t="s">
        <v>94</v>
      </c>
      <c r="C102" s="71" t="s">
        <v>64</v>
      </c>
      <c r="D102" s="71" t="s">
        <v>64</v>
      </c>
      <c r="E102" s="71" t="s">
        <v>64</v>
      </c>
      <c r="F102" s="71" t="s">
        <v>64</v>
      </c>
      <c r="G102" s="71" t="s">
        <v>64</v>
      </c>
      <c r="H102" s="71">
        <f>IFERROR((H101-C101)*10000,"n.a.")</f>
        <v>-899.9999999999997</v>
      </c>
      <c r="I102" s="71">
        <f>IFERROR((I101-D101)*10000,"n.a.")</f>
        <v>-500.00000000000045</v>
      </c>
      <c r="J102" s="72" t="str">
        <f>IFERROR((J101-E101)*10000,"n.a.")</f>
        <v>n.a.</v>
      </c>
      <c r="K102" s="14"/>
    </row>
    <row r="103">
      <c r="A103" s="1"/>
      <c r="B103" s="48" t="s">
        <v>95</v>
      </c>
      <c r="C103" s="71" t="s">
        <v>64</v>
      </c>
      <c r="D103" s="71">
        <f>IFERROR((D101-C101)*10000,"n.a.")</f>
        <v>-259.99999999999966</v>
      </c>
      <c r="E103" s="71">
        <f>IFERROR((E101-D101)*10000,"n.a.")</f>
        <v>-549.9999999999999</v>
      </c>
      <c r="F103" s="71">
        <f>IFERROR((F101-E101)*10000,"n.a.")</f>
        <v>-1380.0000000000002</v>
      </c>
      <c r="G103" s="71" t="s">
        <v>64</v>
      </c>
      <c r="H103" s="71">
        <f>IFERROR((H101-F101)*10000,"n.a.")</f>
        <v>1290</v>
      </c>
      <c r="I103" s="71">
        <f>IFERROR((I101-H101)*10000,"n.a.")</f>
        <v>139.99999999999957</v>
      </c>
      <c r="J103" s="72" t="str">
        <f>IFERROR((J101-I101)*10000,"n.a.")</f>
        <v>n.a.</v>
      </c>
      <c r="K103" s="14"/>
    </row>
    <row r="104" ht="14.624267578125">
      <c r="A104" s="1"/>
      <c r="B104" s="13" t="s">
        <v>200</v>
      </c>
      <c r="C104" s="24">
        <v>1.1</v>
      </c>
      <c r="D104" s="24">
        <v>1.1</v>
      </c>
      <c r="E104" s="24">
        <v>1.1</v>
      </c>
      <c r="F104" s="24">
        <v>1.1</v>
      </c>
      <c r="G104" s="2" t="s">
        <v>64</v>
      </c>
      <c r="H104" s="24">
        <v>1.1</v>
      </c>
      <c r="I104" s="24">
        <v>1.1</v>
      </c>
      <c r="J104" s="26" t="s">
        <v>64</v>
      </c>
      <c r="K104" s="14" t="s">
        <v>128</v>
      </c>
    </row>
    <row r="105">
      <c r="A105" s="1"/>
      <c r="B105" s="37" t="s">
        <v>63</v>
      </c>
      <c r="C105" s="25" t="s">
        <v>64</v>
      </c>
      <c r="D105" s="25" t="s">
        <v>64</v>
      </c>
      <c r="E105" s="25" t="s">
        <v>64</v>
      </c>
      <c r="F105" s="25" t="s">
        <v>64</v>
      </c>
      <c r="G105" s="25" t="s">
        <v>64</v>
      </c>
      <c r="H105" s="25">
        <f>IFERROR(H104/C104-1,"n.a.")</f>
        <v>0</v>
      </c>
      <c r="I105" s="25">
        <f>IFERROR(I104/D104-1,"n.a.")</f>
        <v>0</v>
      </c>
      <c r="J105" s="51" t="str">
        <f>IFERROR(J104/E104-1,"n.a.")</f>
        <v>n.a.</v>
      </c>
      <c r="K105" s="14"/>
    </row>
    <row r="106" ht="14.624267578125">
      <c r="A106" s="1"/>
      <c r="B106" s="48" t="s">
        <v>78</v>
      </c>
      <c r="C106" s="2" t="s">
        <v>64</v>
      </c>
      <c r="D106" s="2">
        <f>IFERROR(D104-C104,"n.a.")</f>
        <v>0</v>
      </c>
      <c r="E106" s="2">
        <f>IFERROR(E104-D104,"n.a.")</f>
        <v>0</v>
      </c>
      <c r="F106" s="2">
        <f>IFERROR(F104-E104,"n.a.")</f>
        <v>0</v>
      </c>
      <c r="G106" s="2" t="s">
        <v>64</v>
      </c>
      <c r="H106" s="2">
        <f>IFERROR(H104-F104,"n.a.")</f>
        <v>0</v>
      </c>
      <c r="I106" s="2">
        <f>IFERROR(I104-H104,"n.a.")</f>
        <v>0</v>
      </c>
      <c r="J106" s="26" t="str">
        <f>IFERROR(J104-I104,"n.a.")</f>
        <v>n.a.</v>
      </c>
      <c r="K106" s="14"/>
    </row>
    <row r="107">
      <c r="A107" s="1"/>
      <c r="B107" s="18"/>
      <c r="C107" s="19"/>
      <c r="D107" s="19"/>
      <c r="E107" s="19"/>
      <c r="F107" s="19"/>
      <c r="G107" s="19"/>
      <c r="H107" s="19"/>
      <c r="I107" s="19"/>
      <c r="J107" s="27"/>
      <c r="K107" s="14"/>
    </row>
    <row r="108">
      <c r="A108" s="1"/>
      <c r="B108" s="20" t="s">
        <v>201</v>
      </c>
      <c r="C108" s="32"/>
      <c r="D108" s="32"/>
      <c r="E108" s="32"/>
      <c r="F108" s="32"/>
      <c r="G108" s="32"/>
      <c r="H108" s="32"/>
      <c r="I108" s="32"/>
      <c r="J108" s="28"/>
      <c r="K108" s="14"/>
    </row>
    <row r="109">
      <c r="A109" s="1"/>
      <c r="B109" s="66" t="s">
        <v>202</v>
      </c>
      <c r="C109" s="25" t="s">
        <v>64</v>
      </c>
      <c r="D109" s="25" t="s">
        <v>64</v>
      </c>
      <c r="E109" s="25" t="s">
        <v>64</v>
      </c>
      <c r="F109" s="25" t="s">
        <v>64</v>
      </c>
      <c r="G109" s="25" t="s">
        <v>64</v>
      </c>
      <c r="H109" s="25">
        <f>IFERROR(H29/C29-1,"n.a.")</f>
        <v>-0.005730659025787954</v>
      </c>
      <c r="I109" s="25">
        <f>IFERROR(I29/D29-1,"n.a.")</f>
        <v>0.051724137931034475</v>
      </c>
      <c r="J109" s="51">
        <f>IFERROR(J29/E29-1,"n.a.")</f>
        <v>0.08555310505009195</v>
      </c>
      <c r="K109" s="14"/>
    </row>
    <row r="110">
      <c r="A110" s="1"/>
      <c r="B110" s="66" t="s">
        <v>100</v>
      </c>
      <c r="C110" s="25" t="s">
        <v>101</v>
      </c>
      <c r="D110" s="25" t="s">
        <v>101</v>
      </c>
      <c r="E110" s="25" t="s">
        <v>101</v>
      </c>
      <c r="F110" s="25" t="s">
        <v>101</v>
      </c>
      <c r="G110" s="25" t="s">
        <v>101</v>
      </c>
      <c r="H110" s="25" t="s">
        <v>101</v>
      </c>
      <c r="I110" s="25" t="s">
        <v>101</v>
      </c>
      <c r="J110" s="51" t="s">
        <v>101</v>
      </c>
      <c r="K110" s="14" t="s">
        <v>203</v>
      </c>
    </row>
    <row r="111">
      <c r="A111" s="1"/>
      <c r="B111" s="66" t="s">
        <v>103</v>
      </c>
      <c r="C111" s="25" t="s">
        <v>101</v>
      </c>
      <c r="D111" s="25" t="s">
        <v>101</v>
      </c>
      <c r="E111" s="25" t="s">
        <v>101</v>
      </c>
      <c r="F111" s="25" t="s">
        <v>101</v>
      </c>
      <c r="G111" s="25" t="s">
        <v>101</v>
      </c>
      <c r="H111" s="25" t="s">
        <v>101</v>
      </c>
      <c r="I111" s="25" t="s">
        <v>101</v>
      </c>
      <c r="J111" s="51" t="s">
        <v>101</v>
      </c>
      <c r="K111" s="14" t="s">
        <v>204</v>
      </c>
    </row>
    <row r="112" ht="14.624267578125">
      <c r="A112" s="1"/>
      <c r="B112" s="67" t="s">
        <v>205</v>
      </c>
      <c r="C112" s="25" t="str">
        <f>IF(OR(ISTEXT(C109),ISTEXT(C110),ISTEXT(C111)),"n.d.",(1+C109)/((1+C110)*(1+C111))-1)</f>
        <v>n.d.</v>
      </c>
      <c r="D112" s="25" t="str">
        <f>IF(OR(ISTEXT(D109),ISTEXT(D110),ISTEXT(D111)),"n.d.",(1+D109)/((1+D110)*(1+D111))-1)</f>
        <v>n.d.</v>
      </c>
      <c r="E112" s="25" t="str">
        <f>IF(OR(ISTEXT(E109),ISTEXT(E110),ISTEXT(E111)),"n.d.",(1+E109)/((1+E110)*(1+E111))-1)</f>
        <v>n.d.</v>
      </c>
      <c r="F112" s="25" t="str">
        <f>IF(OR(ISTEXT(F109),ISTEXT(F110),ISTEXT(F111)),"n.d.",(1+F109)/((1+F110)*(1+F111))-1)</f>
        <v>n.d.</v>
      </c>
      <c r="G112" s="25" t="str">
        <f>IF(OR(ISTEXT(G109),ISTEXT(G110),ISTEXT(G111)),"n.d.",(1+G109)/((1+G110)*(1+G111))-1)</f>
        <v>n.d.</v>
      </c>
      <c r="H112" s="25" t="str">
        <f>IF(OR(ISTEXT(H109),ISTEXT(H110),ISTEXT(H111)),"n.d.",(1+H109)/((1+H110)*(1+H111))-1)</f>
        <v>n.d.</v>
      </c>
      <c r="I112" s="25" t="str">
        <f>IF(OR(ISTEXT(I109),ISTEXT(I110),ISTEXT(I111)),"n.d.",(1+I109)/((1+I110)*(1+I111))-1)</f>
        <v>n.d.</v>
      </c>
      <c r="J112" s="51" t="str">
        <f>IF(OR(ISTEXT(J109),ISTEXT(J110),ISTEXT(J111)),"n.d.",(1+J109)/((1+J110)*(1+J111))-1)</f>
        <v>n.d.</v>
      </c>
      <c r="K112" s="14" t="s">
        <v>206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A1:K199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  <col min="11" max="11" width="9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35" t="s">
        <v>49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9" t="s">
        <v>242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3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6" t="s">
        <v>51</v>
      </c>
      <c r="C5" s="21" t="s">
        <v>52</v>
      </c>
      <c r="D5" s="21" t="s">
        <v>53</v>
      </c>
      <c r="E5" s="21" t="s">
        <v>54</v>
      </c>
      <c r="F5" s="21" t="s">
        <v>55</v>
      </c>
      <c r="G5" s="21" t="s">
        <v>56</v>
      </c>
      <c r="H5" s="21" t="s">
        <v>57</v>
      </c>
      <c r="I5" s="21" t="s">
        <v>58</v>
      </c>
      <c r="J5" s="40" t="s">
        <v>4</v>
      </c>
      <c r="K5" s="6" t="s">
        <v>59</v>
      </c>
    </row>
    <row r="6">
      <c r="A6" s="1"/>
      <c r="B6" s="7" t="s">
        <v>5</v>
      </c>
      <c r="C6" s="29">
        <v>45747</v>
      </c>
      <c r="D6" s="29">
        <v>45838</v>
      </c>
      <c r="E6" s="29">
        <v>45930</v>
      </c>
      <c r="F6" s="29">
        <v>46022</v>
      </c>
      <c r="G6" s="29">
        <v>46022</v>
      </c>
      <c r="H6" s="29">
        <v>46112</v>
      </c>
      <c r="I6" s="29">
        <v>46203</v>
      </c>
      <c r="J6" s="50">
        <v>46295</v>
      </c>
      <c r="K6" s="7"/>
    </row>
    <row r="7">
      <c r="A7" s="1"/>
      <c r="B7" s="12" t="s">
        <v>6</v>
      </c>
      <c r="C7" s="34">
        <f>C6-EOMONTH(C6,-3)</f>
        <v>90</v>
      </c>
      <c r="D7" s="34">
        <f>D6-EOMONTH(D6,-3)</f>
        <v>91</v>
      </c>
      <c r="E7" s="34">
        <f>E6-EOMONTH(E6,-3)</f>
        <v>92</v>
      </c>
      <c r="F7" s="34">
        <f>F6-EOMONTH(F6,-3)</f>
        <v>92</v>
      </c>
      <c r="G7" s="34">
        <f>G6-EOMONTH(G6,-12)</f>
        <v>365</v>
      </c>
      <c r="H7" s="34">
        <f>H6-EOMONTH(H6,-3)</f>
        <v>90</v>
      </c>
      <c r="I7" s="34">
        <f>I6-EOMONTH(I6,-3)</f>
        <v>91</v>
      </c>
      <c r="J7" s="43">
        <f>J6-EOMONTH(J6,-3)</f>
        <v>92</v>
      </c>
      <c r="K7" s="12"/>
    </row>
    <row r="8">
      <c r="A8" s="1"/>
      <c r="B8" s="1"/>
      <c r="C8" s="1"/>
      <c r="D8" s="1"/>
      <c r="E8" s="1"/>
      <c r="F8" s="1"/>
      <c r="G8" s="1"/>
      <c r="H8" s="1"/>
      <c r="I8" s="1"/>
      <c r="J8" s="54"/>
      <c r="K8" s="1"/>
    </row>
    <row r="9">
      <c r="A9" s="1"/>
      <c r="B9" s="20" t="s">
        <v>243</v>
      </c>
      <c r="C9" s="32"/>
      <c r="D9" s="32"/>
      <c r="E9" s="32"/>
      <c r="F9" s="32"/>
      <c r="G9" s="32"/>
      <c r="H9" s="32"/>
      <c r="I9" s="32"/>
      <c r="J9" s="28"/>
      <c r="K9" s="14"/>
    </row>
    <row r="10">
      <c r="A10" s="1"/>
      <c r="B10" s="74" t="s">
        <v>244</v>
      </c>
      <c r="C10" s="70"/>
      <c r="D10" s="70"/>
      <c r="E10" s="70"/>
      <c r="F10" s="70"/>
      <c r="G10" s="70"/>
      <c r="H10" s="70"/>
      <c r="I10" s="70"/>
      <c r="J10" s="99"/>
      <c r="K10" s="14"/>
    </row>
    <row r="11">
      <c r="A11" s="1"/>
      <c r="B11" s="79" t="s">
        <v>245</v>
      </c>
      <c r="C11" s="10"/>
      <c r="D11" s="10"/>
      <c r="E11" s="10"/>
      <c r="F11" s="10"/>
      <c r="G11" s="10"/>
      <c r="H11" s="10"/>
      <c r="I11" s="10"/>
      <c r="J11" s="107">
        <v>-0.04</v>
      </c>
      <c r="K11" s="14" t="s">
        <v>246</v>
      </c>
    </row>
    <row r="12">
      <c r="A12" s="1"/>
      <c r="B12" s="79" t="s">
        <v>247</v>
      </c>
      <c r="C12" s="10"/>
      <c r="D12" s="10"/>
      <c r="E12" s="10"/>
      <c r="F12" s="10"/>
      <c r="G12" s="10"/>
      <c r="H12" s="10"/>
      <c r="I12" s="10"/>
      <c r="J12" s="107">
        <v>-0.01</v>
      </c>
      <c r="K12" s="14" t="s">
        <v>248</v>
      </c>
    </row>
    <row r="13">
      <c r="A13" s="1"/>
      <c r="B13" s="79" t="s">
        <v>249</v>
      </c>
      <c r="C13" s="10"/>
      <c r="D13" s="10"/>
      <c r="E13" s="10"/>
      <c r="F13" s="10"/>
      <c r="G13" s="10"/>
      <c r="H13" s="10"/>
      <c r="I13" s="10"/>
      <c r="J13" s="107">
        <v>-0.07</v>
      </c>
      <c r="K13" s="14" t="s">
        <v>250</v>
      </c>
    </row>
    <row r="14">
      <c r="A14" s="1"/>
      <c r="B14" s="79" t="s">
        <v>251</v>
      </c>
      <c r="C14" s="10"/>
      <c r="D14" s="10"/>
      <c r="E14" s="10"/>
      <c r="F14" s="10"/>
      <c r="G14" s="10"/>
      <c r="H14" s="10"/>
      <c r="I14" s="10"/>
      <c r="J14" s="107">
        <v>0.04</v>
      </c>
      <c r="K14" s="14" t="s">
        <v>252</v>
      </c>
    </row>
    <row r="15">
      <c r="A15" s="1"/>
      <c r="B15" s="79" t="s">
        <v>253</v>
      </c>
      <c r="C15" s="10"/>
      <c r="D15" s="10"/>
      <c r="E15" s="10"/>
      <c r="F15" s="10"/>
      <c r="G15" s="10"/>
      <c r="H15" s="10"/>
      <c r="I15" s="10"/>
      <c r="J15" s="107">
        <v>-0.17</v>
      </c>
      <c r="K15" s="14" t="s">
        <v>254</v>
      </c>
    </row>
    <row r="16" ht="14.624267578125">
      <c r="A16" s="1"/>
      <c r="B16" s="63" t="s">
        <v>255</v>
      </c>
      <c r="C16" s="10"/>
      <c r="D16" s="10"/>
      <c r="E16" s="10"/>
      <c r="F16" s="10"/>
      <c r="G16" s="10"/>
      <c r="H16" s="10"/>
      <c r="I16" s="10"/>
      <c r="J16" s="107">
        <v>0.49</v>
      </c>
      <c r="K16" s="14" t="s">
        <v>246</v>
      </c>
    </row>
    <row r="17" ht="14.624267578125">
      <c r="A17" s="1"/>
      <c r="B17" s="63" t="s">
        <v>256</v>
      </c>
      <c r="C17" s="10"/>
      <c r="D17" s="10"/>
      <c r="E17" s="10"/>
      <c r="F17" s="10"/>
      <c r="G17" s="10"/>
      <c r="H17" s="10"/>
      <c r="I17" s="10"/>
      <c r="J17" s="107">
        <v>0.72</v>
      </c>
      <c r="K17" s="14" t="s">
        <v>248</v>
      </c>
    </row>
    <row r="18" ht="14.624267578125">
      <c r="A18" s="1"/>
      <c r="B18" s="63" t="s">
        <v>257</v>
      </c>
      <c r="C18" s="10"/>
      <c r="D18" s="10"/>
      <c r="E18" s="10"/>
      <c r="F18" s="10"/>
      <c r="G18" s="10"/>
      <c r="H18" s="10"/>
      <c r="I18" s="10"/>
      <c r="J18" s="107">
        <v>0.41</v>
      </c>
      <c r="K18" s="14" t="s">
        <v>250</v>
      </c>
    </row>
    <row r="19">
      <c r="A19" s="1"/>
      <c r="B19" s="79" t="s">
        <v>258</v>
      </c>
      <c r="C19" s="10"/>
      <c r="D19" s="10"/>
      <c r="E19" s="10"/>
      <c r="F19" s="10"/>
      <c r="G19" s="10"/>
      <c r="H19" s="10"/>
      <c r="I19" s="10"/>
      <c r="J19" s="107">
        <v>0.14</v>
      </c>
      <c r="K19" s="14" t="s">
        <v>252</v>
      </c>
    </row>
    <row r="20" ht="14.624267578125">
      <c r="A20" s="1"/>
      <c r="B20" s="63" t="s">
        <v>259</v>
      </c>
      <c r="C20" s="10"/>
      <c r="D20" s="10"/>
      <c r="E20" s="10"/>
      <c r="F20" s="10"/>
      <c r="G20" s="10"/>
      <c r="H20" s="10"/>
      <c r="I20" s="10"/>
      <c r="J20" s="107">
        <v>0.1</v>
      </c>
      <c r="K20" s="14" t="s">
        <v>254</v>
      </c>
    </row>
    <row r="21" ht="14.624267578125">
      <c r="A21" s="1"/>
      <c r="B21" s="63" t="s">
        <v>260</v>
      </c>
      <c r="C21" s="10"/>
      <c r="D21" s="10"/>
      <c r="E21" s="10"/>
      <c r="F21" s="10"/>
      <c r="G21" s="10"/>
      <c r="H21" s="10"/>
      <c r="I21" s="10"/>
      <c r="J21" s="107">
        <v>0.14</v>
      </c>
      <c r="K21" s="14" t="s">
        <v>246</v>
      </c>
    </row>
    <row r="22" ht="14.624267578125">
      <c r="A22" s="1"/>
      <c r="B22" s="63" t="s">
        <v>261</v>
      </c>
      <c r="C22" s="10"/>
      <c r="D22" s="10"/>
      <c r="E22" s="10"/>
      <c r="F22" s="10"/>
      <c r="G22" s="10"/>
      <c r="H22" s="10"/>
      <c r="I22" s="10"/>
      <c r="J22" s="107">
        <v>0.21</v>
      </c>
      <c r="K22" s="14" t="s">
        <v>248</v>
      </c>
    </row>
    <row r="23" ht="14.624267578125">
      <c r="A23" s="1"/>
      <c r="B23" s="63" t="s">
        <v>262</v>
      </c>
      <c r="C23" s="10"/>
      <c r="D23" s="10"/>
      <c r="E23" s="10"/>
      <c r="F23" s="10"/>
      <c r="G23" s="10"/>
      <c r="H23" s="10"/>
      <c r="I23" s="10"/>
      <c r="J23" s="107">
        <v>0.02</v>
      </c>
      <c r="K23" s="14" t="s">
        <v>250</v>
      </c>
    </row>
    <row r="24" ht="14.624267578125">
      <c r="A24" s="1"/>
      <c r="B24" s="63" t="s">
        <v>263</v>
      </c>
      <c r="C24" s="10"/>
      <c r="D24" s="10"/>
      <c r="E24" s="10"/>
      <c r="F24" s="10"/>
      <c r="G24" s="10"/>
      <c r="H24" s="10"/>
      <c r="I24" s="10"/>
      <c r="J24" s="107">
        <v>0.06</v>
      </c>
      <c r="K24" s="14" t="s">
        <v>264</v>
      </c>
    </row>
    <row r="25" ht="14.624267578125">
      <c r="A25" s="1"/>
      <c r="B25" s="63" t="s">
        <v>265</v>
      </c>
      <c r="C25" s="10"/>
      <c r="D25" s="10"/>
      <c r="E25" s="10"/>
      <c r="F25" s="10"/>
      <c r="G25" s="10"/>
      <c r="H25" s="10"/>
      <c r="I25" s="10"/>
      <c r="J25" s="107">
        <v>-0.11</v>
      </c>
      <c r="K25" s="14" t="s">
        <v>254</v>
      </c>
    </row>
    <row r="26">
      <c r="A26" s="1"/>
      <c r="B26" s="20" t="s">
        <v>266</v>
      </c>
      <c r="C26" s="106"/>
      <c r="D26" s="106"/>
      <c r="E26" s="106"/>
      <c r="F26" s="106"/>
      <c r="G26" s="106"/>
      <c r="H26" s="106"/>
      <c r="I26" s="106"/>
      <c r="J26" s="104">
        <f>AVERAGE(J11:J15)</f>
        <v>-0.05</v>
      </c>
      <c r="K26" s="14"/>
    </row>
    <row r="27">
      <c r="A27" s="1"/>
      <c r="B27" s="20" t="s">
        <v>267</v>
      </c>
      <c r="C27" s="106"/>
      <c r="D27" s="106"/>
      <c r="E27" s="106"/>
      <c r="F27" s="106"/>
      <c r="G27" s="106"/>
      <c r="H27" s="106"/>
      <c r="I27" s="106"/>
      <c r="J27" s="104">
        <f>AVERAGE(J16:J20)</f>
        <v>0.372</v>
      </c>
      <c r="K27" s="14"/>
    </row>
    <row r="28">
      <c r="A28" s="1"/>
      <c r="B28" s="20" t="s">
        <v>268</v>
      </c>
      <c r="C28" s="106"/>
      <c r="D28" s="106"/>
      <c r="E28" s="106"/>
      <c r="F28" s="106"/>
      <c r="G28" s="106"/>
      <c r="H28" s="106"/>
      <c r="I28" s="106"/>
      <c r="J28" s="104">
        <f>AVERAGE(J21:J25)</f>
        <v>0.064</v>
      </c>
      <c r="K28" s="14"/>
    </row>
    <row r="29" ht="14.624267578125">
      <c r="A29" s="1"/>
      <c r="B29" s="63" t="s">
        <v>269</v>
      </c>
      <c r="C29" s="105"/>
      <c r="D29" s="105"/>
      <c r="E29" s="105"/>
      <c r="F29" s="105"/>
      <c r="G29" s="105"/>
      <c r="H29" s="105"/>
      <c r="I29" s="105"/>
      <c r="J29" s="133">
        <v>0.6</v>
      </c>
      <c r="K29" s="14" t="s">
        <v>270</v>
      </c>
    </row>
    <row r="30" ht="14.624267578125">
      <c r="A30" s="1"/>
      <c r="B30" s="63" t="s">
        <v>271</v>
      </c>
      <c r="C30" s="105"/>
      <c r="D30" s="105"/>
      <c r="E30" s="105"/>
      <c r="F30" s="105"/>
      <c r="G30" s="105"/>
      <c r="H30" s="105"/>
      <c r="I30" s="105"/>
      <c r="J30" s="133">
        <v>0.85</v>
      </c>
      <c r="K30" s="14" t="s">
        <v>272</v>
      </c>
    </row>
    <row r="31" ht="23.24853515625">
      <c r="A31" s="1"/>
      <c r="B31" s="63" t="s">
        <v>273</v>
      </c>
      <c r="C31" s="105"/>
      <c r="D31" s="105"/>
      <c r="E31" s="105"/>
      <c r="F31" s="105"/>
      <c r="G31" s="105"/>
      <c r="H31" s="105"/>
      <c r="I31" s="105"/>
      <c r="J31" s="133">
        <v>1.25</v>
      </c>
      <c r="K31" s="14" t="s">
        <v>274</v>
      </c>
    </row>
    <row r="32">
      <c r="A32" s="1"/>
      <c r="B32" s="79" t="s">
        <v>275</v>
      </c>
      <c r="C32" s="41"/>
      <c r="D32" s="41"/>
      <c r="E32" s="41"/>
      <c r="F32" s="41"/>
      <c r="G32" s="41"/>
      <c r="H32" s="41"/>
      <c r="I32" s="41"/>
      <c r="J32" s="64">
        <v>1.35</v>
      </c>
      <c r="K32" s="14" t="s">
        <v>276</v>
      </c>
    </row>
    <row r="33">
      <c r="A33" s="1"/>
      <c r="B33" s="79" t="s">
        <v>277</v>
      </c>
      <c r="C33" s="41"/>
      <c r="D33" s="41"/>
      <c r="E33" s="41"/>
      <c r="F33" s="41"/>
      <c r="G33" s="41"/>
      <c r="H33" s="41"/>
      <c r="I33" s="41"/>
      <c r="J33" s="64">
        <v>1.3441</v>
      </c>
      <c r="K33" s="14" t="s">
        <v>278</v>
      </c>
    </row>
    <row r="34" ht="23.24853515625">
      <c r="A34" s="1"/>
      <c r="B34" s="67" t="s">
        <v>279</v>
      </c>
      <c r="C34" s="25"/>
      <c r="D34" s="25"/>
      <c r="E34" s="25"/>
      <c r="F34" s="25"/>
      <c r="G34" s="25"/>
      <c r="H34" s="25"/>
      <c r="I34" s="25"/>
      <c r="J34" s="51">
        <f>J32/J33-1</f>
        <v>0.00438955434863475</v>
      </c>
      <c r="K34" s="14" t="s">
        <v>280</v>
      </c>
    </row>
    <row r="35">
      <c r="A35" s="1"/>
      <c r="B35" s="18"/>
      <c r="C35" s="19"/>
      <c r="D35" s="19"/>
      <c r="E35" s="19"/>
      <c r="F35" s="19"/>
      <c r="G35" s="19"/>
      <c r="H35" s="19"/>
      <c r="I35" s="19"/>
      <c r="J35" s="27"/>
      <c r="K35" s="14"/>
    </row>
    <row r="36">
      <c r="A36" s="1"/>
      <c r="B36" s="20" t="s">
        <v>281</v>
      </c>
      <c r="C36" s="32"/>
      <c r="D36" s="32"/>
      <c r="E36" s="32"/>
      <c r="F36" s="32"/>
      <c r="G36" s="32"/>
      <c r="H36" s="32"/>
      <c r="I36" s="32"/>
      <c r="J36" s="28"/>
      <c r="K36" s="14"/>
    </row>
    <row r="37">
      <c r="A37" s="1"/>
      <c r="B37" s="66" t="s">
        <v>282</v>
      </c>
      <c r="C37" s="25" t="s">
        <v>64</v>
      </c>
      <c r="D37" s="25" t="s">
        <v>64</v>
      </c>
      <c r="E37" s="25" t="s">
        <v>64</v>
      </c>
      <c r="F37" s="25" t="s">
        <v>64</v>
      </c>
      <c r="G37" s="25" t="s">
        <v>64</v>
      </c>
      <c r="H37" s="25" t="s">
        <v>64</v>
      </c>
      <c r="I37" s="25" t="s">
        <v>64</v>
      </c>
      <c r="J37" s="51">
        <f>J26*J29</f>
        <v>-0.03</v>
      </c>
      <c r="K37" s="14"/>
    </row>
    <row r="38">
      <c r="A38" s="1"/>
      <c r="B38" s="79" t="s">
        <v>283</v>
      </c>
      <c r="C38" s="24">
        <v>1699</v>
      </c>
      <c r="D38" s="24">
        <v>1450</v>
      </c>
      <c r="E38" s="24">
        <v>1256</v>
      </c>
      <c r="F38" s="24">
        <v>1024</v>
      </c>
      <c r="G38" s="2">
        <f>SUM(C38:F38)</f>
        <v>5429</v>
      </c>
      <c r="H38" s="24">
        <v>1716</v>
      </c>
      <c r="I38" s="24">
        <v>1471</v>
      </c>
      <c r="J38" s="26">
        <f>E38*(1+J37)</f>
        <v>1218.32</v>
      </c>
      <c r="K38" s="14" t="s">
        <v>128</v>
      </c>
    </row>
    <row r="39">
      <c r="A39" s="1"/>
      <c r="B39" s="37" t="s">
        <v>63</v>
      </c>
      <c r="C39" s="25" t="s">
        <v>64</v>
      </c>
      <c r="D39" s="25" t="s">
        <v>64</v>
      </c>
      <c r="E39" s="25" t="s">
        <v>64</v>
      </c>
      <c r="F39" s="25" t="s">
        <v>64</v>
      </c>
      <c r="G39" s="25" t="s">
        <v>64</v>
      </c>
      <c r="H39" s="25">
        <f>IFERROR(H38/C38-1,"n.a.")</f>
        <v>0.010005885815185467</v>
      </c>
      <c r="I39" s="25">
        <f>IFERROR(I38/D38-1,"n.a.")</f>
        <v>0.014482758620689706</v>
      </c>
      <c r="J39" s="51">
        <f>IFERROR(J38/E38-1,"n.a.")</f>
        <v>-0.030000000000000027</v>
      </c>
      <c r="K39" s="14"/>
    </row>
    <row r="40">
      <c r="A40" s="1"/>
      <c r="B40" s="48" t="s">
        <v>78</v>
      </c>
      <c r="C40" s="2" t="s">
        <v>64</v>
      </c>
      <c r="D40" s="2">
        <f>IFERROR(D38-C38,"n.a.")</f>
        <v>-249</v>
      </c>
      <c r="E40" s="2">
        <f>IFERROR(E38-D38,"n.a.")</f>
        <v>-194</v>
      </c>
      <c r="F40" s="2">
        <f>IFERROR(F38-E38,"n.a.")</f>
        <v>-232</v>
      </c>
      <c r="G40" s="2" t="s">
        <v>64</v>
      </c>
      <c r="H40" s="2">
        <f>IFERROR(H38-F38,"n.a.")</f>
        <v>692</v>
      </c>
      <c r="I40" s="2">
        <f>IFERROR(I38-H38,"n.a.")</f>
        <v>-245</v>
      </c>
      <c r="J40" s="26">
        <f>IFERROR(J38-I38,"n.a.")</f>
        <v>-252.68000000000006</v>
      </c>
      <c r="K40" s="14"/>
    </row>
    <row r="41">
      <c r="A41" s="1"/>
      <c r="B41" s="66" t="s">
        <v>284</v>
      </c>
      <c r="C41" s="25" t="s">
        <v>64</v>
      </c>
      <c r="D41" s="25" t="s">
        <v>64</v>
      </c>
      <c r="E41" s="25" t="s">
        <v>64</v>
      </c>
      <c r="F41" s="25" t="s">
        <v>64</v>
      </c>
      <c r="G41" s="25" t="s">
        <v>64</v>
      </c>
      <c r="H41" s="25" t="s">
        <v>64</v>
      </c>
      <c r="I41" s="25" t="s">
        <v>64</v>
      </c>
      <c r="J41" s="51">
        <f>J27*J30</f>
        <v>0.3162</v>
      </c>
      <c r="K41" s="14"/>
    </row>
    <row r="42">
      <c r="A42" s="1"/>
      <c r="B42" s="79" t="s">
        <v>285</v>
      </c>
      <c r="C42" s="24">
        <v>963</v>
      </c>
      <c r="D42" s="24">
        <v>870</v>
      </c>
      <c r="E42" s="24">
        <v>689</v>
      </c>
      <c r="F42" s="24">
        <v>703</v>
      </c>
      <c r="G42" s="2">
        <f>SUM(C42:F42)</f>
        <v>3225</v>
      </c>
      <c r="H42" s="24">
        <v>1116</v>
      </c>
      <c r="I42" s="24">
        <v>1261</v>
      </c>
      <c r="J42" s="26">
        <f>E42*(1+J41)</f>
        <v>906.8618</v>
      </c>
      <c r="K42" s="14" t="s">
        <v>128</v>
      </c>
    </row>
    <row r="43">
      <c r="A43" s="1"/>
      <c r="B43" s="37" t="s">
        <v>63</v>
      </c>
      <c r="C43" s="25" t="s">
        <v>64</v>
      </c>
      <c r="D43" s="25" t="s">
        <v>64</v>
      </c>
      <c r="E43" s="25" t="s">
        <v>64</v>
      </c>
      <c r="F43" s="25" t="s">
        <v>64</v>
      </c>
      <c r="G43" s="25" t="s">
        <v>64</v>
      </c>
      <c r="H43" s="25">
        <f>IFERROR(H42/C42-1,"n.a.")</f>
        <v>0.1588785046728971</v>
      </c>
      <c r="I43" s="25">
        <f>IFERROR(I42/D42-1,"n.a.")</f>
        <v>0.4494252873563218</v>
      </c>
      <c r="J43" s="51">
        <f>IFERROR(J42/E42-1,"n.a.")</f>
        <v>0.31620000000000004</v>
      </c>
      <c r="K43" s="14"/>
    </row>
    <row r="44">
      <c r="A44" s="1"/>
      <c r="B44" s="48" t="s">
        <v>78</v>
      </c>
      <c r="C44" s="2" t="s">
        <v>64</v>
      </c>
      <c r="D44" s="2">
        <f>IFERROR(D42-C42,"n.a.")</f>
        <v>-93</v>
      </c>
      <c r="E44" s="2">
        <f>IFERROR(E42-D42,"n.a.")</f>
        <v>-181</v>
      </c>
      <c r="F44" s="2">
        <f>IFERROR(F42-E42,"n.a.")</f>
        <v>14</v>
      </c>
      <c r="G44" s="2" t="s">
        <v>64</v>
      </c>
      <c r="H44" s="2">
        <f>IFERROR(H42-F42,"n.a.")</f>
        <v>413</v>
      </c>
      <c r="I44" s="2">
        <f>IFERROR(I42-H42,"n.a.")</f>
        <v>145</v>
      </c>
      <c r="J44" s="26">
        <f>IFERROR(J42-I42,"n.a.")</f>
        <v>-354.1382</v>
      </c>
      <c r="K44" s="14"/>
    </row>
    <row r="45">
      <c r="A45" s="1"/>
      <c r="B45" s="20" t="s">
        <v>286</v>
      </c>
      <c r="C45" s="16">
        <f>C38+C42</f>
        <v>2662</v>
      </c>
      <c r="D45" s="16">
        <f>D38+D42</f>
        <v>2320</v>
      </c>
      <c r="E45" s="16">
        <f>E38+E42</f>
        <v>1945</v>
      </c>
      <c r="F45" s="16">
        <f>F38+F42</f>
        <v>1727</v>
      </c>
      <c r="G45" s="16">
        <f>SUM(C45:F45)</f>
        <v>8654</v>
      </c>
      <c r="H45" s="16">
        <f>H38+H42</f>
        <v>2832</v>
      </c>
      <c r="I45" s="16">
        <f>I38+I42</f>
        <v>2732</v>
      </c>
      <c r="J45" s="65">
        <f>J38+J42</f>
        <v>2125.1818</v>
      </c>
      <c r="K45" s="14"/>
    </row>
    <row r="46">
      <c r="A46" s="1"/>
      <c r="B46" s="37" t="s">
        <v>63</v>
      </c>
      <c r="C46" s="25" t="s">
        <v>64</v>
      </c>
      <c r="D46" s="25" t="s">
        <v>64</v>
      </c>
      <c r="E46" s="25" t="s">
        <v>64</v>
      </c>
      <c r="F46" s="25" t="s">
        <v>64</v>
      </c>
      <c r="G46" s="25" t="s">
        <v>64</v>
      </c>
      <c r="H46" s="25">
        <f>IFERROR(H45/C45-1,"n.a.")</f>
        <v>0.06386175807663408</v>
      </c>
      <c r="I46" s="25">
        <f>IFERROR(I45/D45-1,"n.a.")</f>
        <v>0.1775862068965517</v>
      </c>
      <c r="J46" s="51">
        <f>IFERROR(J45/E45-1,"n.a.")</f>
        <v>0.0926384575835475</v>
      </c>
      <c r="K46" s="14"/>
    </row>
    <row r="47">
      <c r="A47" s="1"/>
      <c r="B47" s="48" t="s">
        <v>78</v>
      </c>
      <c r="C47" s="2" t="s">
        <v>64</v>
      </c>
      <c r="D47" s="2">
        <f>IFERROR(D45-C45,"n.a.")</f>
        <v>-342</v>
      </c>
      <c r="E47" s="2">
        <f>IFERROR(E45-D45,"n.a.")</f>
        <v>-375</v>
      </c>
      <c r="F47" s="2">
        <f>IFERROR(F45-E45,"n.a.")</f>
        <v>-218</v>
      </c>
      <c r="G47" s="2" t="s">
        <v>64</v>
      </c>
      <c r="H47" s="2">
        <f>IFERROR(H45-F45,"n.a.")</f>
        <v>1105</v>
      </c>
      <c r="I47" s="2">
        <f>IFERROR(I45-H45,"n.a.")</f>
        <v>-100</v>
      </c>
      <c r="J47" s="26">
        <f>IFERROR(J45-I45,"n.a.")</f>
        <v>-606.8182000000002</v>
      </c>
      <c r="K47" s="14"/>
    </row>
    <row r="48" ht="23.24853515625">
      <c r="A48" s="1"/>
      <c r="B48" s="67" t="s">
        <v>287</v>
      </c>
      <c r="C48" s="25" t="s">
        <v>64</v>
      </c>
      <c r="D48" s="25" t="s">
        <v>64</v>
      </c>
      <c r="E48" s="25" t="s">
        <v>64</v>
      </c>
      <c r="F48" s="25" t="s">
        <v>64</v>
      </c>
      <c r="G48" s="25" t="s">
        <v>64</v>
      </c>
      <c r="H48" s="25" t="s">
        <v>64</v>
      </c>
      <c r="I48" s="25" t="s">
        <v>64</v>
      </c>
      <c r="J48" s="51">
        <f>J28*J31</f>
        <v>0.08</v>
      </c>
      <c r="K48" s="14"/>
    </row>
    <row r="49">
      <c r="A49" s="1"/>
      <c r="B49" s="79" t="s">
        <v>288</v>
      </c>
      <c r="C49" s="24">
        <v>143</v>
      </c>
      <c r="D49" s="24">
        <v>123</v>
      </c>
      <c r="E49" s="24">
        <v>196</v>
      </c>
      <c r="F49" s="24">
        <v>214</v>
      </c>
      <c r="G49" s="2">
        <f>SUM(C49:F49)</f>
        <v>676</v>
      </c>
      <c r="H49" s="24">
        <v>255</v>
      </c>
      <c r="I49" s="24">
        <v>188</v>
      </c>
      <c r="J49" s="26">
        <f>E49*(1+J48)</f>
        <v>211.68</v>
      </c>
      <c r="K49" s="14" t="s">
        <v>128</v>
      </c>
    </row>
    <row r="50">
      <c r="A50" s="1"/>
      <c r="B50" s="37" t="s">
        <v>63</v>
      </c>
      <c r="C50" s="25" t="s">
        <v>64</v>
      </c>
      <c r="D50" s="25" t="s">
        <v>64</v>
      </c>
      <c r="E50" s="25" t="s">
        <v>64</v>
      </c>
      <c r="F50" s="25" t="s">
        <v>64</v>
      </c>
      <c r="G50" s="25" t="s">
        <v>64</v>
      </c>
      <c r="H50" s="25">
        <f>IFERROR(H49/C49-1,"n.a.")</f>
        <v>0.7832167832167831</v>
      </c>
      <c r="I50" s="25">
        <f>IFERROR(I49/D49-1,"n.a.")</f>
        <v>0.5284552845528456</v>
      </c>
      <c r="J50" s="51">
        <f>IFERROR(J49/E49-1,"n.a.")</f>
        <v>0.08000000000000007</v>
      </c>
      <c r="K50" s="14"/>
    </row>
    <row r="51">
      <c r="A51" s="1"/>
      <c r="B51" s="48" t="s">
        <v>78</v>
      </c>
      <c r="C51" s="2" t="s">
        <v>64</v>
      </c>
      <c r="D51" s="2">
        <f>IFERROR(D49-C49,"n.a.")</f>
        <v>-20</v>
      </c>
      <c r="E51" s="2">
        <f>IFERROR(E49-D49,"n.a.")</f>
        <v>73</v>
      </c>
      <c r="F51" s="2">
        <f>IFERROR(F49-E49,"n.a.")</f>
        <v>18</v>
      </c>
      <c r="G51" s="2" t="s">
        <v>64</v>
      </c>
      <c r="H51" s="2">
        <f>IFERROR(H49-F49,"n.a.")</f>
        <v>41</v>
      </c>
      <c r="I51" s="2">
        <f>IFERROR(I49-H49,"n.a.")</f>
        <v>-67</v>
      </c>
      <c r="J51" s="26">
        <f>IFERROR(J49-I49,"n.a.")</f>
        <v>23.680000000000007</v>
      </c>
      <c r="K51" s="14"/>
    </row>
    <row r="52">
      <c r="A52" s="1"/>
      <c r="B52" s="79" t="s">
        <v>289</v>
      </c>
      <c r="C52" s="24">
        <v>70</v>
      </c>
      <c r="D52" s="24">
        <v>81</v>
      </c>
      <c r="E52" s="24">
        <v>71</v>
      </c>
      <c r="F52" s="24">
        <v>56</v>
      </c>
      <c r="G52" s="2">
        <f>SUM(C52:F52)</f>
        <v>278</v>
      </c>
      <c r="H52" s="24">
        <v>92</v>
      </c>
      <c r="I52" s="24">
        <v>157</v>
      </c>
      <c r="J52" s="26">
        <f>E52*(1+J48)</f>
        <v>76.68</v>
      </c>
      <c r="K52" s="14" t="s">
        <v>128</v>
      </c>
    </row>
    <row r="53">
      <c r="A53" s="1"/>
      <c r="B53" s="37" t="s">
        <v>63</v>
      </c>
      <c r="C53" s="25" t="s">
        <v>64</v>
      </c>
      <c r="D53" s="25" t="s">
        <v>64</v>
      </c>
      <c r="E53" s="25" t="s">
        <v>64</v>
      </c>
      <c r="F53" s="25" t="s">
        <v>64</v>
      </c>
      <c r="G53" s="25" t="s">
        <v>64</v>
      </c>
      <c r="H53" s="25">
        <f>IFERROR(H52/C52-1,"n.a.")</f>
        <v>0.3142857142857143</v>
      </c>
      <c r="I53" s="25">
        <f>IFERROR(I52/D52-1,"n.a.")</f>
        <v>0.9382716049382716</v>
      </c>
      <c r="J53" s="51">
        <f>IFERROR(J52/E52-1,"n.a.")</f>
        <v>0.08000000000000007</v>
      </c>
      <c r="K53" s="14"/>
    </row>
    <row r="54">
      <c r="A54" s="1"/>
      <c r="B54" s="48" t="s">
        <v>78</v>
      </c>
      <c r="C54" s="2" t="s">
        <v>64</v>
      </c>
      <c r="D54" s="2">
        <f>IFERROR(D52-C52,"n.a.")</f>
        <v>11</v>
      </c>
      <c r="E54" s="2">
        <f>IFERROR(E52-D52,"n.a.")</f>
        <v>-10</v>
      </c>
      <c r="F54" s="2">
        <f>IFERROR(F52-E52,"n.a.")</f>
        <v>-15</v>
      </c>
      <c r="G54" s="2" t="s">
        <v>64</v>
      </c>
      <c r="H54" s="2">
        <f>IFERROR(H52-F52,"n.a.")</f>
        <v>36</v>
      </c>
      <c r="I54" s="2">
        <f>IFERROR(I52-H52,"n.a.")</f>
        <v>65</v>
      </c>
      <c r="J54" s="26">
        <f>IFERROR(J52-I52,"n.a.")</f>
        <v>-80.32</v>
      </c>
      <c r="K54" s="14"/>
    </row>
    <row r="55">
      <c r="A55" s="1"/>
      <c r="B55" s="79" t="s">
        <v>290</v>
      </c>
      <c r="C55" s="24">
        <v>431</v>
      </c>
      <c r="D55" s="24">
        <v>364</v>
      </c>
      <c r="E55" s="24">
        <v>379</v>
      </c>
      <c r="F55" s="24">
        <v>336</v>
      </c>
      <c r="G55" s="2">
        <f>SUM(C55:F55)</f>
        <v>1510</v>
      </c>
      <c r="H55" s="24">
        <v>407</v>
      </c>
      <c r="I55" s="24">
        <v>402</v>
      </c>
      <c r="J55" s="26">
        <f>E55*(1+J48)</f>
        <v>409.32000000000005</v>
      </c>
      <c r="K55" s="14" t="s">
        <v>128</v>
      </c>
    </row>
    <row r="56">
      <c r="A56" s="1"/>
      <c r="B56" s="37" t="s">
        <v>63</v>
      </c>
      <c r="C56" s="25" t="s">
        <v>64</v>
      </c>
      <c r="D56" s="25" t="s">
        <v>64</v>
      </c>
      <c r="E56" s="25" t="s">
        <v>64</v>
      </c>
      <c r="F56" s="25" t="s">
        <v>64</v>
      </c>
      <c r="G56" s="25" t="s">
        <v>64</v>
      </c>
      <c r="H56" s="25">
        <f>IFERROR(H55/C55-1,"n.a.")</f>
        <v>-0.05568445475638051</v>
      </c>
      <c r="I56" s="25">
        <f>IFERROR(I55/D55-1,"n.a.")</f>
        <v>0.10439560439560447</v>
      </c>
      <c r="J56" s="51">
        <f>IFERROR(J55/E55-1,"n.a.")</f>
        <v>0.08000000000000007</v>
      </c>
      <c r="K56" s="14"/>
    </row>
    <row r="57">
      <c r="A57" s="1"/>
      <c r="B57" s="48" t="s">
        <v>78</v>
      </c>
      <c r="C57" s="2" t="s">
        <v>64</v>
      </c>
      <c r="D57" s="2">
        <f>IFERROR(D55-C55,"n.a.")</f>
        <v>-67</v>
      </c>
      <c r="E57" s="2">
        <f>IFERROR(E55-D55,"n.a.")</f>
        <v>15</v>
      </c>
      <c r="F57" s="2">
        <f>IFERROR(F55-E55,"n.a.")</f>
        <v>-43</v>
      </c>
      <c r="G57" s="2" t="s">
        <v>64</v>
      </c>
      <c r="H57" s="2">
        <f>IFERROR(H55-F55,"n.a.")</f>
        <v>71</v>
      </c>
      <c r="I57" s="2">
        <f>IFERROR(I55-H55,"n.a.")</f>
        <v>-5</v>
      </c>
      <c r="J57" s="26">
        <f>IFERROR(J55-I55,"n.a.")</f>
        <v>7.32000000000005</v>
      </c>
      <c r="K57" s="14"/>
    </row>
    <row r="58">
      <c r="A58" s="1"/>
      <c r="B58" s="20" t="s">
        <v>291</v>
      </c>
      <c r="C58" s="16">
        <f>C49+C52+C55</f>
        <v>644</v>
      </c>
      <c r="D58" s="16">
        <f>D49+D52+D55</f>
        <v>568</v>
      </c>
      <c r="E58" s="16">
        <f>E49+E52+E55</f>
        <v>646</v>
      </c>
      <c r="F58" s="16">
        <f>F49+F52+F55</f>
        <v>606</v>
      </c>
      <c r="G58" s="16">
        <f>SUM(C58:F58)</f>
        <v>2464</v>
      </c>
      <c r="H58" s="16">
        <f>H49+H52+H55</f>
        <v>754</v>
      </c>
      <c r="I58" s="16">
        <f>I49+I52+I55</f>
        <v>747</v>
      </c>
      <c r="J58" s="65">
        <f>J49+J52+J55</f>
        <v>697.6800000000001</v>
      </c>
      <c r="K58" s="14"/>
    </row>
    <row r="59">
      <c r="A59" s="1"/>
      <c r="B59" s="37" t="s">
        <v>63</v>
      </c>
      <c r="C59" s="25" t="s">
        <v>64</v>
      </c>
      <c r="D59" s="25" t="s">
        <v>64</v>
      </c>
      <c r="E59" s="25" t="s">
        <v>64</v>
      </c>
      <c r="F59" s="25" t="s">
        <v>64</v>
      </c>
      <c r="G59" s="25" t="s">
        <v>64</v>
      </c>
      <c r="H59" s="25">
        <f>IFERROR(H58/C58-1,"n.a.")</f>
        <v>0.170807453416149</v>
      </c>
      <c r="I59" s="25">
        <f>IFERROR(I58/D58-1,"n.a.")</f>
        <v>0.3151408450704225</v>
      </c>
      <c r="J59" s="51">
        <f>IFERROR(J58/E58-1,"n.a.")</f>
        <v>0.08000000000000007</v>
      </c>
      <c r="K59" s="14"/>
    </row>
    <row r="60">
      <c r="A60" s="1"/>
      <c r="B60" s="48" t="s">
        <v>78</v>
      </c>
      <c r="C60" s="2" t="s">
        <v>64</v>
      </c>
      <c r="D60" s="2">
        <f>IFERROR(D58-C58,"n.a.")</f>
        <v>-76</v>
      </c>
      <c r="E60" s="2">
        <f>IFERROR(E58-D58,"n.a.")</f>
        <v>78</v>
      </c>
      <c r="F60" s="2">
        <f>IFERROR(F58-E58,"n.a.")</f>
        <v>-40</v>
      </c>
      <c r="G60" s="2" t="s">
        <v>64</v>
      </c>
      <c r="H60" s="2">
        <f>IFERROR(H58-F58,"n.a.")</f>
        <v>148</v>
      </c>
      <c r="I60" s="2">
        <f>IFERROR(I58-H58,"n.a.")</f>
        <v>-7</v>
      </c>
      <c r="J60" s="26">
        <f>IFERROR(J58-I58,"n.a.")</f>
        <v>-49.319999999999936</v>
      </c>
      <c r="K60" s="14"/>
    </row>
    <row r="61">
      <c r="A61" s="1"/>
      <c r="B61" s="79" t="s">
        <v>213</v>
      </c>
      <c r="C61" s="24">
        <v>156</v>
      </c>
      <c r="D61" s="24">
        <v>-4</v>
      </c>
      <c r="E61" s="24">
        <v>68</v>
      </c>
      <c r="F61" s="24">
        <v>27</v>
      </c>
      <c r="G61" s="2">
        <f>SUM(C61:F61)</f>
        <v>247</v>
      </c>
      <c r="H61" s="24">
        <v>16</v>
      </c>
      <c r="I61" s="24">
        <v>37</v>
      </c>
      <c r="J61" s="39">
        <v>45</v>
      </c>
      <c r="K61" s="14" t="s">
        <v>292</v>
      </c>
    </row>
    <row r="62">
      <c r="A62" s="1"/>
      <c r="B62" s="37" t="s">
        <v>63</v>
      </c>
      <c r="C62" s="25" t="s">
        <v>64</v>
      </c>
      <c r="D62" s="25" t="s">
        <v>64</v>
      </c>
      <c r="E62" s="25" t="s">
        <v>64</v>
      </c>
      <c r="F62" s="25" t="s">
        <v>64</v>
      </c>
      <c r="G62" s="25" t="s">
        <v>64</v>
      </c>
      <c r="H62" s="25">
        <f>IF(AND(ISNUMBER(H61),ISNUMBER(C61)),IF(OR(C61&lt;=0,H61&lt;0),"n.m.",H61/C61-1),"n.a.")</f>
        <v>-0.8974358974358975</v>
      </c>
      <c r="I62" s="25" t="str">
        <f>IF(AND(ISNUMBER(I61),ISNUMBER(D61)),IF(OR(D61&lt;=0,I61&lt;0),"n.m.",I61/D61-1),"n.a.")</f>
        <v>n.m.</v>
      </c>
      <c r="J62" s="51">
        <f>IF(AND(ISNUMBER(J61),ISNUMBER(E61)),IF(OR(E61&lt;=0,J61&lt;0),"n.m.",J61/E61-1),"n.a.")</f>
        <v>-0.3382352941176471</v>
      </c>
      <c r="K62" s="14" t="s">
        <v>238</v>
      </c>
    </row>
    <row r="63">
      <c r="A63" s="1"/>
      <c r="B63" s="48" t="s">
        <v>78</v>
      </c>
      <c r="C63" s="2" t="s">
        <v>64</v>
      </c>
      <c r="D63" s="2">
        <f>IFERROR(D61-C61,"n.a.")</f>
        <v>-160</v>
      </c>
      <c r="E63" s="2">
        <f>IFERROR(E61-D61,"n.a.")</f>
        <v>72</v>
      </c>
      <c r="F63" s="2">
        <f>IFERROR(F61-E61,"n.a.")</f>
        <v>-41</v>
      </c>
      <c r="G63" s="2" t="s">
        <v>64</v>
      </c>
      <c r="H63" s="2">
        <f>IFERROR(H61-F61,"n.a.")</f>
        <v>-11</v>
      </c>
      <c r="I63" s="2">
        <f>IFERROR(I61-H61,"n.a.")</f>
        <v>21</v>
      </c>
      <c r="J63" s="26">
        <f>IFERROR(J61-I61,"n.a.")</f>
        <v>8</v>
      </c>
      <c r="K63" s="14"/>
    </row>
    <row r="64" ht="14.624267578125">
      <c r="A64" s="1"/>
      <c r="B64" s="67" t="s">
        <v>293</v>
      </c>
      <c r="C64" s="25" t="s">
        <v>64</v>
      </c>
      <c r="D64" s="25" t="s">
        <v>64</v>
      </c>
      <c r="E64" s="25" t="s">
        <v>64</v>
      </c>
      <c r="F64" s="25" t="s">
        <v>64</v>
      </c>
      <c r="G64" s="25" t="s">
        <v>64</v>
      </c>
      <c r="H64" s="25" t="s">
        <v>64</v>
      </c>
      <c r="I64" s="25" t="s">
        <v>64</v>
      </c>
      <c r="J64" s="85">
        <v>0.018</v>
      </c>
      <c r="K64" s="14" t="s">
        <v>294</v>
      </c>
    </row>
    <row r="65">
      <c r="A65" s="1"/>
      <c r="B65" s="79" t="s">
        <v>214</v>
      </c>
      <c r="C65" s="24">
        <v>411</v>
      </c>
      <c r="D65" s="24">
        <v>423</v>
      </c>
      <c r="E65" s="24">
        <v>424</v>
      </c>
      <c r="F65" s="24">
        <v>432</v>
      </c>
      <c r="G65" s="2">
        <f>SUM(C65:F65)</f>
        <v>1690</v>
      </c>
      <c r="H65" s="24">
        <v>426</v>
      </c>
      <c r="I65" s="24">
        <v>442</v>
      </c>
      <c r="J65" s="26">
        <f>I65*(1+J64)</f>
        <v>449.956</v>
      </c>
      <c r="K65" s="14" t="s">
        <v>128</v>
      </c>
    </row>
    <row r="66">
      <c r="A66" s="1"/>
      <c r="B66" s="37" t="s">
        <v>63</v>
      </c>
      <c r="C66" s="25" t="s">
        <v>64</v>
      </c>
      <c r="D66" s="25" t="s">
        <v>64</v>
      </c>
      <c r="E66" s="25" t="s">
        <v>64</v>
      </c>
      <c r="F66" s="25" t="s">
        <v>64</v>
      </c>
      <c r="G66" s="25" t="s">
        <v>64</v>
      </c>
      <c r="H66" s="25">
        <f>IFERROR(H65/C65-1,"n.a.")</f>
        <v>0.03649635036496357</v>
      </c>
      <c r="I66" s="25">
        <f>IFERROR(I65/D65-1,"n.a.")</f>
        <v>0.044917257683215084</v>
      </c>
      <c r="J66" s="51">
        <f>IFERROR(J65/E65-1,"n.a.")</f>
        <v>0.06121698113207552</v>
      </c>
      <c r="K66" s="14"/>
    </row>
    <row r="67">
      <c r="A67" s="1"/>
      <c r="B67" s="48" t="s">
        <v>78</v>
      </c>
      <c r="C67" s="2" t="s">
        <v>64</v>
      </c>
      <c r="D67" s="2">
        <f>IFERROR(D65-C65,"n.a.")</f>
        <v>12</v>
      </c>
      <c r="E67" s="2">
        <f>IFERROR(E65-D65,"n.a.")</f>
        <v>1</v>
      </c>
      <c r="F67" s="2">
        <f>IFERROR(F65-E65,"n.a.")</f>
        <v>8</v>
      </c>
      <c r="G67" s="2" t="s">
        <v>64</v>
      </c>
      <c r="H67" s="2">
        <f>IFERROR(H65-F65,"n.a.")</f>
        <v>-6</v>
      </c>
      <c r="I67" s="2">
        <f>IFERROR(I65-H65,"n.a.")</f>
        <v>16</v>
      </c>
      <c r="J67" s="26">
        <f>IFERROR(J65-I65,"n.a.")</f>
        <v>7.956000000000017</v>
      </c>
      <c r="K67" s="14"/>
    </row>
    <row r="68">
      <c r="A68" s="1"/>
      <c r="B68" s="20" t="s">
        <v>295</v>
      </c>
      <c r="C68" s="16">
        <f>C61+C65</f>
        <v>567</v>
      </c>
      <c r="D68" s="16">
        <f>D61+D65</f>
        <v>419</v>
      </c>
      <c r="E68" s="16">
        <f>E61+E65</f>
        <v>492</v>
      </c>
      <c r="F68" s="16">
        <f>F61+F65</f>
        <v>459</v>
      </c>
      <c r="G68" s="16">
        <f>SUM(C68:F68)</f>
        <v>1937</v>
      </c>
      <c r="H68" s="16">
        <f>H61+H65</f>
        <v>442</v>
      </c>
      <c r="I68" s="16">
        <f>I61+I65</f>
        <v>479</v>
      </c>
      <c r="J68" s="65">
        <f>J61+J65</f>
        <v>494.956</v>
      </c>
      <c r="K68" s="14"/>
    </row>
    <row r="69">
      <c r="A69" s="1"/>
      <c r="B69" s="37" t="s">
        <v>63</v>
      </c>
      <c r="C69" s="25" t="s">
        <v>64</v>
      </c>
      <c r="D69" s="25" t="s">
        <v>64</v>
      </c>
      <c r="E69" s="25" t="s">
        <v>64</v>
      </c>
      <c r="F69" s="25" t="s">
        <v>64</v>
      </c>
      <c r="G69" s="25" t="s">
        <v>64</v>
      </c>
      <c r="H69" s="25">
        <f>IFERROR(H68/C68-1,"n.a.")</f>
        <v>-0.22045855379188717</v>
      </c>
      <c r="I69" s="25">
        <f>IFERROR(I68/D68-1,"n.a.")</f>
        <v>0.1431980906921242</v>
      </c>
      <c r="J69" s="51">
        <f>IFERROR(J68/E68-1,"n.a.")</f>
        <v>0.006008130081300855</v>
      </c>
      <c r="K69" s="14"/>
    </row>
    <row r="70">
      <c r="A70" s="1"/>
      <c r="B70" s="48" t="s">
        <v>78</v>
      </c>
      <c r="C70" s="2" t="s">
        <v>64</v>
      </c>
      <c r="D70" s="2">
        <f>IFERROR(D68-C68,"n.a.")</f>
        <v>-148</v>
      </c>
      <c r="E70" s="2">
        <f>IFERROR(E68-D68,"n.a.")</f>
        <v>73</v>
      </c>
      <c r="F70" s="2">
        <f>IFERROR(F68-E68,"n.a.")</f>
        <v>-33</v>
      </c>
      <c r="G70" s="2" t="s">
        <v>64</v>
      </c>
      <c r="H70" s="2">
        <f>IFERROR(H68-F68,"n.a.")</f>
        <v>-17</v>
      </c>
      <c r="I70" s="2">
        <f>IFERROR(I68-H68,"n.a.")</f>
        <v>37</v>
      </c>
      <c r="J70" s="26">
        <f>IFERROR(J68-I68,"n.a.")</f>
        <v>15.956000000000017</v>
      </c>
      <c r="K70" s="14"/>
    </row>
    <row r="71">
      <c r="A71" s="1"/>
      <c r="B71" s="20" t="s">
        <v>296</v>
      </c>
      <c r="C71" s="16">
        <f>C58+C68</f>
        <v>1211</v>
      </c>
      <c r="D71" s="16">
        <f>D58+D68</f>
        <v>987</v>
      </c>
      <c r="E71" s="16">
        <f>E58+E68</f>
        <v>1138</v>
      </c>
      <c r="F71" s="16">
        <f>F58+F68</f>
        <v>1065</v>
      </c>
      <c r="G71" s="16">
        <f>SUM(C71:F71)</f>
        <v>4401</v>
      </c>
      <c r="H71" s="16">
        <f>H58+H68</f>
        <v>1196</v>
      </c>
      <c r="I71" s="16">
        <f>I58+I68</f>
        <v>1226</v>
      </c>
      <c r="J71" s="65">
        <f>J58+J68</f>
        <v>1192.636</v>
      </c>
      <c r="K71" s="14"/>
    </row>
    <row r="72">
      <c r="A72" s="1"/>
      <c r="B72" s="37" t="s">
        <v>63</v>
      </c>
      <c r="C72" s="25" t="s">
        <v>64</v>
      </c>
      <c r="D72" s="25" t="s">
        <v>64</v>
      </c>
      <c r="E72" s="25" t="s">
        <v>64</v>
      </c>
      <c r="F72" s="25" t="s">
        <v>64</v>
      </c>
      <c r="G72" s="25" t="s">
        <v>64</v>
      </c>
      <c r="H72" s="25">
        <f>IFERROR(H71/C71-1,"n.a.")</f>
        <v>-0.012386457473162693</v>
      </c>
      <c r="I72" s="25">
        <f>IFERROR(I71/D71-1,"n.a.")</f>
        <v>0.2421479229989869</v>
      </c>
      <c r="J72" s="51">
        <f>IFERROR(J71/E71-1,"n.a.")</f>
        <v>0.04801054481546574</v>
      </c>
      <c r="K72" s="14"/>
    </row>
    <row r="73">
      <c r="A73" s="1"/>
      <c r="B73" s="48" t="s">
        <v>78</v>
      </c>
      <c r="C73" s="2" t="s">
        <v>64</v>
      </c>
      <c r="D73" s="2">
        <f>IFERROR(D71-C71,"n.a.")</f>
        <v>-224</v>
      </c>
      <c r="E73" s="2">
        <f>IFERROR(E71-D71,"n.a.")</f>
        <v>151</v>
      </c>
      <c r="F73" s="2">
        <f>IFERROR(F71-E71,"n.a.")</f>
        <v>-73</v>
      </c>
      <c r="G73" s="2" t="s">
        <v>64</v>
      </c>
      <c r="H73" s="2">
        <f>IFERROR(H71-F71,"n.a.")</f>
        <v>131</v>
      </c>
      <c r="I73" s="2">
        <f>IFERROR(I71-H71,"n.a.")</f>
        <v>30</v>
      </c>
      <c r="J73" s="26">
        <f>IFERROR(J71-I71,"n.a.")</f>
        <v>-33.36400000000003</v>
      </c>
      <c r="K73" s="14"/>
    </row>
    <row r="74">
      <c r="A74" s="1"/>
      <c r="B74" s="20" t="s">
        <v>136</v>
      </c>
      <c r="C74" s="16">
        <f>C45+C71</f>
        <v>3873</v>
      </c>
      <c r="D74" s="16">
        <f>D45+D71</f>
        <v>3307</v>
      </c>
      <c r="E74" s="16">
        <f>E45+E71</f>
        <v>3083</v>
      </c>
      <c r="F74" s="16">
        <f>F45+F71</f>
        <v>2792</v>
      </c>
      <c r="G74" s="16">
        <f>SUM(C74:F74)</f>
        <v>13055</v>
      </c>
      <c r="H74" s="16">
        <f>H45+H71</f>
        <v>4028</v>
      </c>
      <c r="I74" s="16">
        <f>I45+I71</f>
        <v>3958</v>
      </c>
      <c r="J74" s="65">
        <f>J45+J71</f>
        <v>3317.8178</v>
      </c>
      <c r="K74" s="14"/>
    </row>
    <row r="75">
      <c r="A75" s="1"/>
      <c r="B75" s="37" t="s">
        <v>63</v>
      </c>
      <c r="C75" s="25" t="s">
        <v>64</v>
      </c>
      <c r="D75" s="25" t="s">
        <v>64</v>
      </c>
      <c r="E75" s="25" t="s">
        <v>64</v>
      </c>
      <c r="F75" s="25" t="s">
        <v>64</v>
      </c>
      <c r="G75" s="25" t="s">
        <v>64</v>
      </c>
      <c r="H75" s="25">
        <f>IFERROR(H74/C74-1,"n.a.")</f>
        <v>0.04002065582235992</v>
      </c>
      <c r="I75" s="25">
        <f>IFERROR(I74/D74-1,"n.a.")</f>
        <v>0.19685515573026913</v>
      </c>
      <c r="J75" s="51">
        <f>IFERROR(J74/E74-1,"n.a.")</f>
        <v>0.07616535841712602</v>
      </c>
      <c r="K75" s="14"/>
    </row>
    <row r="76">
      <c r="A76" s="1"/>
      <c r="B76" s="37" t="s">
        <v>65</v>
      </c>
      <c r="C76" s="25" t="s">
        <v>64</v>
      </c>
      <c r="D76" s="25">
        <f>IFERROR(D74/C74-1,"n.a.")</f>
        <v>-0.1461399431964885</v>
      </c>
      <c r="E76" s="25">
        <f>IFERROR(E74/D74-1,"n.a.")</f>
        <v>-0.06773510734804955</v>
      </c>
      <c r="F76" s="25">
        <f>IFERROR(F74/E74-1,"n.a.")</f>
        <v>-0.0943885825494648</v>
      </c>
      <c r="G76" s="25" t="s">
        <v>64</v>
      </c>
      <c r="H76" s="25">
        <f>IFERROR(H74/F74-1,"n.a.")</f>
        <v>0.44269340974212024</v>
      </c>
      <c r="I76" s="25">
        <f>IFERROR(I74/H74-1,"n.a.")</f>
        <v>-0.0173783515392254</v>
      </c>
      <c r="J76" s="51">
        <f>IFERROR(J74/I74-1,"n.a.")</f>
        <v>-0.16174386053562406</v>
      </c>
      <c r="K76" s="14"/>
    </row>
    <row r="77">
      <c r="A77" s="1"/>
      <c r="B77" s="48" t="s">
        <v>78</v>
      </c>
      <c r="C77" s="2" t="s">
        <v>64</v>
      </c>
      <c r="D77" s="2">
        <f>IFERROR(D74-C74,"n.a.")</f>
        <v>-566</v>
      </c>
      <c r="E77" s="2">
        <f>IFERROR(E74-D74,"n.a.")</f>
        <v>-224</v>
      </c>
      <c r="F77" s="2">
        <f>IFERROR(F74-E74,"n.a.")</f>
        <v>-291</v>
      </c>
      <c r="G77" s="2" t="s">
        <v>64</v>
      </c>
      <c r="H77" s="2">
        <f>IFERROR(H74-F74,"n.a.")</f>
        <v>1236</v>
      </c>
      <c r="I77" s="2">
        <f>IFERROR(I74-H74,"n.a.")</f>
        <v>-70</v>
      </c>
      <c r="J77" s="26">
        <f>IFERROR(J74-I74,"n.a.")</f>
        <v>-640.1822000000002</v>
      </c>
      <c r="K77" s="14"/>
    </row>
    <row r="78">
      <c r="A78" s="1"/>
      <c r="B78" s="18"/>
      <c r="C78" s="19"/>
      <c r="D78" s="19"/>
      <c r="E78" s="19"/>
      <c r="F78" s="19"/>
      <c r="G78" s="19"/>
      <c r="H78" s="19"/>
      <c r="I78" s="19"/>
      <c r="J78" s="27"/>
      <c r="K78" s="14"/>
    </row>
    <row r="79">
      <c r="A79" s="1"/>
      <c r="B79" s="20" t="s">
        <v>297</v>
      </c>
      <c r="C79" s="32"/>
      <c r="D79" s="32"/>
      <c r="E79" s="32"/>
      <c r="F79" s="32"/>
      <c r="G79" s="32"/>
      <c r="H79" s="32"/>
      <c r="I79" s="32"/>
      <c r="J79" s="28"/>
      <c r="K79" s="14"/>
    </row>
    <row r="80">
      <c r="A80" s="1"/>
      <c r="B80" s="79" t="s">
        <v>82</v>
      </c>
      <c r="C80" s="24">
        <v>297</v>
      </c>
      <c r="D80" s="24">
        <v>334</v>
      </c>
      <c r="E80" s="24">
        <v>347</v>
      </c>
      <c r="F80" s="24">
        <v>356</v>
      </c>
      <c r="G80" s="2">
        <f>SUM(C80:F80)</f>
        <v>1334</v>
      </c>
      <c r="H80" s="24">
        <v>383</v>
      </c>
      <c r="I80" s="24">
        <v>411</v>
      </c>
      <c r="J80" s="39">
        <v>415</v>
      </c>
      <c r="K80" s="14" t="s">
        <v>298</v>
      </c>
    </row>
    <row r="81">
      <c r="A81" s="1"/>
      <c r="B81" s="37" t="s">
        <v>63</v>
      </c>
      <c r="C81" s="25" t="s">
        <v>64</v>
      </c>
      <c r="D81" s="25" t="s">
        <v>64</v>
      </c>
      <c r="E81" s="25" t="s">
        <v>64</v>
      </c>
      <c r="F81" s="25" t="s">
        <v>64</v>
      </c>
      <c r="G81" s="25" t="s">
        <v>64</v>
      </c>
      <c r="H81" s="25">
        <f>IFERROR(H80/C80-1,"n.a.")</f>
        <v>0.2895622895622896</v>
      </c>
      <c r="I81" s="25">
        <f>IFERROR(I80/D80-1,"n.a.")</f>
        <v>0.2305389221556886</v>
      </c>
      <c r="J81" s="51">
        <f>IFERROR(J80/E80-1,"n.a.")</f>
        <v>0.19596541786743527</v>
      </c>
      <c r="K81" s="14"/>
    </row>
    <row r="82">
      <c r="A82" s="1"/>
      <c r="B82" s="48" t="s">
        <v>78</v>
      </c>
      <c r="C82" s="2" t="s">
        <v>64</v>
      </c>
      <c r="D82" s="2">
        <f>IFERROR(D80-C80,"n.a.")</f>
        <v>37</v>
      </c>
      <c r="E82" s="2">
        <f>IFERROR(E80-D80,"n.a.")</f>
        <v>13</v>
      </c>
      <c r="F82" s="2">
        <f>IFERROR(F80-E80,"n.a.")</f>
        <v>9</v>
      </c>
      <c r="G82" s="2" t="s">
        <v>64</v>
      </c>
      <c r="H82" s="2">
        <f>IFERROR(H80-F80,"n.a.")</f>
        <v>27</v>
      </c>
      <c r="I82" s="2">
        <f>IFERROR(I80-H80,"n.a.")</f>
        <v>28</v>
      </c>
      <c r="J82" s="26">
        <f>IFERROR(J80-I80,"n.a.")</f>
        <v>4</v>
      </c>
      <c r="K82" s="14"/>
    </row>
    <row r="83" ht="14.624267578125">
      <c r="A83" s="1"/>
      <c r="B83" s="63" t="s">
        <v>134</v>
      </c>
      <c r="C83" s="24">
        <v>1160</v>
      </c>
      <c r="D83" s="24">
        <v>1067</v>
      </c>
      <c r="E83" s="24">
        <v>1155</v>
      </c>
      <c r="F83" s="24">
        <v>1142</v>
      </c>
      <c r="G83" s="2">
        <f>SUM(C83:F83)</f>
        <v>4524</v>
      </c>
      <c r="H83" s="24">
        <v>1287</v>
      </c>
      <c r="I83" s="24">
        <v>1276</v>
      </c>
      <c r="J83" s="39">
        <v>1240</v>
      </c>
      <c r="K83" s="14" t="s">
        <v>299</v>
      </c>
    </row>
    <row r="84">
      <c r="A84" s="1"/>
      <c r="B84" s="37" t="s">
        <v>63</v>
      </c>
      <c r="C84" s="25" t="s">
        <v>64</v>
      </c>
      <c r="D84" s="25" t="s">
        <v>64</v>
      </c>
      <c r="E84" s="25" t="s">
        <v>64</v>
      </c>
      <c r="F84" s="25" t="s">
        <v>64</v>
      </c>
      <c r="G84" s="25" t="s">
        <v>64</v>
      </c>
      <c r="H84" s="25">
        <f>IFERROR(H83/C83-1,"n.a.")</f>
        <v>0.10948275862068968</v>
      </c>
      <c r="I84" s="25">
        <f>IFERROR(I83/D83-1,"n.a.")</f>
        <v>0.19587628865979378</v>
      </c>
      <c r="J84" s="51">
        <f>IFERROR(J83/E83-1,"n.a.")</f>
        <v>0.07359307359307365</v>
      </c>
      <c r="K84" s="14"/>
    </row>
    <row r="85">
      <c r="A85" s="1"/>
      <c r="B85" s="48" t="s">
        <v>78</v>
      </c>
      <c r="C85" s="2" t="s">
        <v>64</v>
      </c>
      <c r="D85" s="2">
        <f>IFERROR(D83-C83,"n.a.")</f>
        <v>-93</v>
      </c>
      <c r="E85" s="2">
        <f>IFERROR(E83-D83,"n.a.")</f>
        <v>88</v>
      </c>
      <c r="F85" s="2">
        <f>IFERROR(F83-E83,"n.a.")</f>
        <v>-13</v>
      </c>
      <c r="G85" s="2" t="s">
        <v>64</v>
      </c>
      <c r="H85" s="2">
        <f>IFERROR(H83-F83,"n.a.")</f>
        <v>145</v>
      </c>
      <c r="I85" s="2">
        <f>IFERROR(I83-H83,"n.a.")</f>
        <v>-11</v>
      </c>
      <c r="J85" s="26">
        <f>IFERROR(J83-I83,"n.a.")</f>
        <v>-36</v>
      </c>
      <c r="K85" s="14"/>
    </row>
    <row r="86">
      <c r="A86" s="1"/>
      <c r="B86" s="79" t="s">
        <v>300</v>
      </c>
      <c r="C86" s="24">
        <v>2416</v>
      </c>
      <c r="D86" s="24">
        <v>1906</v>
      </c>
      <c r="E86" s="24">
        <v>1581</v>
      </c>
      <c r="F86" s="24">
        <v>1294</v>
      </c>
      <c r="G86" s="2">
        <f>SUM(C86:F86)</f>
        <v>7197</v>
      </c>
      <c r="H86" s="24">
        <v>2358</v>
      </c>
      <c r="I86" s="24">
        <v>2271</v>
      </c>
      <c r="J86" s="26">
        <f>J74-J80-J83</f>
        <v>1662.8177999999998</v>
      </c>
      <c r="K86" s="14" t="s">
        <v>301</v>
      </c>
    </row>
    <row r="87">
      <c r="A87" s="1"/>
      <c r="B87" s="37" t="s">
        <v>63</v>
      </c>
      <c r="C87" s="25" t="s">
        <v>64</v>
      </c>
      <c r="D87" s="25" t="s">
        <v>64</v>
      </c>
      <c r="E87" s="25" t="s">
        <v>64</v>
      </c>
      <c r="F87" s="25" t="s">
        <v>64</v>
      </c>
      <c r="G87" s="25" t="s">
        <v>64</v>
      </c>
      <c r="H87" s="25">
        <f>IFERROR(H86/C86-1,"n.a.")</f>
        <v>-0.024006622516556275</v>
      </c>
      <c r="I87" s="25">
        <f>IFERROR(I86/D86-1,"n.a.")</f>
        <v>0.1915005246589716</v>
      </c>
      <c r="J87" s="51">
        <f>IFERROR(J86/E86-1,"n.a.")</f>
        <v>0.051750664136622326</v>
      </c>
      <c r="K87" s="14"/>
    </row>
    <row r="88">
      <c r="A88" s="1"/>
      <c r="B88" s="48" t="s">
        <v>78</v>
      </c>
      <c r="C88" s="2" t="s">
        <v>64</v>
      </c>
      <c r="D88" s="2">
        <f>IFERROR(D86-C86,"n.a.")</f>
        <v>-510</v>
      </c>
      <c r="E88" s="2">
        <f>IFERROR(E86-D86,"n.a.")</f>
        <v>-325</v>
      </c>
      <c r="F88" s="2">
        <f>IFERROR(F86-E86,"n.a.")</f>
        <v>-287</v>
      </c>
      <c r="G88" s="2" t="s">
        <v>64</v>
      </c>
      <c r="H88" s="2">
        <f>IFERROR(H86-F86,"n.a.")</f>
        <v>1064</v>
      </c>
      <c r="I88" s="2">
        <f>IFERROR(I86-H86,"n.a.")</f>
        <v>-87</v>
      </c>
      <c r="J88" s="26">
        <f>IFERROR(J86-I86,"n.a.")</f>
        <v>-608.1822000000002</v>
      </c>
      <c r="K88" s="14"/>
    </row>
    <row r="89">
      <c r="A89" s="1"/>
      <c r="B89" s="20" t="s">
        <v>302</v>
      </c>
      <c r="C89" s="16">
        <f>C80+C86+C83</f>
        <v>3873</v>
      </c>
      <c r="D89" s="16">
        <f>D80+D86+D83</f>
        <v>3307</v>
      </c>
      <c r="E89" s="16">
        <f>E80+E86+E83</f>
        <v>3083</v>
      </c>
      <c r="F89" s="16">
        <f>F80+F86+F83</f>
        <v>2792</v>
      </c>
      <c r="G89" s="16">
        <f>SUM(C89:F89)</f>
        <v>13055</v>
      </c>
      <c r="H89" s="16">
        <f>H80+H86+H83</f>
        <v>4028</v>
      </c>
      <c r="I89" s="16">
        <f>I80+I86+I83</f>
        <v>3958</v>
      </c>
      <c r="J89" s="65">
        <f>J80+J86+J83</f>
        <v>3317.8178</v>
      </c>
      <c r="K89" s="14"/>
    </row>
    <row r="90" ht="14.624267578125">
      <c r="A90" s="1"/>
      <c r="B90" s="63" t="s">
        <v>303</v>
      </c>
      <c r="C90" s="2">
        <f>C89-C74</f>
        <v>0</v>
      </c>
      <c r="D90" s="2">
        <f>D89-D74</f>
        <v>0</v>
      </c>
      <c r="E90" s="2">
        <f>E89-E74</f>
        <v>0</v>
      </c>
      <c r="F90" s="2">
        <f>F89-F74</f>
        <v>0</v>
      </c>
      <c r="G90" s="2">
        <f>G89-G74</f>
        <v>0</v>
      </c>
      <c r="H90" s="2">
        <f>H89-H74</f>
        <v>0</v>
      </c>
      <c r="I90" s="2">
        <f>I89-I74</f>
        <v>0</v>
      </c>
      <c r="J90" s="26">
        <f>J89-J74</f>
        <v>0</v>
      </c>
      <c r="K90" s="14" t="s">
        <v>304</v>
      </c>
    </row>
    <row r="91" ht="23.24853515625">
      <c r="A91" s="1"/>
      <c r="B91" s="67" t="s">
        <v>305</v>
      </c>
      <c r="C91" s="25" t="s">
        <v>64</v>
      </c>
      <c r="D91" s="25" t="s">
        <v>64</v>
      </c>
      <c r="E91" s="25" t="s">
        <v>64</v>
      </c>
      <c r="F91" s="25" t="s">
        <v>64</v>
      </c>
      <c r="G91" s="25" t="s">
        <v>64</v>
      </c>
      <c r="H91" s="25" t="s">
        <v>64</v>
      </c>
      <c r="I91" s="25" t="s">
        <v>64</v>
      </c>
      <c r="J91" s="85">
        <v>0.3</v>
      </c>
      <c r="K91" s="14" t="s">
        <v>306</v>
      </c>
    </row>
    <row r="92">
      <c r="A92" s="1"/>
      <c r="B92" s="18"/>
      <c r="C92" s="19"/>
      <c r="D92" s="19"/>
      <c r="E92" s="19"/>
      <c r="F92" s="19"/>
      <c r="G92" s="19"/>
      <c r="H92" s="19"/>
      <c r="I92" s="19"/>
      <c r="J92" s="27"/>
      <c r="K92" s="14"/>
    </row>
    <row r="93">
      <c r="A93" s="1"/>
      <c r="B93" s="20" t="s">
        <v>145</v>
      </c>
      <c r="C93" s="32"/>
      <c r="D93" s="32"/>
      <c r="E93" s="32"/>
      <c r="F93" s="32"/>
      <c r="G93" s="32"/>
      <c r="H93" s="32"/>
      <c r="I93" s="32"/>
      <c r="J93" s="28"/>
      <c r="K93" s="14"/>
    </row>
    <row r="94" ht="14.624267578125">
      <c r="A94" s="1"/>
      <c r="B94" s="63" t="s">
        <v>146</v>
      </c>
      <c r="C94" s="2" t="s">
        <v>64</v>
      </c>
      <c r="D94" s="2" t="s">
        <v>64</v>
      </c>
      <c r="E94" s="2" t="s">
        <v>64</v>
      </c>
      <c r="F94" s="2" t="s">
        <v>64</v>
      </c>
      <c r="G94" s="2" t="s">
        <v>64</v>
      </c>
      <c r="H94" s="2" t="s">
        <v>64</v>
      </c>
      <c r="I94" s="2" t="s">
        <v>64</v>
      </c>
      <c r="J94" s="26">
        <f>E97-(J74-E74)*J91</f>
        <v>-2080.4453399999998</v>
      </c>
      <c r="K94" s="14" t="s">
        <v>307</v>
      </c>
    </row>
    <row r="95" ht="14.624267578125">
      <c r="A95" s="1"/>
      <c r="B95" s="63" t="s">
        <v>148</v>
      </c>
      <c r="C95" s="2" t="s">
        <v>64</v>
      </c>
      <c r="D95" s="2" t="s">
        <v>64</v>
      </c>
      <c r="E95" s="2" t="s">
        <v>64</v>
      </c>
      <c r="F95" s="2" t="s">
        <v>64</v>
      </c>
      <c r="G95" s="2" t="s">
        <v>64</v>
      </c>
      <c r="H95" s="2" t="s">
        <v>64</v>
      </c>
      <c r="I95" s="2" t="s">
        <v>64</v>
      </c>
      <c r="J95" s="39">
        <v>-45</v>
      </c>
      <c r="K95" s="14" t="s">
        <v>149</v>
      </c>
    </row>
    <row r="96" ht="14.624267578125">
      <c r="A96" s="1"/>
      <c r="B96" s="63" t="s">
        <v>308</v>
      </c>
      <c r="C96" s="2" t="s">
        <v>64</v>
      </c>
      <c r="D96" s="2" t="s">
        <v>64</v>
      </c>
      <c r="E96" s="2" t="s">
        <v>64</v>
      </c>
      <c r="F96" s="2" t="s">
        <v>64</v>
      </c>
      <c r="G96" s="2" t="s">
        <v>64</v>
      </c>
      <c r="H96" s="2" t="s">
        <v>64</v>
      </c>
      <c r="I96" s="2" t="s">
        <v>64</v>
      </c>
      <c r="J96" s="39">
        <v>-45</v>
      </c>
      <c r="K96" s="14" t="s">
        <v>309</v>
      </c>
    </row>
    <row r="97">
      <c r="A97" s="1"/>
      <c r="B97" s="18" t="s">
        <v>150</v>
      </c>
      <c r="C97" s="24">
        <v>-2061</v>
      </c>
      <c r="D97" s="24">
        <v>-1932</v>
      </c>
      <c r="E97" s="24">
        <v>-2010</v>
      </c>
      <c r="F97" s="24">
        <v>-1924</v>
      </c>
      <c r="G97" s="2">
        <f>SUM(C97:F97)</f>
        <v>-7927</v>
      </c>
      <c r="H97" s="24">
        <v>-2107</v>
      </c>
      <c r="I97" s="24">
        <v>-2199</v>
      </c>
      <c r="J97" s="26">
        <f>J94+J95+J96</f>
        <v>-2170.4453399999998</v>
      </c>
      <c r="K97" s="14" t="s">
        <v>128</v>
      </c>
    </row>
    <row r="98">
      <c r="A98" s="1"/>
      <c r="B98" s="37" t="s">
        <v>63</v>
      </c>
      <c r="C98" s="25" t="s">
        <v>64</v>
      </c>
      <c r="D98" s="25" t="s">
        <v>64</v>
      </c>
      <c r="E98" s="25" t="s">
        <v>64</v>
      </c>
      <c r="F98" s="25" t="s">
        <v>64</v>
      </c>
      <c r="G98" s="25" t="s">
        <v>64</v>
      </c>
      <c r="H98" s="25">
        <f>IFERROR(H97/C97-1,"n.a.")</f>
        <v>0.02231926249393501</v>
      </c>
      <c r="I98" s="25">
        <f>IFERROR(I97/D97-1,"n.a.")</f>
        <v>0.13819875776397517</v>
      </c>
      <c r="J98" s="51">
        <f>IFERROR(J97/E97-1,"n.a.")</f>
        <v>0.07982355223880577</v>
      </c>
      <c r="K98" s="14"/>
    </row>
    <row r="99">
      <c r="A99" s="1"/>
      <c r="B99" s="48" t="s">
        <v>78</v>
      </c>
      <c r="C99" s="2" t="s">
        <v>64</v>
      </c>
      <c r="D99" s="2">
        <f>IFERROR(D97-C97,"n.a.")</f>
        <v>129</v>
      </c>
      <c r="E99" s="2">
        <f>IFERROR(E97-D97,"n.a.")</f>
        <v>-78</v>
      </c>
      <c r="F99" s="2">
        <f>IFERROR(F97-E97,"n.a.")</f>
        <v>86</v>
      </c>
      <c r="G99" s="2" t="s">
        <v>64</v>
      </c>
      <c r="H99" s="2">
        <f>IFERROR(H97-F97,"n.a.")</f>
        <v>-183</v>
      </c>
      <c r="I99" s="2">
        <f>IFERROR(I97-H97,"n.a.")</f>
        <v>-92</v>
      </c>
      <c r="J99" s="26">
        <f>IFERROR(J97-I97,"n.a.")</f>
        <v>28.55466000000024</v>
      </c>
      <c r="K99" s="14"/>
    </row>
    <row r="100">
      <c r="A100" s="1"/>
      <c r="B100" s="18" t="s">
        <v>151</v>
      </c>
      <c r="C100" s="24">
        <v>-27</v>
      </c>
      <c r="D100" s="24">
        <v>0</v>
      </c>
      <c r="E100" s="24">
        <v>5</v>
      </c>
      <c r="F100" s="24">
        <v>-159</v>
      </c>
      <c r="G100" s="2">
        <f>SUM(C100:F100)</f>
        <v>-181</v>
      </c>
      <c r="H100" s="24">
        <v>-22</v>
      </c>
      <c r="I100" s="24">
        <v>0</v>
      </c>
      <c r="J100" s="39">
        <v>0</v>
      </c>
      <c r="K100" s="14" t="s">
        <v>152</v>
      </c>
    </row>
    <row r="101">
      <c r="A101" s="1"/>
      <c r="B101" s="18" t="s">
        <v>153</v>
      </c>
      <c r="C101" s="24">
        <v>-3</v>
      </c>
      <c r="D101" s="24">
        <v>-8</v>
      </c>
      <c r="E101" s="24">
        <v>-9</v>
      </c>
      <c r="F101" s="24">
        <v>-8</v>
      </c>
      <c r="G101" s="2">
        <f>SUM(C101:F101)</f>
        <v>-28</v>
      </c>
      <c r="H101" s="24">
        <v>2</v>
      </c>
      <c r="I101" s="24">
        <v>0</v>
      </c>
      <c r="J101" s="39">
        <v>-5</v>
      </c>
      <c r="K101" s="14" t="s">
        <v>154</v>
      </c>
    </row>
    <row r="102">
      <c r="A102" s="1"/>
      <c r="B102" s="20" t="s">
        <v>155</v>
      </c>
      <c r="C102" s="16">
        <f>C97+C100+C101</f>
        <v>-2091</v>
      </c>
      <c r="D102" s="16">
        <f>D97+D100+D101</f>
        <v>-1940</v>
      </c>
      <c r="E102" s="16">
        <f>E97+E100+E101</f>
        <v>-2014</v>
      </c>
      <c r="F102" s="16">
        <f>F97+F100+F101</f>
        <v>-2091</v>
      </c>
      <c r="G102" s="16">
        <f>SUM(C102:F102)</f>
        <v>-8136</v>
      </c>
      <c r="H102" s="16">
        <f>H97+H100+H101</f>
        <v>-2127</v>
      </c>
      <c r="I102" s="16">
        <f>I97+I100+I101</f>
        <v>-2199</v>
      </c>
      <c r="J102" s="65">
        <f>J97+J100+J101</f>
        <v>-2175.4453399999998</v>
      </c>
      <c r="K102" s="14"/>
    </row>
    <row r="103">
      <c r="A103" s="1"/>
      <c r="B103" s="37" t="s">
        <v>63</v>
      </c>
      <c r="C103" s="25" t="s">
        <v>64</v>
      </c>
      <c r="D103" s="25" t="s">
        <v>64</v>
      </c>
      <c r="E103" s="25" t="s">
        <v>64</v>
      </c>
      <c r="F103" s="25" t="s">
        <v>64</v>
      </c>
      <c r="G103" s="25" t="s">
        <v>64</v>
      </c>
      <c r="H103" s="25">
        <f>IFERROR(H102/C102-1,"n.a.")</f>
        <v>0.017216642754662947</v>
      </c>
      <c r="I103" s="25">
        <f>IFERROR(I102/D102-1,"n.a.")</f>
        <v>0.13350515463917523</v>
      </c>
      <c r="J103" s="51">
        <f>IFERROR(J102/E102-1,"n.a.")</f>
        <v>0.08016153922542202</v>
      </c>
      <c r="K103" s="14"/>
    </row>
    <row r="104">
      <c r="A104" s="1"/>
      <c r="B104" s="48" t="s">
        <v>78</v>
      </c>
      <c r="C104" s="2" t="s">
        <v>64</v>
      </c>
      <c r="D104" s="2">
        <f>IFERROR(D102-C102,"n.a.")</f>
        <v>151</v>
      </c>
      <c r="E104" s="2">
        <f>IFERROR(E102-D102,"n.a.")</f>
        <v>-74</v>
      </c>
      <c r="F104" s="2">
        <f>IFERROR(F102-E102,"n.a.")</f>
        <v>-77</v>
      </c>
      <c r="G104" s="2" t="s">
        <v>64</v>
      </c>
      <c r="H104" s="2">
        <f>IFERROR(H102-F102,"n.a.")</f>
        <v>-36</v>
      </c>
      <c r="I104" s="2">
        <f>IFERROR(I102-H102,"n.a.")</f>
        <v>-72</v>
      </c>
      <c r="J104" s="26">
        <f>IFERROR(J102-I102,"n.a.")</f>
        <v>23.55466000000024</v>
      </c>
      <c r="K104" s="14"/>
    </row>
    <row r="105">
      <c r="A105" s="1"/>
      <c r="B105" s="18" t="s">
        <v>156</v>
      </c>
      <c r="C105" s="24">
        <v>0</v>
      </c>
      <c r="D105" s="24">
        <v>0</v>
      </c>
      <c r="E105" s="24">
        <v>0</v>
      </c>
      <c r="F105" s="24">
        <v>0</v>
      </c>
      <c r="G105" s="2">
        <f>SUM(C105:F105)</f>
        <v>0</v>
      </c>
      <c r="H105" s="24">
        <v>0</v>
      </c>
      <c r="I105" s="24">
        <v>0</v>
      </c>
      <c r="J105" s="39">
        <v>0</v>
      </c>
      <c r="K105" s="14"/>
    </row>
    <row r="106">
      <c r="A106" s="1"/>
      <c r="B106" s="20" t="s">
        <v>157</v>
      </c>
      <c r="C106" s="16">
        <f>C74+C102+C105</f>
        <v>1782</v>
      </c>
      <c r="D106" s="16">
        <f>D74+D102+D105</f>
        <v>1367</v>
      </c>
      <c r="E106" s="16">
        <f>E74+E102+E105</f>
        <v>1069</v>
      </c>
      <c r="F106" s="16">
        <f>F74+F102+F105</f>
        <v>701</v>
      </c>
      <c r="G106" s="16">
        <f>SUM(C106:F106)</f>
        <v>4919</v>
      </c>
      <c r="H106" s="16">
        <f>H74+H102+H105</f>
        <v>1901</v>
      </c>
      <c r="I106" s="16">
        <f>I74+I102+I105</f>
        <v>1759</v>
      </c>
      <c r="J106" s="65">
        <f>J74+J102+J105</f>
        <v>1142.37246</v>
      </c>
      <c r="K106" s="14"/>
    </row>
    <row r="107">
      <c r="A107" s="1"/>
      <c r="B107" s="37" t="s">
        <v>63</v>
      </c>
      <c r="C107" s="25" t="s">
        <v>64</v>
      </c>
      <c r="D107" s="25" t="s">
        <v>64</v>
      </c>
      <c r="E107" s="25" t="s">
        <v>64</v>
      </c>
      <c r="F107" s="25" t="s">
        <v>64</v>
      </c>
      <c r="G107" s="25" t="s">
        <v>64</v>
      </c>
      <c r="H107" s="25">
        <f>IFERROR(H106/C106-1,"n.a.")</f>
        <v>0.06677890011223342</v>
      </c>
      <c r="I107" s="25">
        <f>IFERROR(I106/D106-1,"n.a.")</f>
        <v>0.28675932699341633</v>
      </c>
      <c r="J107" s="51">
        <f>IFERROR(J106/E106-1,"n.a.")</f>
        <v>0.06863653882132836</v>
      </c>
      <c r="K107" s="14"/>
    </row>
    <row r="108">
      <c r="A108" s="1"/>
      <c r="B108" s="48" t="s">
        <v>78</v>
      </c>
      <c r="C108" s="2" t="s">
        <v>64</v>
      </c>
      <c r="D108" s="2">
        <f>IFERROR(D106-C106,"n.a.")</f>
        <v>-415</v>
      </c>
      <c r="E108" s="2">
        <f>IFERROR(E106-D106,"n.a.")</f>
        <v>-298</v>
      </c>
      <c r="F108" s="2">
        <f>IFERROR(F106-E106,"n.a.")</f>
        <v>-368</v>
      </c>
      <c r="G108" s="2" t="s">
        <v>64</v>
      </c>
      <c r="H108" s="2">
        <f>IFERROR(H106-F106,"n.a.")</f>
        <v>1200</v>
      </c>
      <c r="I108" s="2">
        <f>IFERROR(I106-H106,"n.a.")</f>
        <v>-142</v>
      </c>
      <c r="J108" s="26">
        <f>IFERROR(J106-I106,"n.a.")</f>
        <v>-616.62754</v>
      </c>
      <c r="K108" s="14"/>
    </row>
    <row r="109">
      <c r="A109" s="1"/>
      <c r="B109" s="18"/>
      <c r="C109" s="19"/>
      <c r="D109" s="19"/>
      <c r="E109" s="19"/>
      <c r="F109" s="19"/>
      <c r="G109" s="19"/>
      <c r="H109" s="19"/>
      <c r="I109" s="19"/>
      <c r="J109" s="27"/>
      <c r="K109" s="14"/>
    </row>
    <row r="110">
      <c r="A110" s="1"/>
      <c r="B110" s="20" t="s">
        <v>158</v>
      </c>
      <c r="C110" s="32"/>
      <c r="D110" s="32"/>
      <c r="E110" s="32"/>
      <c r="F110" s="32"/>
      <c r="G110" s="32"/>
      <c r="H110" s="32"/>
      <c r="I110" s="32"/>
      <c r="J110" s="28"/>
      <c r="K110" s="14"/>
    </row>
    <row r="111" ht="14.624267578125">
      <c r="A111" s="1"/>
      <c r="B111" s="63" t="s">
        <v>219</v>
      </c>
      <c r="C111" s="45" t="s">
        <v>64</v>
      </c>
      <c r="D111" s="45" t="s">
        <v>64</v>
      </c>
      <c r="E111" s="45" t="s">
        <v>64</v>
      </c>
      <c r="F111" s="45" t="s">
        <v>64</v>
      </c>
      <c r="G111" s="45" t="s">
        <v>64</v>
      </c>
      <c r="H111" s="45" t="s">
        <v>64</v>
      </c>
      <c r="I111" s="45" t="s">
        <v>64</v>
      </c>
      <c r="J111" s="90">
        <v>0.002</v>
      </c>
      <c r="K111" s="14" t="s">
        <v>310</v>
      </c>
    </row>
    <row r="112">
      <c r="A112" s="1"/>
      <c r="B112" s="20" t="s">
        <v>164</v>
      </c>
      <c r="C112" s="62">
        <v>-72</v>
      </c>
      <c r="D112" s="62">
        <v>-67</v>
      </c>
      <c r="E112" s="62">
        <v>-144</v>
      </c>
      <c r="F112" s="62">
        <v>-22</v>
      </c>
      <c r="G112" s="38">
        <f>SUM(C112:F112)</f>
        <v>-305</v>
      </c>
      <c r="H112" s="62">
        <v>-279</v>
      </c>
      <c r="I112" s="62">
        <v>-44</v>
      </c>
      <c r="J112" s="23">
        <f>-J139*1000*J111*J$7/365</f>
        <v>-68.71013698630138</v>
      </c>
      <c r="K112" s="14" t="s">
        <v>128</v>
      </c>
    </row>
    <row r="113">
      <c r="A113" s="1"/>
      <c r="B113" s="37" t="s">
        <v>63</v>
      </c>
      <c r="C113" s="25" t="s">
        <v>64</v>
      </c>
      <c r="D113" s="25" t="s">
        <v>64</v>
      </c>
      <c r="E113" s="25" t="s">
        <v>64</v>
      </c>
      <c r="F113" s="25" t="s">
        <v>64</v>
      </c>
      <c r="G113" s="25" t="s">
        <v>64</v>
      </c>
      <c r="H113" s="25">
        <f>IFERROR(H112/C112-1,"n.a.")</f>
        <v>2.875</v>
      </c>
      <c r="I113" s="25">
        <f>IFERROR(I112/D112-1,"n.a.")</f>
        <v>-0.34328358208955223</v>
      </c>
      <c r="J113" s="51">
        <f>IFERROR(J112/E112-1,"n.a.")</f>
        <v>-0.5228462709284627</v>
      </c>
      <c r="K113" s="14"/>
    </row>
    <row r="114">
      <c r="A114" s="1"/>
      <c r="B114" s="48" t="s">
        <v>78</v>
      </c>
      <c r="C114" s="2" t="s">
        <v>64</v>
      </c>
      <c r="D114" s="2">
        <f>IFERROR(D112-C112,"n.a.")</f>
        <v>5</v>
      </c>
      <c r="E114" s="2">
        <f>IFERROR(E112-D112,"n.a.")</f>
        <v>-77</v>
      </c>
      <c r="F114" s="2">
        <f>IFERROR(F112-E112,"n.a.")</f>
        <v>122</v>
      </c>
      <c r="G114" s="2" t="s">
        <v>64</v>
      </c>
      <c r="H114" s="2">
        <f>IFERROR(H112-F112,"n.a.")</f>
        <v>-257</v>
      </c>
      <c r="I114" s="2">
        <f>IFERROR(I112-H112,"n.a.")</f>
        <v>235</v>
      </c>
      <c r="J114" s="26">
        <f>IFERROR(J112-I112,"n.a.")</f>
        <v>-24.71013698630138</v>
      </c>
      <c r="K114" s="14"/>
    </row>
    <row r="115">
      <c r="A115" s="1"/>
      <c r="B115" s="20" t="s">
        <v>165</v>
      </c>
      <c r="C115" s="16">
        <f>C106+C112</f>
        <v>1710</v>
      </c>
      <c r="D115" s="16">
        <f>D106+D112</f>
        <v>1300</v>
      </c>
      <c r="E115" s="16">
        <f>E106+E112</f>
        <v>925</v>
      </c>
      <c r="F115" s="16">
        <f>F106+F112</f>
        <v>679</v>
      </c>
      <c r="G115" s="16">
        <f>SUM(C115:F115)</f>
        <v>4614</v>
      </c>
      <c r="H115" s="16">
        <f>H106+H112</f>
        <v>1622</v>
      </c>
      <c r="I115" s="16">
        <f>I106+I112</f>
        <v>1715</v>
      </c>
      <c r="J115" s="65">
        <f>J106+J112</f>
        <v>1073.6623230136986</v>
      </c>
      <c r="K115" s="14"/>
    </row>
    <row r="116">
      <c r="A116" s="1"/>
      <c r="B116" s="37" t="s">
        <v>63</v>
      </c>
      <c r="C116" s="25" t="s">
        <v>64</v>
      </c>
      <c r="D116" s="25" t="s">
        <v>64</v>
      </c>
      <c r="E116" s="25" t="s">
        <v>64</v>
      </c>
      <c r="F116" s="25" t="s">
        <v>64</v>
      </c>
      <c r="G116" s="25" t="s">
        <v>64</v>
      </c>
      <c r="H116" s="25">
        <f>IFERROR(H115/C115-1,"n.a.")</f>
        <v>-0.05146198830409354</v>
      </c>
      <c r="I116" s="25">
        <f>IFERROR(I115/D115-1,"n.a.")</f>
        <v>0.3192307692307692</v>
      </c>
      <c r="J116" s="51">
        <f>IFERROR(J115/E115-1,"n.a.")</f>
        <v>0.16071602487967418</v>
      </c>
      <c r="K116" s="14"/>
    </row>
    <row r="117">
      <c r="A117" s="1"/>
      <c r="B117" s="48" t="s">
        <v>78</v>
      </c>
      <c r="C117" s="2" t="s">
        <v>64</v>
      </c>
      <c r="D117" s="2">
        <f>IFERROR(D115-C115,"n.a.")</f>
        <v>-410</v>
      </c>
      <c r="E117" s="2">
        <f>IFERROR(E115-D115,"n.a.")</f>
        <v>-375</v>
      </c>
      <c r="F117" s="2">
        <f>IFERROR(F115-E115,"n.a.")</f>
        <v>-246</v>
      </c>
      <c r="G117" s="2" t="s">
        <v>64</v>
      </c>
      <c r="H117" s="2">
        <f>IFERROR(H115-F115,"n.a.")</f>
        <v>943</v>
      </c>
      <c r="I117" s="2">
        <f>IFERROR(I115-H115,"n.a.")</f>
        <v>93</v>
      </c>
      <c r="J117" s="26">
        <f>IFERROR(J115-I115,"n.a.")</f>
        <v>-641.3376769863014</v>
      </c>
      <c r="K117" s="14"/>
    </row>
    <row r="118" ht="14.624267578125">
      <c r="A118" s="1"/>
      <c r="B118" s="63" t="s">
        <v>166</v>
      </c>
      <c r="C118" s="24">
        <v>1710</v>
      </c>
      <c r="D118" s="24">
        <v>1300</v>
      </c>
      <c r="E118" s="24">
        <v>925</v>
      </c>
      <c r="F118" s="24">
        <v>679</v>
      </c>
      <c r="G118" s="2">
        <f>SUM(C118:F118)</f>
        <v>4614</v>
      </c>
      <c r="H118" s="24">
        <v>1622</v>
      </c>
      <c r="I118" s="24">
        <v>1715</v>
      </c>
      <c r="J118" s="26" t="s">
        <v>64</v>
      </c>
      <c r="K118" s="14" t="s">
        <v>128</v>
      </c>
    </row>
    <row r="119" ht="14.624267578125">
      <c r="A119" s="1"/>
      <c r="B119" s="63" t="s">
        <v>167</v>
      </c>
      <c r="C119" s="2">
        <f>C115-C118</f>
        <v>0</v>
      </c>
      <c r="D119" s="2">
        <f>D115-D118</f>
        <v>0</v>
      </c>
      <c r="E119" s="2">
        <f>E115-E118</f>
        <v>0</v>
      </c>
      <c r="F119" s="2">
        <f>F115-F118</f>
        <v>0</v>
      </c>
      <c r="G119" s="2">
        <f>G115-G118</f>
        <v>0</v>
      </c>
      <c r="H119" s="2">
        <f>H115-H118</f>
        <v>0</v>
      </c>
      <c r="I119" s="2">
        <f>I115-I118</f>
        <v>0</v>
      </c>
      <c r="J119" s="26" t="s">
        <v>64</v>
      </c>
      <c r="K119" s="14"/>
    </row>
    <row r="120">
      <c r="A120" s="1"/>
      <c r="B120" s="18" t="s">
        <v>168</v>
      </c>
      <c r="C120" s="24">
        <v>1199</v>
      </c>
      <c r="D120" s="24">
        <v>876</v>
      </c>
      <c r="E120" s="24">
        <v>723</v>
      </c>
      <c r="F120" s="24">
        <v>294</v>
      </c>
      <c r="G120" s="2">
        <f>SUM(C120:F120)</f>
        <v>3092</v>
      </c>
      <c r="H120" s="24">
        <v>1111</v>
      </c>
      <c r="I120" s="24">
        <v>1204</v>
      </c>
      <c r="J120" s="26" t="s">
        <v>169</v>
      </c>
      <c r="K120" s="14" t="s">
        <v>170</v>
      </c>
    </row>
    <row r="121">
      <c r="A121" s="1"/>
      <c r="B121" s="37" t="s">
        <v>63</v>
      </c>
      <c r="C121" s="25" t="s">
        <v>64</v>
      </c>
      <c r="D121" s="25" t="s">
        <v>64</v>
      </c>
      <c r="E121" s="25" t="s">
        <v>64</v>
      </c>
      <c r="F121" s="25" t="s">
        <v>64</v>
      </c>
      <c r="G121" s="25" t="s">
        <v>64</v>
      </c>
      <c r="H121" s="25">
        <f>IFERROR(H120/C120-1,"n.a.")</f>
        <v>-0.07339449541284404</v>
      </c>
      <c r="I121" s="25">
        <f>IFERROR(I120/D120-1,"n.a.")</f>
        <v>0.3744292237442923</v>
      </c>
      <c r="J121" s="51" t="str">
        <f>IFERROR(J120/E120-1,"n.a.")</f>
        <v>n.a.</v>
      </c>
      <c r="K121" s="14"/>
    </row>
    <row r="122">
      <c r="A122" s="1"/>
      <c r="B122" s="18"/>
      <c r="C122" s="19"/>
      <c r="D122" s="19"/>
      <c r="E122" s="19"/>
      <c r="F122" s="19"/>
      <c r="G122" s="19"/>
      <c r="H122" s="19"/>
      <c r="I122" s="19"/>
      <c r="J122" s="27"/>
      <c r="K122" s="14"/>
    </row>
    <row r="123">
      <c r="A123" s="1"/>
      <c r="B123" s="20" t="s">
        <v>171</v>
      </c>
      <c r="C123" s="32"/>
      <c r="D123" s="32"/>
      <c r="E123" s="32"/>
      <c r="F123" s="32"/>
      <c r="G123" s="32"/>
      <c r="H123" s="32"/>
      <c r="I123" s="32"/>
      <c r="J123" s="28"/>
      <c r="K123" s="14"/>
    </row>
    <row r="124" ht="14.624267578125">
      <c r="A124" s="1"/>
      <c r="B124" s="67" t="s">
        <v>311</v>
      </c>
      <c r="C124" s="25" t="s">
        <v>64</v>
      </c>
      <c r="D124" s="25" t="s">
        <v>64</v>
      </c>
      <c r="E124" s="25" t="s">
        <v>64</v>
      </c>
      <c r="F124" s="25" t="s">
        <v>64</v>
      </c>
      <c r="G124" s="25" t="s">
        <v>64</v>
      </c>
      <c r="H124" s="25" t="s">
        <v>64</v>
      </c>
      <c r="I124" s="25" t="s">
        <v>64</v>
      </c>
      <c r="J124" s="85">
        <v>0</v>
      </c>
      <c r="K124" s="14" t="s">
        <v>186</v>
      </c>
    </row>
    <row r="125" ht="23.24853515625">
      <c r="A125" s="1"/>
      <c r="B125" s="63" t="s">
        <v>181</v>
      </c>
      <c r="C125" s="24">
        <v>68.6</v>
      </c>
      <c r="D125" s="24">
        <v>66.8</v>
      </c>
      <c r="E125" s="24">
        <v>68.6</v>
      </c>
      <c r="F125" s="24">
        <v>70</v>
      </c>
      <c r="G125" s="2">
        <f>F125</f>
        <v>70</v>
      </c>
      <c r="H125" s="24">
        <v>73.6</v>
      </c>
      <c r="I125" s="24">
        <v>70.8</v>
      </c>
      <c r="J125" s="26">
        <f>I125*(1+J124)</f>
        <v>70.8</v>
      </c>
      <c r="K125" s="14" t="s">
        <v>128</v>
      </c>
    </row>
    <row r="126">
      <c r="A126" s="1"/>
      <c r="B126" s="37" t="s">
        <v>63</v>
      </c>
      <c r="C126" s="25" t="s">
        <v>64</v>
      </c>
      <c r="D126" s="25" t="s">
        <v>64</v>
      </c>
      <c r="E126" s="25" t="s">
        <v>64</v>
      </c>
      <c r="F126" s="25" t="s">
        <v>64</v>
      </c>
      <c r="G126" s="25" t="s">
        <v>64</v>
      </c>
      <c r="H126" s="25">
        <f>IFERROR(H125/C125-1,"n.a.")</f>
        <v>0.07288629737609331</v>
      </c>
      <c r="I126" s="25">
        <f>IFERROR(I125/D125-1,"n.a.")</f>
        <v>0.05988023952095811</v>
      </c>
      <c r="J126" s="51">
        <f>IFERROR(J125/E125-1,"n.a.")</f>
        <v>0.03206997084548102</v>
      </c>
      <c r="K126" s="14"/>
    </row>
    <row r="127">
      <c r="A127" s="1"/>
      <c r="B127" s="48" t="s">
        <v>78</v>
      </c>
      <c r="C127" s="2" t="s">
        <v>64</v>
      </c>
      <c r="D127" s="2">
        <f>IFERROR(D125-C125,"n.a.")</f>
        <v>-1.7999999999999972</v>
      </c>
      <c r="E127" s="2">
        <f>IFERROR(E125-D125,"n.a.")</f>
        <v>1.7999999999999972</v>
      </c>
      <c r="F127" s="2">
        <f>IFERROR(F125-E125,"n.a.")</f>
        <v>1.4000000000000057</v>
      </c>
      <c r="G127" s="2" t="s">
        <v>64</v>
      </c>
      <c r="H127" s="2">
        <f>IFERROR(H125-F125,"n.a.")</f>
        <v>3.5999999999999943</v>
      </c>
      <c r="I127" s="2">
        <f>IFERROR(I125-H125,"n.a.")</f>
        <v>-2.799999999999997</v>
      </c>
      <c r="J127" s="26">
        <f>IFERROR(J125-I125,"n.a.")</f>
        <v>0</v>
      </c>
      <c r="K127" s="14"/>
    </row>
    <row r="128" ht="14.624267578125">
      <c r="A128" s="1"/>
      <c r="B128" s="63" t="s">
        <v>312</v>
      </c>
      <c r="C128" s="24">
        <v>7.4</v>
      </c>
      <c r="D128" s="24">
        <v>7.1</v>
      </c>
      <c r="E128" s="24">
        <v>7.5</v>
      </c>
      <c r="F128" s="24">
        <v>7.4</v>
      </c>
      <c r="G128" s="2">
        <f>F128</f>
        <v>7.4</v>
      </c>
      <c r="H128" s="24">
        <v>10</v>
      </c>
      <c r="I128" s="24">
        <v>11</v>
      </c>
      <c r="J128" s="26">
        <f>I128</f>
        <v>11</v>
      </c>
      <c r="K128" s="14" t="s">
        <v>313</v>
      </c>
    </row>
    <row r="129">
      <c r="A129" s="1"/>
      <c r="B129" s="37" t="s">
        <v>63</v>
      </c>
      <c r="C129" s="25" t="s">
        <v>64</v>
      </c>
      <c r="D129" s="25" t="s">
        <v>64</v>
      </c>
      <c r="E129" s="25" t="s">
        <v>64</v>
      </c>
      <c r="F129" s="25" t="s">
        <v>64</v>
      </c>
      <c r="G129" s="25" t="s">
        <v>64</v>
      </c>
      <c r="H129" s="25">
        <f>IFERROR(H128/C128-1,"n.a.")</f>
        <v>0.3513513513513513</v>
      </c>
      <c r="I129" s="25">
        <f>IFERROR(I128/D128-1,"n.a.")</f>
        <v>0.5492957746478875</v>
      </c>
      <c r="J129" s="51">
        <f>IFERROR(J128/E128-1,"n.a.")</f>
        <v>0.46666666666666656</v>
      </c>
      <c r="K129" s="14"/>
    </row>
    <row r="130">
      <c r="A130" s="1"/>
      <c r="B130" s="48" t="s">
        <v>78</v>
      </c>
      <c r="C130" s="2" t="s">
        <v>64</v>
      </c>
      <c r="D130" s="2">
        <f>IFERROR(D128-C128,"n.a.")</f>
        <v>-0.3000000000000007</v>
      </c>
      <c r="E130" s="2">
        <f>IFERROR(E128-D128,"n.a.")</f>
        <v>0.40000000000000036</v>
      </c>
      <c r="F130" s="2">
        <f>IFERROR(F128-E128,"n.a.")</f>
        <v>-0.09999999999999964</v>
      </c>
      <c r="G130" s="2" t="s">
        <v>64</v>
      </c>
      <c r="H130" s="2">
        <f>IFERROR(H128-F128,"n.a.")</f>
        <v>2.5999999999999996</v>
      </c>
      <c r="I130" s="2">
        <f>IFERROR(I128-H128,"n.a.")</f>
        <v>1</v>
      </c>
      <c r="J130" s="26">
        <f>IFERROR(J128-I128,"n.a.")</f>
        <v>0</v>
      </c>
      <c r="K130" s="14"/>
    </row>
    <row r="131">
      <c r="A131" s="1"/>
      <c r="B131" s="79" t="s">
        <v>314</v>
      </c>
      <c r="C131" s="24">
        <v>53.1</v>
      </c>
      <c r="D131" s="24">
        <v>52.4</v>
      </c>
      <c r="E131" s="24">
        <v>53</v>
      </c>
      <c r="F131" s="24">
        <v>52.9</v>
      </c>
      <c r="G131" s="2">
        <f>F131</f>
        <v>52.9</v>
      </c>
      <c r="H131" s="24">
        <v>52.9</v>
      </c>
      <c r="I131" s="24">
        <v>54.5</v>
      </c>
      <c r="J131" s="26">
        <f>I131</f>
        <v>54.5</v>
      </c>
      <c r="K131" s="14" t="s">
        <v>313</v>
      </c>
    </row>
    <row r="132">
      <c r="A132" s="1"/>
      <c r="B132" s="37" t="s">
        <v>63</v>
      </c>
      <c r="C132" s="25" t="s">
        <v>64</v>
      </c>
      <c r="D132" s="25" t="s">
        <v>64</v>
      </c>
      <c r="E132" s="25" t="s">
        <v>64</v>
      </c>
      <c r="F132" s="25" t="s">
        <v>64</v>
      </c>
      <c r="G132" s="25" t="s">
        <v>64</v>
      </c>
      <c r="H132" s="25">
        <f>IFERROR(H131/C131-1,"n.a.")</f>
        <v>-0.0037664783427495685</v>
      </c>
      <c r="I132" s="25">
        <f>IFERROR(I131/D131-1,"n.a.")</f>
        <v>0.040076335877862634</v>
      </c>
      <c r="J132" s="51">
        <f>IFERROR(J131/E131-1,"n.a.")</f>
        <v>0.028301886792452935</v>
      </c>
      <c r="K132" s="14"/>
    </row>
    <row r="133">
      <c r="A133" s="1"/>
      <c r="B133" s="48" t="s">
        <v>78</v>
      </c>
      <c r="C133" s="2" t="s">
        <v>64</v>
      </c>
      <c r="D133" s="2">
        <f>IFERROR(D131-C131,"n.a.")</f>
        <v>-0.7000000000000028</v>
      </c>
      <c r="E133" s="2">
        <f>IFERROR(E131-D131,"n.a.")</f>
        <v>0.6000000000000014</v>
      </c>
      <c r="F133" s="2">
        <f>IFERROR(F131-E131,"n.a.")</f>
        <v>-0.10000000000000142</v>
      </c>
      <c r="G133" s="2" t="s">
        <v>64</v>
      </c>
      <c r="H133" s="2">
        <f>IFERROR(H131-F131,"n.a.")</f>
        <v>0</v>
      </c>
      <c r="I133" s="2">
        <f>IFERROR(I131-H131,"n.a.")</f>
        <v>1.6000000000000014</v>
      </c>
      <c r="J133" s="26">
        <f>IFERROR(J131-I131,"n.a.")</f>
        <v>0</v>
      </c>
      <c r="K133" s="14"/>
    </row>
    <row r="134" ht="14.624267578125">
      <c r="A134" s="1"/>
      <c r="B134" s="63" t="s">
        <v>315</v>
      </c>
      <c r="C134" s="2" t="s">
        <v>64</v>
      </c>
      <c r="D134" s="2">
        <f>C136</f>
        <v>129.1</v>
      </c>
      <c r="E134" s="2">
        <f>D136</f>
        <v>126.29999999999998</v>
      </c>
      <c r="F134" s="2">
        <f>E136</f>
        <v>129.1</v>
      </c>
      <c r="G134" s="2" t="s">
        <v>64</v>
      </c>
      <c r="H134" s="2">
        <f>F136</f>
        <v>130.3</v>
      </c>
      <c r="I134" s="2">
        <f>H136</f>
        <v>136.5</v>
      </c>
      <c r="J134" s="26">
        <f>I136</f>
        <v>136.3</v>
      </c>
      <c r="K134" s="14"/>
    </row>
    <row r="135" ht="23.24853515625">
      <c r="A135" s="1"/>
      <c r="B135" s="63" t="s">
        <v>316</v>
      </c>
      <c r="C135" s="2" t="s">
        <v>64</v>
      </c>
      <c r="D135" s="2">
        <f>D136-D134</f>
        <v>-2.8000000000000114</v>
      </c>
      <c r="E135" s="2">
        <f>E136-E134</f>
        <v>2.8000000000000114</v>
      </c>
      <c r="F135" s="2">
        <f>F136-F134</f>
        <v>1.200000000000017</v>
      </c>
      <c r="G135" s="2" t="s">
        <v>64</v>
      </c>
      <c r="H135" s="2">
        <f>H136-H134</f>
        <v>6.199999999999989</v>
      </c>
      <c r="I135" s="2">
        <f>I136-I134</f>
        <v>-0.19999999999998863</v>
      </c>
      <c r="J135" s="26">
        <f>J136-J134</f>
        <v>0</v>
      </c>
      <c r="K135" s="14"/>
    </row>
    <row r="136" ht="23.24853515625">
      <c r="A136" s="1"/>
      <c r="B136" s="46" t="s">
        <v>317</v>
      </c>
      <c r="C136" s="16">
        <f>C125+C128+C131</f>
        <v>129.1</v>
      </c>
      <c r="D136" s="16">
        <f>D125+D128+D131</f>
        <v>126.29999999999998</v>
      </c>
      <c r="E136" s="16">
        <f>E125+E128+E131</f>
        <v>129.1</v>
      </c>
      <c r="F136" s="16">
        <f>F125+F128+F131</f>
        <v>130.3</v>
      </c>
      <c r="G136" s="16">
        <f>F136</f>
        <v>130.3</v>
      </c>
      <c r="H136" s="16">
        <f>H125+H128+H131</f>
        <v>136.5</v>
      </c>
      <c r="I136" s="16">
        <f>I125+I128+I131</f>
        <v>136.3</v>
      </c>
      <c r="J136" s="65">
        <f>J125+J128+J131</f>
        <v>136.3</v>
      </c>
      <c r="K136" s="14"/>
    </row>
    <row r="137">
      <c r="A137" s="1"/>
      <c r="B137" s="37" t="s">
        <v>63</v>
      </c>
      <c r="C137" s="25" t="s">
        <v>64</v>
      </c>
      <c r="D137" s="25" t="s">
        <v>64</v>
      </c>
      <c r="E137" s="25" t="s">
        <v>64</v>
      </c>
      <c r="F137" s="25" t="s">
        <v>64</v>
      </c>
      <c r="G137" s="25" t="s">
        <v>64</v>
      </c>
      <c r="H137" s="25">
        <f>IFERROR(H136/C136-1,"n.a.")</f>
        <v>0.05731990704879952</v>
      </c>
      <c r="I137" s="25">
        <f>IFERROR(I136/D136-1,"n.a.")</f>
        <v>0.079176563737134</v>
      </c>
      <c r="J137" s="51">
        <f>IFERROR(J136/E136-1,"n.a.")</f>
        <v>0.05577072037180497</v>
      </c>
      <c r="K137" s="14"/>
    </row>
    <row r="138">
      <c r="A138" s="1"/>
      <c r="B138" s="48" t="s">
        <v>78</v>
      </c>
      <c r="C138" s="2" t="s">
        <v>64</v>
      </c>
      <c r="D138" s="2">
        <f>IFERROR(D136-C136,"n.a.")</f>
        <v>-2.8000000000000114</v>
      </c>
      <c r="E138" s="2">
        <f>IFERROR(E136-D136,"n.a.")</f>
        <v>2.8000000000000114</v>
      </c>
      <c r="F138" s="2">
        <f>IFERROR(F136-E136,"n.a.")</f>
        <v>1.200000000000017</v>
      </c>
      <c r="G138" s="2" t="s">
        <v>64</v>
      </c>
      <c r="H138" s="2">
        <f>IFERROR(H136-F136,"n.a.")</f>
        <v>6.199999999999989</v>
      </c>
      <c r="I138" s="2">
        <f>IFERROR(I136-H136,"n.a.")</f>
        <v>-0.19999999999998863</v>
      </c>
      <c r="J138" s="26">
        <f>IFERROR(J136-I136,"n.a.")</f>
        <v>0</v>
      </c>
      <c r="K138" s="14"/>
    </row>
    <row r="139" ht="23.24853515625">
      <c r="A139" s="1"/>
      <c r="B139" s="63" t="s">
        <v>318</v>
      </c>
      <c r="C139" s="2" t="s">
        <v>64</v>
      </c>
      <c r="D139" s="2">
        <f>AVERAGE(D134,D136)</f>
        <v>127.69999999999999</v>
      </c>
      <c r="E139" s="2">
        <f>AVERAGE(E134,E136)</f>
        <v>127.69999999999999</v>
      </c>
      <c r="F139" s="2">
        <f>AVERAGE(F134,F136)</f>
        <v>129.7</v>
      </c>
      <c r="G139" s="2" t="s">
        <v>64</v>
      </c>
      <c r="H139" s="2">
        <f>AVERAGE(H134,H136)</f>
        <v>133.4</v>
      </c>
      <c r="I139" s="2">
        <f>AVERAGE(I134,I136)</f>
        <v>136.4</v>
      </c>
      <c r="J139" s="26">
        <f>AVERAGE(J134,J136)</f>
        <v>136.3</v>
      </c>
      <c r="K139" s="14"/>
    </row>
    <row r="140" ht="14.624267578125">
      <c r="A140" s="1"/>
      <c r="B140" s="37" t="s">
        <v>63</v>
      </c>
      <c r="C140" s="25" t="s">
        <v>64</v>
      </c>
      <c r="D140" s="25" t="s">
        <v>64</v>
      </c>
      <c r="E140" s="25" t="s">
        <v>64</v>
      </c>
      <c r="F140" s="25" t="s">
        <v>64</v>
      </c>
      <c r="G140" s="25" t="s">
        <v>64</v>
      </c>
      <c r="H140" s="25" t="str">
        <f>IFERROR(H139/C139-1,"n.a.")</f>
        <v>n.a.</v>
      </c>
      <c r="I140" s="25">
        <f>IFERROR(I139/D139-1,"n.a.")</f>
        <v>0.06812842599843405</v>
      </c>
      <c r="J140" s="51">
        <f>IFERROR(J139/E139-1,"n.a.")</f>
        <v>0.06734534064213027</v>
      </c>
      <c r="K140" s="14"/>
    </row>
    <row r="141">
      <c r="A141" s="1"/>
      <c r="B141" s="48" t="s">
        <v>78</v>
      </c>
      <c r="C141" s="2" t="s">
        <v>64</v>
      </c>
      <c r="D141" s="2" t="str">
        <f>IFERROR(D139-C139,"n.a.")</f>
        <v>n.a.</v>
      </c>
      <c r="E141" s="2">
        <f>IFERROR(E139-D139,"n.a.")</f>
        <v>0</v>
      </c>
      <c r="F141" s="2">
        <f>IFERROR(F139-E139,"n.a.")</f>
        <v>2</v>
      </c>
      <c r="G141" s="2" t="s">
        <v>64</v>
      </c>
      <c r="H141" s="2">
        <f>IFERROR(H139-F139,"n.a.")</f>
        <v>3.700000000000017</v>
      </c>
      <c r="I141" s="2">
        <f>IFERROR(I139-H139,"n.a.")</f>
        <v>3</v>
      </c>
      <c r="J141" s="26">
        <f>IFERROR(J139-I139,"n.a.")</f>
        <v>-0.09999999999999432</v>
      </c>
      <c r="K141" s="14"/>
    </row>
    <row r="142">
      <c r="A142" s="1"/>
      <c r="B142" s="18" t="s">
        <v>319</v>
      </c>
      <c r="C142" s="24">
        <v>185.5</v>
      </c>
      <c r="D142" s="24">
        <v>186.1</v>
      </c>
      <c r="E142" s="24">
        <v>191.3</v>
      </c>
      <c r="F142" s="24">
        <v>189.5</v>
      </c>
      <c r="G142" s="2">
        <f>F142</f>
        <v>189.5</v>
      </c>
      <c r="H142" s="24">
        <v>189.3</v>
      </c>
      <c r="I142" s="24">
        <v>208.2</v>
      </c>
      <c r="J142" s="26" t="s">
        <v>169</v>
      </c>
      <c r="K142" s="14" t="s">
        <v>320</v>
      </c>
    </row>
    <row r="143" ht="23.24853515625">
      <c r="A143" s="1"/>
      <c r="B143" s="37" t="s">
        <v>63</v>
      </c>
      <c r="C143" s="25" t="s">
        <v>64</v>
      </c>
      <c r="D143" s="25" t="s">
        <v>64</v>
      </c>
      <c r="E143" s="25" t="s">
        <v>64</v>
      </c>
      <c r="F143" s="25" t="s">
        <v>64</v>
      </c>
      <c r="G143" s="25" t="s">
        <v>64</v>
      </c>
      <c r="H143" s="25">
        <f>IFERROR(H142/C142-1,"n.a.")</f>
        <v>0.020485175202156425</v>
      </c>
      <c r="I143" s="25">
        <f>IFERROR(I142/D142-1,"n.a.")</f>
        <v>0.11875335840945733</v>
      </c>
      <c r="J143" s="51" t="str">
        <f>IFERROR(J142/E142-1,"n.a.")</f>
        <v>n.a.</v>
      </c>
      <c r="K143" s="14"/>
    </row>
    <row r="144">
      <c r="A144" s="1"/>
      <c r="B144" s="48" t="s">
        <v>78</v>
      </c>
      <c r="C144" s="2" t="s">
        <v>64</v>
      </c>
      <c r="D144" s="2">
        <f>IFERROR(D142-C142,"n.a.")</f>
        <v>0.5999999999999943</v>
      </c>
      <c r="E144" s="2">
        <f>IFERROR(E142-D142,"n.a.")</f>
        <v>5.200000000000017</v>
      </c>
      <c r="F144" s="2">
        <f>IFERROR(F142-E142,"n.a.")</f>
        <v>-1.8000000000000114</v>
      </c>
      <c r="G144" s="2" t="s">
        <v>64</v>
      </c>
      <c r="H144" s="2">
        <f>IFERROR(H142-F142,"n.a.")</f>
        <v>-0.19999999999998863</v>
      </c>
      <c r="I144" s="2">
        <f>IFERROR(I142-H142,"n.a.")</f>
        <v>18.899999999999977</v>
      </c>
      <c r="J144" s="26" t="str">
        <f>IFERROR(J142-I142,"n.a.")</f>
        <v>n.a.</v>
      </c>
      <c r="K144" s="14"/>
    </row>
    <row r="145" ht="14.624267578125">
      <c r="A145" s="1"/>
      <c r="B145" s="13" t="s">
        <v>321</v>
      </c>
      <c r="C145" s="24">
        <v>253.6</v>
      </c>
      <c r="D145" s="24">
        <v>279</v>
      </c>
      <c r="E145" s="24">
        <v>263.8</v>
      </c>
      <c r="F145" s="24">
        <v>251.5</v>
      </c>
      <c r="G145" s="2">
        <f>F145</f>
        <v>251.5</v>
      </c>
      <c r="H145" s="24">
        <v>285.4</v>
      </c>
      <c r="I145" s="24">
        <v>302.6</v>
      </c>
      <c r="J145" s="26" t="s">
        <v>169</v>
      </c>
      <c r="K145" s="14" t="s">
        <v>320</v>
      </c>
    </row>
    <row r="146" ht="14.624267578125">
      <c r="A146" s="1"/>
      <c r="B146" s="37" t="s">
        <v>63</v>
      </c>
      <c r="C146" s="25" t="s">
        <v>64</v>
      </c>
      <c r="D146" s="25" t="s">
        <v>64</v>
      </c>
      <c r="E146" s="25" t="s">
        <v>64</v>
      </c>
      <c r="F146" s="25" t="s">
        <v>64</v>
      </c>
      <c r="G146" s="25" t="s">
        <v>64</v>
      </c>
      <c r="H146" s="25">
        <f>IFERROR(H145/C145-1,"n.a.")</f>
        <v>0.1253943217665614</v>
      </c>
      <c r="I146" s="25">
        <f>IFERROR(I145/D145-1,"n.a.")</f>
        <v>0.08458781362007173</v>
      </c>
      <c r="J146" s="51" t="str">
        <f>IFERROR(J145/E145-1,"n.a.")</f>
        <v>n.a.</v>
      </c>
      <c r="K146" s="14"/>
    </row>
    <row r="147">
      <c r="A147" s="1"/>
      <c r="B147" s="48" t="s">
        <v>78</v>
      </c>
      <c r="C147" s="2" t="s">
        <v>64</v>
      </c>
      <c r="D147" s="2">
        <f>IFERROR(D145-C145,"n.a.")</f>
        <v>25.400000000000006</v>
      </c>
      <c r="E147" s="2">
        <f>IFERROR(E145-D145,"n.a.")</f>
        <v>-15.199999999999989</v>
      </c>
      <c r="F147" s="2">
        <f>IFERROR(F145-E145,"n.a.")</f>
        <v>-12.300000000000011</v>
      </c>
      <c r="G147" s="2" t="s">
        <v>64</v>
      </c>
      <c r="H147" s="2">
        <f>IFERROR(H145-F145,"n.a.")</f>
        <v>33.89999999999998</v>
      </c>
      <c r="I147" s="2">
        <f>IFERROR(I145-H145,"n.a.")</f>
        <v>17.200000000000045</v>
      </c>
      <c r="J147" s="26" t="str">
        <f>IFERROR(J145-I145,"n.a.")</f>
        <v>n.a.</v>
      </c>
      <c r="K147" s="14"/>
    </row>
    <row r="148" ht="23.24853515625">
      <c r="A148" s="1"/>
      <c r="B148" s="13" t="s">
        <v>322</v>
      </c>
      <c r="C148" s="24">
        <v>209.5</v>
      </c>
      <c r="D148" s="24">
        <v>215.2</v>
      </c>
      <c r="E148" s="24">
        <v>222.8</v>
      </c>
      <c r="F148" s="24">
        <v>183.6</v>
      </c>
      <c r="G148" s="2">
        <f>F148</f>
        <v>183.6</v>
      </c>
      <c r="H148" s="24">
        <v>215.6</v>
      </c>
      <c r="I148" s="24">
        <v>209.9</v>
      </c>
      <c r="J148" s="26" t="s">
        <v>169</v>
      </c>
      <c r="K148" s="14" t="s">
        <v>320</v>
      </c>
    </row>
    <row r="149" ht="14.624267578125">
      <c r="A149" s="1"/>
      <c r="B149" s="37" t="s">
        <v>63</v>
      </c>
      <c r="C149" s="25" t="s">
        <v>64</v>
      </c>
      <c r="D149" s="25" t="s">
        <v>64</v>
      </c>
      <c r="E149" s="25" t="s">
        <v>64</v>
      </c>
      <c r="F149" s="25" t="s">
        <v>64</v>
      </c>
      <c r="G149" s="25" t="s">
        <v>64</v>
      </c>
      <c r="H149" s="25">
        <f>IFERROR(H148/C148-1,"n.a.")</f>
        <v>0.029116945107398484</v>
      </c>
      <c r="I149" s="25">
        <f>IFERROR(I148/D148-1,"n.a.")</f>
        <v>-0.024628252788103988</v>
      </c>
      <c r="J149" s="51" t="str">
        <f>IFERROR(J148/E148-1,"n.a.")</f>
        <v>n.a.</v>
      </c>
      <c r="K149" s="14"/>
    </row>
    <row r="150">
      <c r="A150" s="1"/>
      <c r="B150" s="48" t="s">
        <v>78</v>
      </c>
      <c r="C150" s="2" t="s">
        <v>64</v>
      </c>
      <c r="D150" s="2">
        <f>IFERROR(D148-C148,"n.a.")</f>
        <v>5.699999999999989</v>
      </c>
      <c r="E150" s="2">
        <f>IFERROR(E148-D148,"n.a.")</f>
        <v>7.600000000000023</v>
      </c>
      <c r="F150" s="2">
        <f>IFERROR(F148-E148,"n.a.")</f>
        <v>-39.20000000000002</v>
      </c>
      <c r="G150" s="2" t="s">
        <v>64</v>
      </c>
      <c r="H150" s="2">
        <f>IFERROR(H148-F148,"n.a.")</f>
        <v>32</v>
      </c>
      <c r="I150" s="2">
        <f>IFERROR(I148-H148,"n.a.")</f>
        <v>-5.699999999999989</v>
      </c>
      <c r="J150" s="26" t="str">
        <f>IFERROR(J148-I148,"n.a.")</f>
        <v>n.a.</v>
      </c>
      <c r="K150" s="14"/>
    </row>
    <row r="151" ht="14.624267578125">
      <c r="A151" s="1"/>
      <c r="B151" s="13" t="s">
        <v>323</v>
      </c>
      <c r="C151" s="24">
        <v>148.8</v>
      </c>
      <c r="D151" s="24">
        <v>145</v>
      </c>
      <c r="E151" s="24">
        <v>152.1</v>
      </c>
      <c r="F151" s="24">
        <v>121.6</v>
      </c>
      <c r="G151" s="2">
        <f>F151</f>
        <v>121.6</v>
      </c>
      <c r="H151" s="24">
        <v>189.2</v>
      </c>
      <c r="I151" s="24">
        <v>182.5</v>
      </c>
      <c r="J151" s="26" t="s">
        <v>169</v>
      </c>
      <c r="K151" s="14" t="s">
        <v>320</v>
      </c>
    </row>
    <row r="152">
      <c r="A152" s="1"/>
      <c r="B152" s="37" t="s">
        <v>63</v>
      </c>
      <c r="C152" s="25" t="s">
        <v>64</v>
      </c>
      <c r="D152" s="25" t="s">
        <v>64</v>
      </c>
      <c r="E152" s="25" t="s">
        <v>64</v>
      </c>
      <c r="F152" s="25" t="s">
        <v>64</v>
      </c>
      <c r="G152" s="25" t="s">
        <v>64</v>
      </c>
      <c r="H152" s="25">
        <f>IFERROR(H151/C151-1,"n.a.")</f>
        <v>0.2715053763440858</v>
      </c>
      <c r="I152" s="25">
        <f>IFERROR(I151/D151-1,"n.a.")</f>
        <v>0.2586206896551724</v>
      </c>
      <c r="J152" s="51" t="str">
        <f>IFERROR(J151/E151-1,"n.a.")</f>
        <v>n.a.</v>
      </c>
      <c r="K152" s="14"/>
    </row>
    <row r="153">
      <c r="A153" s="1"/>
      <c r="B153" s="48" t="s">
        <v>78</v>
      </c>
      <c r="C153" s="2" t="s">
        <v>64</v>
      </c>
      <c r="D153" s="2">
        <f>IFERROR(D151-C151,"n.a.")</f>
        <v>-3.8000000000000114</v>
      </c>
      <c r="E153" s="2">
        <f>IFERROR(E151-D151,"n.a.")</f>
        <v>7.099999999999994</v>
      </c>
      <c r="F153" s="2">
        <f>IFERROR(F151-E151,"n.a.")</f>
        <v>-30.5</v>
      </c>
      <c r="G153" s="2" t="s">
        <v>64</v>
      </c>
      <c r="H153" s="2">
        <f>IFERROR(H151-F151,"n.a.")</f>
        <v>67.6</v>
      </c>
      <c r="I153" s="2">
        <f>IFERROR(I151-H151,"n.a.")</f>
        <v>-6.699999999999989</v>
      </c>
      <c r="J153" s="26" t="str">
        <f>IFERROR(J151-I151,"n.a.")</f>
        <v>n.a.</v>
      </c>
      <c r="K153" s="14"/>
    </row>
    <row r="154" ht="14.624267578125">
      <c r="A154" s="1"/>
      <c r="B154" s="13" t="s">
        <v>324</v>
      </c>
      <c r="C154" s="24">
        <v>245.1</v>
      </c>
      <c r="D154" s="24">
        <v>265.1</v>
      </c>
      <c r="E154" s="24">
        <v>252</v>
      </c>
      <c r="F154" s="24">
        <v>240.6</v>
      </c>
      <c r="G154" s="2">
        <f>F154</f>
        <v>240.6</v>
      </c>
      <c r="H154" s="24">
        <v>272.6</v>
      </c>
      <c r="I154" s="24">
        <v>291.6</v>
      </c>
      <c r="J154" s="26" t="s">
        <v>169</v>
      </c>
      <c r="K154" s="14" t="s">
        <v>320</v>
      </c>
    </row>
    <row r="155">
      <c r="A155" s="1"/>
      <c r="B155" s="37" t="s">
        <v>63</v>
      </c>
      <c r="C155" s="25" t="s">
        <v>64</v>
      </c>
      <c r="D155" s="25" t="s">
        <v>64</v>
      </c>
      <c r="E155" s="25" t="s">
        <v>64</v>
      </c>
      <c r="F155" s="25" t="s">
        <v>64</v>
      </c>
      <c r="G155" s="25" t="s">
        <v>64</v>
      </c>
      <c r="H155" s="25">
        <f>IFERROR(H154/C154-1,"n.a.")</f>
        <v>0.1121991024071809</v>
      </c>
      <c r="I155" s="25">
        <f>IFERROR(I154/D154-1,"n.a.")</f>
        <v>0.09996227838551497</v>
      </c>
      <c r="J155" s="51" t="str">
        <f>IFERROR(J154/E154-1,"n.a.")</f>
        <v>n.a.</v>
      </c>
      <c r="K155" s="14"/>
    </row>
    <row r="156">
      <c r="A156" s="1"/>
      <c r="B156" s="48" t="s">
        <v>78</v>
      </c>
      <c r="C156" s="2" t="s">
        <v>64</v>
      </c>
      <c r="D156" s="2">
        <f>IFERROR(D154-C154,"n.a.")</f>
        <v>20.00000000000003</v>
      </c>
      <c r="E156" s="2">
        <f>IFERROR(E154-D154,"n.a.")</f>
        <v>-13.100000000000023</v>
      </c>
      <c r="F156" s="2">
        <f>IFERROR(F154-E154,"n.a.")</f>
        <v>-11.400000000000006</v>
      </c>
      <c r="G156" s="2" t="s">
        <v>64</v>
      </c>
      <c r="H156" s="2">
        <f>IFERROR(H154-F154,"n.a.")</f>
        <v>32.00000000000003</v>
      </c>
      <c r="I156" s="2">
        <f>IFERROR(I154-H154,"n.a.")</f>
        <v>19</v>
      </c>
      <c r="J156" s="26" t="str">
        <f>IFERROR(J154-I154,"n.a.")</f>
        <v>n.a.</v>
      </c>
      <c r="K156" s="14"/>
    </row>
    <row r="157">
      <c r="A157" s="1"/>
      <c r="B157" s="66" t="s">
        <v>228</v>
      </c>
      <c r="C157" s="25" t="s">
        <v>64</v>
      </c>
      <c r="D157" s="25" t="s">
        <v>64</v>
      </c>
      <c r="E157" s="25" t="s">
        <v>64</v>
      </c>
      <c r="F157" s="25" t="s">
        <v>64</v>
      </c>
      <c r="G157" s="25" t="s">
        <v>64</v>
      </c>
      <c r="H157" s="25" t="s">
        <v>64</v>
      </c>
      <c r="I157" s="25" t="s">
        <v>64</v>
      </c>
      <c r="J157" s="85">
        <v>0.01</v>
      </c>
      <c r="K157" s="14" t="s">
        <v>325</v>
      </c>
    </row>
    <row r="158">
      <c r="A158" s="1"/>
      <c r="B158" s="20" t="s">
        <v>230</v>
      </c>
      <c r="C158" s="62">
        <v>148.9</v>
      </c>
      <c r="D158" s="62">
        <v>148.7</v>
      </c>
      <c r="E158" s="62">
        <v>152.8</v>
      </c>
      <c r="F158" s="62">
        <v>156.1</v>
      </c>
      <c r="G158" s="38">
        <f>F158</f>
        <v>156.1</v>
      </c>
      <c r="H158" s="62">
        <v>157.4</v>
      </c>
      <c r="I158" s="62">
        <v>162.3</v>
      </c>
      <c r="J158" s="23">
        <f>I158*(1+J157)</f>
        <v>163.923</v>
      </c>
      <c r="K158" s="14" t="s">
        <v>128</v>
      </c>
    </row>
    <row r="159" ht="14.624267578125">
      <c r="A159" s="1"/>
      <c r="B159" s="37" t="s">
        <v>63</v>
      </c>
      <c r="C159" s="25" t="s">
        <v>64</v>
      </c>
      <c r="D159" s="25" t="s">
        <v>64</v>
      </c>
      <c r="E159" s="25" t="s">
        <v>64</v>
      </c>
      <c r="F159" s="25" t="s">
        <v>64</v>
      </c>
      <c r="G159" s="25" t="s">
        <v>64</v>
      </c>
      <c r="H159" s="25">
        <f>IFERROR(H158/C158-1,"n.a.")</f>
        <v>0.05708529214237745</v>
      </c>
      <c r="I159" s="25">
        <f>IFERROR(I158/D158-1,"n.a.")</f>
        <v>0.09145931405514474</v>
      </c>
      <c r="J159" s="51">
        <f>IFERROR(J158/E158-1,"n.a.")</f>
        <v>0.07279450261780096</v>
      </c>
      <c r="K159" s="14"/>
    </row>
    <row r="160">
      <c r="A160" s="1"/>
      <c r="B160" s="48" t="s">
        <v>78</v>
      </c>
      <c r="C160" s="2" t="s">
        <v>64</v>
      </c>
      <c r="D160" s="2">
        <f>IFERROR(D158-C158,"n.a.")</f>
        <v>-0.20000000000001705</v>
      </c>
      <c r="E160" s="2">
        <f>IFERROR(E158-D158,"n.a.")</f>
        <v>4.100000000000023</v>
      </c>
      <c r="F160" s="2">
        <f>IFERROR(F158-E158,"n.a.")</f>
        <v>3.299999999999983</v>
      </c>
      <c r="G160" s="2" t="s">
        <v>64</v>
      </c>
      <c r="H160" s="2">
        <f>IFERROR(H158-F158,"n.a.")</f>
        <v>1.3000000000000114</v>
      </c>
      <c r="I160" s="2">
        <f>IFERROR(I158-H158,"n.a.")</f>
        <v>4.900000000000006</v>
      </c>
      <c r="J160" s="26">
        <f>IFERROR(J158-I158,"n.a.")</f>
        <v>1.6229999999999905</v>
      </c>
      <c r="K160" s="14"/>
    </row>
    <row r="161">
      <c r="A161" s="1"/>
      <c r="B161" s="148" t="s">
        <v>326</v>
      </c>
      <c r="C161" s="144" t="s">
        <v>64</v>
      </c>
      <c r="D161" s="144" t="s">
        <v>64</v>
      </c>
      <c r="E161" s="144" t="s">
        <v>64</v>
      </c>
      <c r="F161" s="144" t="s">
        <v>64</v>
      </c>
      <c r="G161" s="144" t="s">
        <v>64</v>
      </c>
      <c r="H161" s="144" t="s">
        <v>64</v>
      </c>
      <c r="I161" s="144" t="s">
        <v>64</v>
      </c>
      <c r="J161" s="147">
        <v>0.01</v>
      </c>
      <c r="K161" s="142" t="s">
        <v>327</v>
      </c>
    </row>
    <row r="162">
      <c r="A162" s="1"/>
      <c r="B162" s="18" t="s">
        <v>190</v>
      </c>
      <c r="C162" s="24">
        <v>195.9</v>
      </c>
      <c r="D162" s="24">
        <v>196.4</v>
      </c>
      <c r="E162" s="24">
        <v>199.1</v>
      </c>
      <c r="F162" s="24">
        <v>196.7</v>
      </c>
      <c r="G162" s="2">
        <f>F162</f>
        <v>196.7</v>
      </c>
      <c r="H162" s="24">
        <v>201.7</v>
      </c>
      <c r="I162" s="24">
        <v>204.1</v>
      </c>
      <c r="J162" s="26">
        <f>I162*(1+J161)</f>
        <v>206.141</v>
      </c>
      <c r="K162" s="14" t="s">
        <v>328</v>
      </c>
    </row>
    <row r="163" ht="14.624267578125">
      <c r="A163" s="1"/>
      <c r="B163" s="37" t="s">
        <v>63</v>
      </c>
      <c r="C163" s="25" t="s">
        <v>64</v>
      </c>
      <c r="D163" s="25" t="s">
        <v>64</v>
      </c>
      <c r="E163" s="25" t="s">
        <v>64</v>
      </c>
      <c r="F163" s="25" t="s">
        <v>64</v>
      </c>
      <c r="G163" s="25" t="s">
        <v>64</v>
      </c>
      <c r="H163" s="25">
        <f>IFERROR(H162/C162-1,"n.a.")</f>
        <v>0.029606942317508933</v>
      </c>
      <c r="I163" s="25">
        <f>IFERROR(I162/D162-1,"n.a.")</f>
        <v>0.03920570264765777</v>
      </c>
      <c r="J163" s="51">
        <f>IFERROR(J162/E162-1,"n.a.")</f>
        <v>0.03536413862380705</v>
      </c>
      <c r="K163" s="14"/>
    </row>
    <row r="164">
      <c r="A164" s="1"/>
      <c r="B164" s="48" t="s">
        <v>78</v>
      </c>
      <c r="C164" s="2" t="s">
        <v>64</v>
      </c>
      <c r="D164" s="2">
        <f>IFERROR(D162-C162,"n.a.")</f>
        <v>0.5</v>
      </c>
      <c r="E164" s="2">
        <f>IFERROR(E162-D162,"n.a.")</f>
        <v>2.6999999999999886</v>
      </c>
      <c r="F164" s="2">
        <f>IFERROR(F162-E162,"n.a.")</f>
        <v>-2.4000000000000057</v>
      </c>
      <c r="G164" s="2" t="s">
        <v>64</v>
      </c>
      <c r="H164" s="2">
        <f>IFERROR(H162-F162,"n.a.")</f>
        <v>5</v>
      </c>
      <c r="I164" s="2">
        <f>IFERROR(I162-H162,"n.a.")</f>
        <v>2.4000000000000057</v>
      </c>
      <c r="J164" s="26">
        <f>IFERROR(J162-I162,"n.a.")</f>
        <v>2.040999999999997</v>
      </c>
      <c r="K164" s="14"/>
    </row>
    <row r="165" ht="23.24853515625">
      <c r="A165" s="1"/>
      <c r="B165" s="63" t="s">
        <v>329</v>
      </c>
      <c r="C165" s="2" t="s">
        <v>64</v>
      </c>
      <c r="D165" s="2">
        <f>AVERAGE(C162,D162)</f>
        <v>196.15</v>
      </c>
      <c r="E165" s="2">
        <f>AVERAGE(D162,E162)</f>
        <v>197.75</v>
      </c>
      <c r="F165" s="2">
        <f>AVERAGE(E162,F162)</f>
        <v>197.89999999999998</v>
      </c>
      <c r="G165" s="2" t="s">
        <v>64</v>
      </c>
      <c r="H165" s="2">
        <f>AVERAGE(F162,H162)</f>
        <v>199.2</v>
      </c>
      <c r="I165" s="2">
        <f>AVERAGE(H162,I162)</f>
        <v>202.89999999999998</v>
      </c>
      <c r="J165" s="26">
        <f>AVERAGE(I162,J162)</f>
        <v>205.1205</v>
      </c>
      <c r="K165" s="14"/>
    </row>
    <row r="166">
      <c r="A166" s="1"/>
      <c r="B166" s="37" t="s">
        <v>63</v>
      </c>
      <c r="C166" s="25" t="s">
        <v>64</v>
      </c>
      <c r="D166" s="25" t="s">
        <v>64</v>
      </c>
      <c r="E166" s="25" t="s">
        <v>64</v>
      </c>
      <c r="F166" s="25" t="s">
        <v>64</v>
      </c>
      <c r="G166" s="25" t="s">
        <v>64</v>
      </c>
      <c r="H166" s="25" t="str">
        <f>IFERROR(H165/C165-1,"n.a.")</f>
        <v>n.a.</v>
      </c>
      <c r="I166" s="25">
        <f>IFERROR(I165/D165-1,"n.a.")</f>
        <v>0.034412439459597044</v>
      </c>
      <c r="J166" s="51">
        <f>IFERROR(J165/E165-1,"n.a.")</f>
        <v>0.037271807838179516</v>
      </c>
      <c r="K166" s="14"/>
    </row>
    <row r="167">
      <c r="A167" s="1"/>
      <c r="B167" s="48" t="s">
        <v>78</v>
      </c>
      <c r="C167" s="2" t="s">
        <v>64</v>
      </c>
      <c r="D167" s="2" t="str">
        <f>IFERROR(D165-C165,"n.a.")</f>
        <v>n.a.</v>
      </c>
      <c r="E167" s="2">
        <f>IFERROR(E165-D165,"n.a.")</f>
        <v>1.5999999999999943</v>
      </c>
      <c r="F167" s="2">
        <f>IFERROR(F165-E165,"n.a.")</f>
        <v>0.14999999999997726</v>
      </c>
      <c r="G167" s="2" t="s">
        <v>64</v>
      </c>
      <c r="H167" s="2">
        <f>IFERROR(H165-F165,"n.a.")</f>
        <v>1.3000000000000114</v>
      </c>
      <c r="I167" s="2">
        <f>IFERROR(I165-H165,"n.a.")</f>
        <v>3.6999999999999886</v>
      </c>
      <c r="J167" s="26">
        <f>IFERROR(J165-I165,"n.a.")</f>
        <v>2.2205000000000155</v>
      </c>
      <c r="K167" s="14"/>
    </row>
    <row r="168" ht="14.624267578125">
      <c r="A168" s="1"/>
      <c r="B168" s="13" t="s">
        <v>330</v>
      </c>
      <c r="C168" s="10" t="s">
        <v>64</v>
      </c>
      <c r="D168" s="10">
        <f>IFERROR(D74*365/D$7/(D165*1000),"n.a.")</f>
        <v>0.06762345480163477</v>
      </c>
      <c r="E168" s="10">
        <f>IFERROR(E74*365/E$7/(E165*1000),"n.a.")</f>
        <v>0.061853185291046005</v>
      </c>
      <c r="F168" s="10">
        <f>IFERROR(F74*365/F$7/(F165*1000),"n.a.")</f>
        <v>0.0559724937935277</v>
      </c>
      <c r="G168" s="10" t="s">
        <v>64</v>
      </c>
      <c r="H168" s="10">
        <f>IFERROR(H74*365/H$7/(H165*1000),"n.a.")</f>
        <v>0.08200691655510932</v>
      </c>
      <c r="I168" s="10">
        <f>IFERROR(I74*365/I$7/(I165*1000),"n.a.")</f>
        <v>0.07824294975601039</v>
      </c>
      <c r="J168" s="81">
        <f>IFERROR(J74*365/J$7/(J165*1000),"n.a.")</f>
        <v>0.06417243273651553</v>
      </c>
      <c r="K168" s="14"/>
    </row>
    <row r="169">
      <c r="A169" s="1"/>
      <c r="B169" s="48" t="s">
        <v>94</v>
      </c>
      <c r="C169" s="71" t="s">
        <v>64</v>
      </c>
      <c r="D169" s="71" t="s">
        <v>64</v>
      </c>
      <c r="E169" s="71" t="s">
        <v>64</v>
      </c>
      <c r="F169" s="71" t="s">
        <v>64</v>
      </c>
      <c r="G169" s="71" t="s">
        <v>64</v>
      </c>
      <c r="H169" s="71" t="str">
        <f>IFERROR((H168-C168)*10000,"n.a.")</f>
        <v>n.a.</v>
      </c>
      <c r="I169" s="71">
        <f>IFERROR((I168-D168)*10000,"n.a.")</f>
        <v>106.19494954375614</v>
      </c>
      <c r="J169" s="72">
        <f>IFERROR((J168-E168)*10000,"n.a.")</f>
        <v>23.192474454695258</v>
      </c>
      <c r="K169" s="14"/>
    </row>
    <row r="170" ht="23.24853515625">
      <c r="A170" s="1"/>
      <c r="B170" s="48" t="s">
        <v>95</v>
      </c>
      <c r="C170" s="71" t="s">
        <v>64</v>
      </c>
      <c r="D170" s="71" t="str">
        <f>IFERROR((D168-C168)*10000,"n.a.")</f>
        <v>n.a.</v>
      </c>
      <c r="E170" s="71">
        <f>IFERROR((E168-D168)*10000,"n.a.")</f>
        <v>-57.70269510588767</v>
      </c>
      <c r="F170" s="71">
        <f>IFERROR((F168-E168)*10000,"n.a.")</f>
        <v>-58.80691497518305</v>
      </c>
      <c r="G170" s="71" t="s">
        <v>64</v>
      </c>
      <c r="H170" s="71">
        <f>IFERROR((H168-F168)*10000,"n.a.")</f>
        <v>260.3442276158162</v>
      </c>
      <c r="I170" s="71">
        <f>IFERROR((I168-H168)*10000,"n.a.")</f>
        <v>-37.63966799098933</v>
      </c>
      <c r="J170" s="72">
        <f>IFERROR((J168-I168)*10000,"n.a.")</f>
        <v>-140.70517019494855</v>
      </c>
      <c r="K170" s="142"/>
    </row>
    <row r="171" ht="14.624267578125">
      <c r="A171" s="1"/>
      <c r="B171" s="63" t="s">
        <v>331</v>
      </c>
      <c r="C171" s="30">
        <v>0.077</v>
      </c>
      <c r="D171" s="30">
        <v>0.067</v>
      </c>
      <c r="E171" s="30">
        <v>0.063</v>
      </c>
      <c r="F171" s="30">
        <v>0.055</v>
      </c>
      <c r="G171" s="10" t="s">
        <v>64</v>
      </c>
      <c r="H171" s="30">
        <v>0.08</v>
      </c>
      <c r="I171" s="30">
        <v>0.077</v>
      </c>
      <c r="J171" s="81" t="s">
        <v>64</v>
      </c>
      <c r="K171" s="14" t="s">
        <v>128</v>
      </c>
    </row>
    <row r="172">
      <c r="A172" s="1"/>
      <c r="B172" s="48" t="s">
        <v>94</v>
      </c>
      <c r="C172" s="71" t="s">
        <v>64</v>
      </c>
      <c r="D172" s="71" t="s">
        <v>64</v>
      </c>
      <c r="E172" s="71" t="s">
        <v>64</v>
      </c>
      <c r="F172" s="71" t="s">
        <v>64</v>
      </c>
      <c r="G172" s="71" t="s">
        <v>64</v>
      </c>
      <c r="H172" s="71">
        <f>IFERROR((H171-C171)*10000,"n.a.")</f>
        <v>30.00000000000003</v>
      </c>
      <c r="I172" s="71">
        <f>IFERROR((I171-D171)*10000,"n.a.")</f>
        <v>99.99999999999994</v>
      </c>
      <c r="J172" s="72" t="str">
        <f>IFERROR((J171-E171)*10000,"n.a.")</f>
        <v>n.a.</v>
      </c>
      <c r="K172" s="14"/>
    </row>
    <row r="173">
      <c r="A173" s="1"/>
      <c r="B173" s="48" t="s">
        <v>95</v>
      </c>
      <c r="C173" s="71" t="s">
        <v>64</v>
      </c>
      <c r="D173" s="71">
        <f>IFERROR((D171-C171)*10000,"n.a.")</f>
        <v>-99.99999999999994</v>
      </c>
      <c r="E173" s="71">
        <f>IFERROR((E171-D171)*10000,"n.a.")</f>
        <v>-40.000000000000036</v>
      </c>
      <c r="F173" s="71">
        <f>IFERROR((F171-E171)*10000,"n.a.")</f>
        <v>-80</v>
      </c>
      <c r="G173" s="71" t="s">
        <v>64</v>
      </c>
      <c r="H173" s="71">
        <f>IFERROR((H171-F171)*10000,"n.a.")</f>
        <v>250</v>
      </c>
      <c r="I173" s="71">
        <f>IFERROR((I171-H171)*10000,"n.a.")</f>
        <v>-30.00000000000003</v>
      </c>
      <c r="J173" s="72" t="str">
        <f>IFERROR((J171-I171)*10000,"n.a.")</f>
        <v>n.a.</v>
      </c>
      <c r="K173" s="14"/>
    </row>
    <row r="174" ht="23.24853515625">
      <c r="A174" s="1"/>
      <c r="B174" s="140"/>
      <c r="C174" s="141"/>
      <c r="D174" s="141"/>
      <c r="E174" s="141"/>
      <c r="F174" s="141"/>
      <c r="G174" s="141"/>
      <c r="H174" s="141"/>
      <c r="I174" s="141"/>
      <c r="J174" s="145"/>
      <c r="K174" s="142"/>
    </row>
    <row r="175">
      <c r="A175" s="1"/>
      <c r="B175" s="135" t="s">
        <v>192</v>
      </c>
      <c r="C175" s="143"/>
      <c r="D175" s="143"/>
      <c r="E175" s="143"/>
      <c r="F175" s="143"/>
      <c r="G175" s="143"/>
      <c r="H175" s="143"/>
      <c r="I175" s="143"/>
      <c r="J175" s="139"/>
      <c r="K175" s="142"/>
    </row>
    <row r="176">
      <c r="A176" s="1"/>
      <c r="B176" s="18" t="s">
        <v>193</v>
      </c>
      <c r="C176" s="10">
        <f>IFERROR(-C102/C74,"n.a.")</f>
        <v>0.5398915569326104</v>
      </c>
      <c r="D176" s="10">
        <f>IFERROR(-D102/D74,"n.a.")</f>
        <v>0.5866344118536437</v>
      </c>
      <c r="E176" s="10">
        <f>IFERROR(-E102/E74,"n.a.")</f>
        <v>0.6532598118715537</v>
      </c>
      <c r="F176" s="10">
        <f>IFERROR(-F102/F74,"n.a.")</f>
        <v>0.7489255014326648</v>
      </c>
      <c r="G176" s="10">
        <f>IFERROR(-G102/G74,"n.a.")</f>
        <v>0.6232094982765224</v>
      </c>
      <c r="H176" s="10">
        <f>IFERROR(-H102/H74,"n.a.")</f>
        <v>0.5280536246276067</v>
      </c>
      <c r="I176" s="10">
        <f>IFERROR(-I102/I74,"n.a.")</f>
        <v>0.5555836280949975</v>
      </c>
      <c r="J176" s="81">
        <f>IFERROR(-J102/J74,"n.a.")</f>
        <v>0.6556855955140153</v>
      </c>
      <c r="K176" s="14"/>
    </row>
    <row r="177" ht="14.624267578125">
      <c r="A177" s="1"/>
      <c r="B177" s="48" t="s">
        <v>94</v>
      </c>
      <c r="C177" s="71" t="s">
        <v>64</v>
      </c>
      <c r="D177" s="71" t="s">
        <v>64</v>
      </c>
      <c r="E177" s="71" t="s">
        <v>64</v>
      </c>
      <c r="F177" s="71" t="s">
        <v>64</v>
      </c>
      <c r="G177" s="71" t="s">
        <v>64</v>
      </c>
      <c r="H177" s="71">
        <f>IFERROR((H176-C176)*10000,"n.a.")</f>
        <v>-118.37932305003629</v>
      </c>
      <c r="I177" s="71">
        <f>IFERROR((I176-D176)*10000,"n.a.")</f>
        <v>-310.5078375864623</v>
      </c>
      <c r="J177" s="72">
        <f>IFERROR((J176-E176)*10000,"n.a.")</f>
        <v>24.257836424615988</v>
      </c>
      <c r="K177" s="14"/>
    </row>
    <row r="178">
      <c r="A178" s="1"/>
      <c r="B178" s="48" t="s">
        <v>95</v>
      </c>
      <c r="C178" s="71" t="s">
        <v>64</v>
      </c>
      <c r="D178" s="71">
        <f>IFERROR((D176-C176)*10000,"n.a.")</f>
        <v>467.4285492103336</v>
      </c>
      <c r="E178" s="71">
        <f>IFERROR((E176-D176)*10000,"n.a.")</f>
        <v>666.2540001790995</v>
      </c>
      <c r="F178" s="71">
        <f>IFERROR((F176-E176)*10000,"n.a.")</f>
        <v>956.656895611111</v>
      </c>
      <c r="G178" s="71" t="s">
        <v>64</v>
      </c>
      <c r="H178" s="71">
        <f>IFERROR((H176-F176)*10000,"n.a.")</f>
        <v>-2208.7187680505804</v>
      </c>
      <c r="I178" s="71">
        <f>IFERROR((I176-H176)*10000,"n.a.")</f>
        <v>275.30003467390765</v>
      </c>
      <c r="J178" s="72">
        <f>IFERROR((J176-I176)*10000,"n.a.")</f>
        <v>1001.0196741901777</v>
      </c>
      <c r="K178" s="142"/>
    </row>
    <row r="179">
      <c r="A179" s="1"/>
      <c r="B179" s="79" t="s">
        <v>194</v>
      </c>
      <c r="C179" s="30">
        <v>0.54</v>
      </c>
      <c r="D179" s="30">
        <v>0.59</v>
      </c>
      <c r="E179" s="30">
        <v>0.65</v>
      </c>
      <c r="F179" s="30">
        <v>0.75</v>
      </c>
      <c r="G179" s="10" t="s">
        <v>64</v>
      </c>
      <c r="H179" s="30">
        <v>0.53</v>
      </c>
      <c r="I179" s="30">
        <v>0.56</v>
      </c>
      <c r="J179" s="81" t="s">
        <v>64</v>
      </c>
      <c r="K179" s="14" t="s">
        <v>128</v>
      </c>
    </row>
    <row r="180">
      <c r="A180" s="1"/>
      <c r="B180" s="48" t="s">
        <v>94</v>
      </c>
      <c r="C180" s="71" t="s">
        <v>64</v>
      </c>
      <c r="D180" s="71" t="s">
        <v>64</v>
      </c>
      <c r="E180" s="71" t="s">
        <v>64</v>
      </c>
      <c r="F180" s="71" t="s">
        <v>64</v>
      </c>
      <c r="G180" s="71" t="s">
        <v>64</v>
      </c>
      <c r="H180" s="71">
        <f>IFERROR((H179-C179)*10000,"n.a.")</f>
        <v>-100.00000000000009</v>
      </c>
      <c r="I180" s="71">
        <f>IFERROR((I179-D179)*10000,"n.a.")</f>
        <v>-299.99999999999915</v>
      </c>
      <c r="J180" s="72" t="str">
        <f>IFERROR((J179-E179)*10000,"n.a.")</f>
        <v>n.a.</v>
      </c>
      <c r="K180" s="14"/>
    </row>
    <row r="181">
      <c r="A181" s="1"/>
      <c r="B181" s="48" t="s">
        <v>95</v>
      </c>
      <c r="C181" s="71" t="s">
        <v>64</v>
      </c>
      <c r="D181" s="71">
        <f>IFERROR((D179-C179)*10000,"n.a.")</f>
        <v>499.9999999999993</v>
      </c>
      <c r="E181" s="71">
        <f>IFERROR((E179-D179)*10000,"n.a.")</f>
        <v>600.0000000000006</v>
      </c>
      <c r="F181" s="71">
        <f>IFERROR((F179-E179)*10000,"n.a.")</f>
        <v>999.9999999999998</v>
      </c>
      <c r="G181" s="71" t="s">
        <v>64</v>
      </c>
      <c r="H181" s="71">
        <f>IFERROR((H179-F179)*10000,"n.a.")</f>
        <v>-2199.9999999999995</v>
      </c>
      <c r="I181" s="71">
        <f>IFERROR((I179-H179)*10000,"n.a.")</f>
        <v>300.0000000000003</v>
      </c>
      <c r="J181" s="72" t="str">
        <f>IFERROR((J179-I179)*10000,"n.a.")</f>
        <v>n.a.</v>
      </c>
      <c r="K181" s="142"/>
    </row>
    <row r="182" ht="23.24853515625">
      <c r="A182" s="1"/>
      <c r="B182" s="13" t="s">
        <v>195</v>
      </c>
      <c r="C182" s="45">
        <f>IFERROR(-C112*365/C$7/(C136*1000),"n.a.")</f>
        <v>0.0022618125484120837</v>
      </c>
      <c r="D182" s="45">
        <f>IFERROR(-D112*365/D$7/(D136*1000),"n.a.")</f>
        <v>0.002127761391419349</v>
      </c>
      <c r="E182" s="45">
        <f>IFERROR(-E112*365/E$7/(E136*1000),"n.a.")</f>
        <v>0.004425285420806251</v>
      </c>
      <c r="F182" s="45">
        <f>IFERROR(-F112*365/F$7/(F136*1000),"n.a.")</f>
        <v>0.0006698588541492875</v>
      </c>
      <c r="G182" s="45">
        <f>IFERROR(-G112*365/G$7/(G136*1000),"n.a.")</f>
        <v>0.002340752110514198</v>
      </c>
      <c r="H182" s="45">
        <f>IFERROR(-H112*365/H$7/(H136*1000),"n.a.")</f>
        <v>0.00828937728937729</v>
      </c>
      <c r="I182" s="45">
        <f>IFERROR(-I112*365/I$7/(I136*1000),"n.a.")</f>
        <v>0.001294816702006724</v>
      </c>
      <c r="J182" s="89">
        <f>IFERROR(-J112*365/J$7/(J136*1000),"n.a.")</f>
        <v>0.002</v>
      </c>
      <c r="K182" s="14" t="s">
        <v>196</v>
      </c>
    </row>
    <row r="183">
      <c r="A183" s="1"/>
      <c r="B183" s="48" t="s">
        <v>94</v>
      </c>
      <c r="C183" s="71" t="s">
        <v>64</v>
      </c>
      <c r="D183" s="71" t="s">
        <v>64</v>
      </c>
      <c r="E183" s="71" t="s">
        <v>64</v>
      </c>
      <c r="F183" s="71" t="s">
        <v>64</v>
      </c>
      <c r="G183" s="71" t="s">
        <v>64</v>
      </c>
      <c r="H183" s="71">
        <f>IFERROR((H182-C182)*10000,"n.a.")</f>
        <v>60.275647409652066</v>
      </c>
      <c r="I183" s="71">
        <f>IFERROR((I182-D182)*10000,"n.a.")</f>
        <v>-8.329446894126248</v>
      </c>
      <c r="J183" s="72">
        <f>IFERROR((J182-E182)*10000,"n.a.")</f>
        <v>-24.252854208062512</v>
      </c>
      <c r="K183" s="14"/>
    </row>
    <row r="184">
      <c r="A184" s="1"/>
      <c r="B184" s="48" t="s">
        <v>95</v>
      </c>
      <c r="C184" s="71" t="s">
        <v>64</v>
      </c>
      <c r="D184" s="71">
        <f>IFERROR((D182-C182)*10000,"n.a.")</f>
        <v>-1.3405115699273484</v>
      </c>
      <c r="E184" s="71">
        <f>IFERROR((E182-D182)*10000,"n.a.")</f>
        <v>22.97524029386902</v>
      </c>
      <c r="F184" s="71">
        <f>IFERROR((F182-E182)*10000,"n.a.")</f>
        <v>-37.554265666569634</v>
      </c>
      <c r="G184" s="71" t="s">
        <v>64</v>
      </c>
      <c r="H184" s="71">
        <f>IFERROR((H182-F182)*10000,"n.a.")</f>
        <v>76.19518435228002</v>
      </c>
      <c r="I184" s="71">
        <f>IFERROR((I182-H182)*10000,"n.a.")</f>
        <v>-69.94560587370566</v>
      </c>
      <c r="J184" s="72">
        <f>IFERROR((J182-I182)*10000,"n.a.")</f>
        <v>7.05183297993276</v>
      </c>
      <c r="K184" s="142"/>
    </row>
    <row r="185" ht="14.624267578125">
      <c r="A185" s="1"/>
      <c r="B185" s="79" t="s">
        <v>197</v>
      </c>
      <c r="C185" s="49">
        <v>0.0023</v>
      </c>
      <c r="D185" s="49">
        <v>0.0021</v>
      </c>
      <c r="E185" s="49">
        <v>0.0044</v>
      </c>
      <c r="F185" s="49">
        <v>0.0007</v>
      </c>
      <c r="G185" s="45" t="s">
        <v>64</v>
      </c>
      <c r="H185" s="49">
        <v>0.0082</v>
      </c>
      <c r="I185" s="49">
        <v>0.0013</v>
      </c>
      <c r="J185" s="89" t="s">
        <v>64</v>
      </c>
      <c r="K185" s="14" t="s">
        <v>198</v>
      </c>
    </row>
    <row r="186">
      <c r="A186" s="1"/>
      <c r="B186" s="48" t="s">
        <v>94</v>
      </c>
      <c r="C186" s="71" t="s">
        <v>64</v>
      </c>
      <c r="D186" s="71" t="s">
        <v>64</v>
      </c>
      <c r="E186" s="71" t="s">
        <v>64</v>
      </c>
      <c r="F186" s="71" t="s">
        <v>64</v>
      </c>
      <c r="G186" s="71" t="s">
        <v>64</v>
      </c>
      <c r="H186" s="71">
        <f>IFERROR((H185-C185)*10000,"n.a.")</f>
        <v>59.00000000000001</v>
      </c>
      <c r="I186" s="71">
        <f>IFERROR((I185-D185)*10000,"n.a.")</f>
        <v>-7.999999999999999</v>
      </c>
      <c r="J186" s="72" t="str">
        <f>IFERROR((J185-E185)*10000,"n.a.")</f>
        <v>n.a.</v>
      </c>
      <c r="K186" s="14"/>
    </row>
    <row r="187">
      <c r="A187" s="1"/>
      <c r="B187" s="48" t="s">
        <v>95</v>
      </c>
      <c r="C187" s="71" t="s">
        <v>64</v>
      </c>
      <c r="D187" s="71">
        <f>IFERROR((D185-C185)*10000,"n.a.")</f>
        <v>-2.000000000000001</v>
      </c>
      <c r="E187" s="71">
        <f>IFERROR((E185-D185)*10000,"n.a.")</f>
        <v>23.000000000000004</v>
      </c>
      <c r="F187" s="71">
        <f>IFERROR((F185-E185)*10000,"n.a.")</f>
        <v>-37</v>
      </c>
      <c r="G187" s="71" t="s">
        <v>64</v>
      </c>
      <c r="H187" s="71">
        <f>IFERROR((H185-F185)*10000,"n.a.")</f>
        <v>75</v>
      </c>
      <c r="I187" s="71">
        <f>IFERROR((I185-H185)*10000,"n.a.")</f>
        <v>-69.00000000000001</v>
      </c>
      <c r="J187" s="72" t="str">
        <f>IFERROR((J185-I185)*10000,"n.a.")</f>
        <v>n.a.</v>
      </c>
      <c r="K187" s="142"/>
    </row>
    <row r="188" ht="23.24853515625">
      <c r="A188" s="1"/>
      <c r="B188" s="13" t="s">
        <v>199</v>
      </c>
      <c r="C188" s="30">
        <v>0.162</v>
      </c>
      <c r="D188" s="30">
        <v>0.122</v>
      </c>
      <c r="E188" s="30">
        <v>0.101</v>
      </c>
      <c r="F188" s="30">
        <v>0.04</v>
      </c>
      <c r="G188" s="10" t="s">
        <v>64</v>
      </c>
      <c r="H188" s="30">
        <v>0.15</v>
      </c>
      <c r="I188" s="30">
        <v>0.16</v>
      </c>
      <c r="J188" s="81" t="s">
        <v>64</v>
      </c>
      <c r="K188" s="14" t="s">
        <v>128</v>
      </c>
    </row>
    <row r="189">
      <c r="A189" s="1"/>
      <c r="B189" s="48" t="s">
        <v>94</v>
      </c>
      <c r="C189" s="71" t="s">
        <v>64</v>
      </c>
      <c r="D189" s="71" t="s">
        <v>64</v>
      </c>
      <c r="E189" s="71" t="s">
        <v>64</v>
      </c>
      <c r="F189" s="71" t="s">
        <v>64</v>
      </c>
      <c r="G189" s="71" t="s">
        <v>64</v>
      </c>
      <c r="H189" s="71">
        <f>IFERROR((H188-C188)*10000,"n.a.")</f>
        <v>-120.00000000000011</v>
      </c>
      <c r="I189" s="71">
        <f>IFERROR((I188-D188)*10000,"n.a.")</f>
        <v>380.00000000000006</v>
      </c>
      <c r="J189" s="72" t="str">
        <f>IFERROR((J188-E188)*10000,"n.a.")</f>
        <v>n.a.</v>
      </c>
      <c r="K189" s="14"/>
    </row>
    <row r="190">
      <c r="A190" s="1"/>
      <c r="B190" s="48" t="s">
        <v>95</v>
      </c>
      <c r="C190" s="71" t="s">
        <v>64</v>
      </c>
      <c r="D190" s="71">
        <f>IFERROR((D188-C188)*10000,"n.a.")</f>
        <v>-400.00000000000006</v>
      </c>
      <c r="E190" s="71">
        <f>IFERROR((E188-D188)*10000,"n.a.")</f>
        <v>-209.99999999999991</v>
      </c>
      <c r="F190" s="71">
        <f>IFERROR((F188-E188)*10000,"n.a.")</f>
        <v>-610</v>
      </c>
      <c r="G190" s="71" t="s">
        <v>64</v>
      </c>
      <c r="H190" s="71">
        <f>IFERROR((H188-F188)*10000,"n.a.")</f>
        <v>1099.9999999999998</v>
      </c>
      <c r="I190" s="71">
        <f>IFERROR((I188-H188)*10000,"n.a.")</f>
        <v>100.00000000000009</v>
      </c>
      <c r="J190" s="72" t="str">
        <f>IFERROR((J188-I188)*10000,"n.a.")</f>
        <v>n.a.</v>
      </c>
      <c r="K190" s="142"/>
    </row>
    <row r="191" ht="14.624267578125">
      <c r="A191" s="1"/>
      <c r="B191" s="13" t="s">
        <v>200</v>
      </c>
      <c r="C191" s="24">
        <v>29.6</v>
      </c>
      <c r="D191" s="24">
        <v>28.7</v>
      </c>
      <c r="E191" s="24">
        <v>28.6</v>
      </c>
      <c r="F191" s="24">
        <v>29.6</v>
      </c>
      <c r="G191" s="2" t="s">
        <v>64</v>
      </c>
      <c r="H191" s="24">
        <v>29.7</v>
      </c>
      <c r="I191" s="24">
        <v>30</v>
      </c>
      <c r="J191" s="26" t="s">
        <v>64</v>
      </c>
      <c r="K191" s="14" t="s">
        <v>128</v>
      </c>
    </row>
    <row r="192">
      <c r="A192" s="1"/>
      <c r="B192" s="37" t="s">
        <v>63</v>
      </c>
      <c r="C192" s="25" t="s">
        <v>64</v>
      </c>
      <c r="D192" s="25" t="s">
        <v>64</v>
      </c>
      <c r="E192" s="25" t="s">
        <v>64</v>
      </c>
      <c r="F192" s="25" t="s">
        <v>64</v>
      </c>
      <c r="G192" s="25" t="s">
        <v>64</v>
      </c>
      <c r="H192" s="25">
        <f>IFERROR(H191/C191-1,"n.a.")</f>
        <v>0.0033783783783782884</v>
      </c>
      <c r="I192" s="25">
        <f>IFERROR(I191/D191-1,"n.a.")</f>
        <v>0.04529616724738683</v>
      </c>
      <c r="J192" s="51" t="str">
        <f>IFERROR(J191/E191-1,"n.a.")</f>
        <v>n.a.</v>
      </c>
      <c r="K192" s="14"/>
    </row>
    <row r="193">
      <c r="A193" s="1"/>
      <c r="B193" s="48" t="s">
        <v>78</v>
      </c>
      <c r="C193" s="2" t="s">
        <v>64</v>
      </c>
      <c r="D193" s="2">
        <f>IFERROR(D191-C191,"n.a.")</f>
        <v>-0.9000000000000021</v>
      </c>
      <c r="E193" s="2">
        <f>IFERROR(E191-D191,"n.a.")</f>
        <v>-0.09999999999999787</v>
      </c>
      <c r="F193" s="2">
        <f>IFERROR(F191-E191,"n.a.")</f>
        <v>1</v>
      </c>
      <c r="G193" s="2" t="s">
        <v>64</v>
      </c>
      <c r="H193" s="2">
        <f>IFERROR(H191-F191,"n.a.")</f>
        <v>0.09999999999999787</v>
      </c>
      <c r="I193" s="2">
        <f>IFERROR(I191-H191,"n.a.")</f>
        <v>0.3000000000000007</v>
      </c>
      <c r="J193" s="26" t="str">
        <f>IFERROR(J191-I191,"n.a.")</f>
        <v>n.a.</v>
      </c>
      <c r="K193" s="14"/>
    </row>
    <row r="194">
      <c r="A194" s="1"/>
      <c r="B194" s="140"/>
      <c r="C194" s="141"/>
      <c r="D194" s="141"/>
      <c r="E194" s="141"/>
      <c r="F194" s="141"/>
      <c r="G194" s="141"/>
      <c r="H194" s="141"/>
      <c r="I194" s="141"/>
      <c r="J194" s="145"/>
      <c r="K194" s="142"/>
    </row>
    <row r="195">
      <c r="A195" s="1"/>
      <c r="B195" s="135" t="s">
        <v>201</v>
      </c>
      <c r="C195" s="143"/>
      <c r="D195" s="143"/>
      <c r="E195" s="143"/>
      <c r="F195" s="143"/>
      <c r="G195" s="143"/>
      <c r="H195" s="143"/>
      <c r="I195" s="143"/>
      <c r="J195" s="139"/>
      <c r="K195" s="142"/>
    </row>
    <row r="196">
      <c r="A196" s="1"/>
      <c r="B196" s="66" t="s">
        <v>202</v>
      </c>
      <c r="C196" s="25" t="s">
        <v>64</v>
      </c>
      <c r="D196" s="25" t="s">
        <v>64</v>
      </c>
      <c r="E196" s="25" t="s">
        <v>64</v>
      </c>
      <c r="F196" s="25" t="s">
        <v>64</v>
      </c>
      <c r="G196" s="25" t="s">
        <v>64</v>
      </c>
      <c r="H196" s="25">
        <f>IFERROR(H74/C74-1,"n.a.")</f>
        <v>0.04002065582235992</v>
      </c>
      <c r="I196" s="25">
        <f>IFERROR(I74/D74-1,"n.a.")</f>
        <v>0.19685515573026913</v>
      </c>
      <c r="J196" s="51">
        <f>IFERROR(J74/E74-1,"n.a.")</f>
        <v>0.07616535841712602</v>
      </c>
      <c r="K196" s="142"/>
    </row>
    <row r="197">
      <c r="A197" s="1"/>
      <c r="B197" s="66" t="s">
        <v>100</v>
      </c>
      <c r="C197" s="25" t="s">
        <v>101</v>
      </c>
      <c r="D197" s="25" t="s">
        <v>101</v>
      </c>
      <c r="E197" s="25" t="s">
        <v>101</v>
      </c>
      <c r="F197" s="25" t="s">
        <v>101</v>
      </c>
      <c r="G197" s="25" t="s">
        <v>101</v>
      </c>
      <c r="H197" s="25" t="s">
        <v>101</v>
      </c>
      <c r="I197" s="25" t="s">
        <v>101</v>
      </c>
      <c r="J197" s="51" t="s">
        <v>101</v>
      </c>
      <c r="K197" s="14" t="s">
        <v>203</v>
      </c>
    </row>
    <row r="198">
      <c r="A198" s="1"/>
      <c r="B198" s="66" t="s">
        <v>103</v>
      </c>
      <c r="C198" s="25" t="s">
        <v>101</v>
      </c>
      <c r="D198" s="25" t="s">
        <v>101</v>
      </c>
      <c r="E198" s="25" t="s">
        <v>101</v>
      </c>
      <c r="F198" s="25" t="s">
        <v>101</v>
      </c>
      <c r="G198" s="25" t="s">
        <v>101</v>
      </c>
      <c r="H198" s="25" t="s">
        <v>101</v>
      </c>
      <c r="I198" s="25" t="s">
        <v>101</v>
      </c>
      <c r="J198" s="51" t="s">
        <v>101</v>
      </c>
      <c r="K198" s="14" t="s">
        <v>204</v>
      </c>
    </row>
    <row r="199" ht="14.624267578125">
      <c r="A199" s="146"/>
      <c r="B199" s="67" t="s">
        <v>205</v>
      </c>
      <c r="C199" s="25" t="str">
        <f>IF(OR(ISTEXT(C196),ISTEXT(C197),ISTEXT(C198)),"n.d.",(1+C196)/((1+C197)*(1+C198))-1)</f>
        <v>n.d.</v>
      </c>
      <c r="D199" s="25" t="str">
        <f>IF(OR(ISTEXT(D196),ISTEXT(D197),ISTEXT(D198)),"n.d.",(1+D196)/((1+D197)*(1+D198))-1)</f>
        <v>n.d.</v>
      </c>
      <c r="E199" s="25" t="str">
        <f>IF(OR(ISTEXT(E196),ISTEXT(E197),ISTEXT(E198)),"n.d.",(1+E196)/((1+E197)*(1+E198))-1)</f>
        <v>n.d.</v>
      </c>
      <c r="F199" s="25" t="str">
        <f>IF(OR(ISTEXT(F196),ISTEXT(F197),ISTEXT(F198)),"n.d.",(1+F196)/((1+F197)*(1+F198))-1)</f>
        <v>n.d.</v>
      </c>
      <c r="G199" s="25" t="str">
        <f>IF(OR(ISTEXT(G196),ISTEXT(G197),ISTEXT(G198)),"n.d.",(1+G196)/((1+G197)*(1+G198))-1)</f>
        <v>n.d.</v>
      </c>
      <c r="H199" s="25" t="str">
        <f>IF(OR(ISTEXT(H196),ISTEXT(H197),ISTEXT(H198)),"n.d.",(1+H196)/((1+H197)*(1+H198))-1)</f>
        <v>n.d.</v>
      </c>
      <c r="I199" s="25" t="str">
        <f>IF(OR(ISTEXT(I196),ISTEXT(I197),ISTEXT(I198)),"n.d.",(1+I196)/((1+I197)*(1+I198))-1)</f>
        <v>n.d.</v>
      </c>
      <c r="J199" s="51" t="str">
        <f>IF(OR(ISTEXT(J196),ISTEXT(J197),ISTEXT(J198)),"n.d.",(1+J196)/((1+J197)*(1+J198))-1)</f>
        <v>n.d.</v>
      </c>
      <c r="K199" s="14" t="s">
        <v>206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K112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  <col min="11" max="11" width="9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35" t="s">
        <v>49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9" t="s">
        <v>332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3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6" t="s">
        <v>51</v>
      </c>
      <c r="C5" s="21" t="s">
        <v>52</v>
      </c>
      <c r="D5" s="21" t="s">
        <v>53</v>
      </c>
      <c r="E5" s="21" t="s">
        <v>54</v>
      </c>
      <c r="F5" s="21" t="s">
        <v>55</v>
      </c>
      <c r="G5" s="21" t="s">
        <v>56</v>
      </c>
      <c r="H5" s="21" t="s">
        <v>57</v>
      </c>
      <c r="I5" s="21" t="s">
        <v>58</v>
      </c>
      <c r="J5" s="40" t="s">
        <v>4</v>
      </c>
      <c r="K5" s="6" t="s">
        <v>59</v>
      </c>
    </row>
    <row r="6">
      <c r="A6" s="1"/>
      <c r="B6" s="7" t="s">
        <v>5</v>
      </c>
      <c r="C6" s="29">
        <v>45747</v>
      </c>
      <c r="D6" s="29">
        <v>45838</v>
      </c>
      <c r="E6" s="29">
        <v>45930</v>
      </c>
      <c r="F6" s="29">
        <v>46022</v>
      </c>
      <c r="G6" s="29">
        <v>46022</v>
      </c>
      <c r="H6" s="29">
        <v>46112</v>
      </c>
      <c r="I6" s="29">
        <v>46203</v>
      </c>
      <c r="J6" s="50">
        <v>46295</v>
      </c>
      <c r="K6" s="7"/>
    </row>
    <row r="7">
      <c r="A7" s="1"/>
      <c r="B7" s="12" t="s">
        <v>6</v>
      </c>
      <c r="C7" s="34">
        <f>C6-EOMONTH(C6,-3)</f>
        <v>90</v>
      </c>
      <c r="D7" s="34">
        <f>D6-EOMONTH(D6,-3)</f>
        <v>91</v>
      </c>
      <c r="E7" s="34">
        <f>E6-EOMONTH(E6,-3)</f>
        <v>92</v>
      </c>
      <c r="F7" s="34">
        <f>F6-EOMONTH(F6,-3)</f>
        <v>92</v>
      </c>
      <c r="G7" s="34">
        <f>G6-EOMONTH(G6,-12)</f>
        <v>365</v>
      </c>
      <c r="H7" s="34">
        <f>H6-EOMONTH(H6,-3)</f>
        <v>90</v>
      </c>
      <c r="I7" s="34">
        <f>I6-EOMONTH(I6,-3)</f>
        <v>91</v>
      </c>
      <c r="J7" s="43">
        <f>J6-EOMONTH(J6,-3)</f>
        <v>92</v>
      </c>
      <c r="K7" s="12"/>
    </row>
    <row r="8">
      <c r="A8" s="1"/>
      <c r="B8" s="1"/>
      <c r="C8" s="1"/>
      <c r="D8" s="1"/>
      <c r="E8" s="1"/>
      <c r="F8" s="1"/>
      <c r="G8" s="1"/>
      <c r="H8" s="1"/>
      <c r="I8" s="1"/>
      <c r="J8" s="54"/>
      <c r="K8" s="1"/>
    </row>
    <row r="9">
      <c r="A9" s="1"/>
      <c r="B9" s="20" t="s">
        <v>122</v>
      </c>
      <c r="C9" s="32"/>
      <c r="D9" s="32"/>
      <c r="E9" s="32"/>
      <c r="F9" s="32"/>
      <c r="G9" s="32"/>
      <c r="H9" s="32"/>
      <c r="I9" s="32"/>
      <c r="J9" s="28"/>
      <c r="K9" s="14"/>
    </row>
    <row r="10" ht="23.24853515625">
      <c r="A10" s="1"/>
      <c r="B10" s="67" t="s">
        <v>123</v>
      </c>
      <c r="C10" s="25" t="s">
        <v>64</v>
      </c>
      <c r="D10" s="25" t="s">
        <v>64</v>
      </c>
      <c r="E10" s="25" t="s">
        <v>64</v>
      </c>
      <c r="F10" s="25" t="s">
        <v>64</v>
      </c>
      <c r="G10" s="25" t="s">
        <v>64</v>
      </c>
      <c r="H10" s="25" t="s">
        <v>64</v>
      </c>
      <c r="I10" s="25" t="s">
        <v>64</v>
      </c>
      <c r="J10" s="85">
        <v>-0.01</v>
      </c>
      <c r="K10" s="14" t="s">
        <v>333</v>
      </c>
    </row>
    <row r="11">
      <c r="A11" s="1"/>
      <c r="B11" s="18" t="s">
        <v>125</v>
      </c>
      <c r="C11" s="24">
        <v>26106</v>
      </c>
      <c r="D11" s="24">
        <v>23713</v>
      </c>
      <c r="E11" s="24">
        <v>25037</v>
      </c>
      <c r="F11" s="24">
        <v>26470</v>
      </c>
      <c r="G11" s="2">
        <f>AVERAGE(C11:F11)</f>
        <v>25331.5</v>
      </c>
      <c r="H11" s="24">
        <v>26163</v>
      </c>
      <c r="I11" s="24">
        <v>22247</v>
      </c>
      <c r="J11" s="26">
        <f>I11*(1+J10)</f>
        <v>22024.53</v>
      </c>
      <c r="K11" s="14" t="s">
        <v>126</v>
      </c>
    </row>
    <row r="12">
      <c r="A12" s="1"/>
      <c r="B12" s="37" t="s">
        <v>63</v>
      </c>
      <c r="C12" s="25" t="s">
        <v>64</v>
      </c>
      <c r="D12" s="25" t="s">
        <v>64</v>
      </c>
      <c r="E12" s="25" t="s">
        <v>64</v>
      </c>
      <c r="F12" s="25" t="s">
        <v>64</v>
      </c>
      <c r="G12" s="25" t="s">
        <v>64</v>
      </c>
      <c r="H12" s="25">
        <f>IFERROR(H11/C11-1,"n.a.")</f>
        <v>0.0021834061135370675</v>
      </c>
      <c r="I12" s="25">
        <f>IFERROR(I11/D11-1,"n.a.")</f>
        <v>-0.06182262893771351</v>
      </c>
      <c r="J12" s="51">
        <f>IFERROR(J11/E11-1,"n.a.")</f>
        <v>-0.12032072532651683</v>
      </c>
      <c r="K12" s="14"/>
    </row>
    <row r="13">
      <c r="A13" s="1"/>
      <c r="B13" s="48" t="s">
        <v>78</v>
      </c>
      <c r="C13" s="2" t="s">
        <v>64</v>
      </c>
      <c r="D13" s="2">
        <f>IFERROR(D11-C11,"n.a.")</f>
        <v>-2393</v>
      </c>
      <c r="E13" s="2">
        <f>IFERROR(E11-D11,"n.a.")</f>
        <v>1324</v>
      </c>
      <c r="F13" s="2">
        <f>IFERROR(F11-E11,"n.a.")</f>
        <v>1433</v>
      </c>
      <c r="G13" s="2" t="s">
        <v>64</v>
      </c>
      <c r="H13" s="2">
        <f>IFERROR(H11-F11,"n.a.")</f>
        <v>-307</v>
      </c>
      <c r="I13" s="2">
        <f>IFERROR(I11-H11,"n.a.")</f>
        <v>-3916</v>
      </c>
      <c r="J13" s="26">
        <f>IFERROR(J11-I11,"n.a.")</f>
        <v>-222.47000000000116</v>
      </c>
      <c r="K13" s="14"/>
    </row>
    <row r="14">
      <c r="A14" s="1"/>
      <c r="B14" s="18" t="s">
        <v>127</v>
      </c>
      <c r="C14" s="49">
        <v>0.1053</v>
      </c>
      <c r="D14" s="49">
        <v>0.1083</v>
      </c>
      <c r="E14" s="49">
        <v>0.115</v>
      </c>
      <c r="F14" s="49">
        <v>0.1163</v>
      </c>
      <c r="G14" s="45" t="s">
        <v>64</v>
      </c>
      <c r="H14" s="49">
        <v>0.1276</v>
      </c>
      <c r="I14" s="49">
        <v>0.132</v>
      </c>
      <c r="J14" s="89" t="s">
        <v>64</v>
      </c>
      <c r="K14" s="14" t="s">
        <v>128</v>
      </c>
    </row>
    <row r="15">
      <c r="A15" s="1"/>
      <c r="B15" s="48" t="s">
        <v>94</v>
      </c>
      <c r="C15" s="71" t="s">
        <v>64</v>
      </c>
      <c r="D15" s="71" t="s">
        <v>64</v>
      </c>
      <c r="E15" s="71" t="s">
        <v>64</v>
      </c>
      <c r="F15" s="71" t="s">
        <v>64</v>
      </c>
      <c r="G15" s="71" t="s">
        <v>64</v>
      </c>
      <c r="H15" s="71">
        <f>IFERROR((H14-C14)*10000,"n.a.")</f>
        <v>222.99999999999986</v>
      </c>
      <c r="I15" s="71">
        <f>IFERROR((I14-D14)*10000,"n.a.")</f>
        <v>237.0000000000001</v>
      </c>
      <c r="J15" s="72" t="str">
        <f>IFERROR((J14-E14)*10000,"n.a.")</f>
        <v>n.a.</v>
      </c>
      <c r="K15" s="14"/>
    </row>
    <row r="16">
      <c r="A16" s="1"/>
      <c r="B16" s="48" t="s">
        <v>95</v>
      </c>
      <c r="C16" s="71" t="s">
        <v>64</v>
      </c>
      <c r="D16" s="71">
        <f>IFERROR((D14-C14)*10000,"n.a.")</f>
        <v>29.999999999999886</v>
      </c>
      <c r="E16" s="71">
        <f>IFERROR((E14-D14)*10000,"n.a.")</f>
        <v>67.00000000000011</v>
      </c>
      <c r="F16" s="71">
        <f>IFERROR((F14-E14)*10000,"n.a.")</f>
        <v>12.999999999999956</v>
      </c>
      <c r="G16" s="71" t="s">
        <v>64</v>
      </c>
      <c r="H16" s="71">
        <f>IFERROR((H14-F14)*10000,"n.a.")</f>
        <v>112.9999999999999</v>
      </c>
      <c r="I16" s="71">
        <f>IFERROR((I14-H14)*10000,"n.a.")</f>
        <v>44.00000000000015</v>
      </c>
      <c r="J16" s="72" t="str">
        <f>IFERROR((J14-I14)*10000,"n.a.")</f>
        <v>n.a.</v>
      </c>
      <c r="K16" s="14"/>
    </row>
    <row r="17" ht="14.624267578125">
      <c r="A17" s="1"/>
      <c r="B17" s="63" t="s">
        <v>129</v>
      </c>
      <c r="C17" s="45" t="s">
        <v>64</v>
      </c>
      <c r="D17" s="45" t="s">
        <v>64</v>
      </c>
      <c r="E17" s="45" t="s">
        <v>64</v>
      </c>
      <c r="F17" s="45" t="s">
        <v>64</v>
      </c>
      <c r="G17" s="45" t="s">
        <v>64</v>
      </c>
      <c r="H17" s="45" t="s">
        <v>64</v>
      </c>
      <c r="I17" s="45" t="s">
        <v>64</v>
      </c>
      <c r="J17" s="90">
        <v>0.133</v>
      </c>
      <c r="K17" s="14" t="s">
        <v>334</v>
      </c>
    </row>
    <row r="18" ht="23.24853515625">
      <c r="A18" s="1"/>
      <c r="B18" s="18"/>
      <c r="C18" s="19"/>
      <c r="D18" s="19"/>
      <c r="E18" s="19"/>
      <c r="F18" s="19"/>
      <c r="G18" s="19"/>
      <c r="H18" s="19"/>
      <c r="I18" s="19"/>
      <c r="J18" s="27"/>
      <c r="K18" s="14"/>
    </row>
    <row r="19">
      <c r="A19" s="1"/>
      <c r="B19" s="20" t="s">
        <v>131</v>
      </c>
      <c r="C19" s="32"/>
      <c r="D19" s="32"/>
      <c r="E19" s="32"/>
      <c r="F19" s="32"/>
      <c r="G19" s="32"/>
      <c r="H19" s="32"/>
      <c r="I19" s="32"/>
      <c r="J19" s="28"/>
      <c r="K19" s="14"/>
    </row>
    <row r="20">
      <c r="A20" s="1"/>
      <c r="B20" s="18" t="s">
        <v>82</v>
      </c>
      <c r="C20" s="24">
        <v>678</v>
      </c>
      <c r="D20" s="24">
        <v>640</v>
      </c>
      <c r="E20" s="24">
        <v>726</v>
      </c>
      <c r="F20" s="24">
        <v>776</v>
      </c>
      <c r="G20" s="2">
        <f>SUM(C20:F20)</f>
        <v>2820</v>
      </c>
      <c r="H20" s="24">
        <v>823</v>
      </c>
      <c r="I20" s="24">
        <v>732</v>
      </c>
      <c r="J20" s="26">
        <f>J11*J17*J$7/365</f>
        <v>738.3346550136987</v>
      </c>
      <c r="K20" s="14" t="s">
        <v>132</v>
      </c>
    </row>
    <row r="21">
      <c r="A21" s="1"/>
      <c r="B21" s="37" t="s">
        <v>63</v>
      </c>
      <c r="C21" s="25" t="s">
        <v>64</v>
      </c>
      <c r="D21" s="25" t="s">
        <v>64</v>
      </c>
      <c r="E21" s="25" t="s">
        <v>64</v>
      </c>
      <c r="F21" s="25" t="s">
        <v>64</v>
      </c>
      <c r="G21" s="25" t="s">
        <v>64</v>
      </c>
      <c r="H21" s="25">
        <f>IFERROR(H20/C20-1,"n.a.")</f>
        <v>0.21386430678466084</v>
      </c>
      <c r="I21" s="25">
        <f>IFERROR(I20/D20-1,"n.a.")</f>
        <v>0.14375000000000004</v>
      </c>
      <c r="J21" s="51">
        <f>IFERROR(J20/E20-1,"n.a.")</f>
        <v>0.016989882938978962</v>
      </c>
      <c r="K21" s="14"/>
    </row>
    <row r="22">
      <c r="A22" s="1"/>
      <c r="B22" s="48" t="s">
        <v>78</v>
      </c>
      <c r="C22" s="2" t="s">
        <v>64</v>
      </c>
      <c r="D22" s="2">
        <f>IFERROR(D20-C20,"n.a.")</f>
        <v>-38</v>
      </c>
      <c r="E22" s="2">
        <f>IFERROR(E20-D20,"n.a.")</f>
        <v>86</v>
      </c>
      <c r="F22" s="2">
        <f>IFERROR(F20-E20,"n.a.")</f>
        <v>50</v>
      </c>
      <c r="G22" s="2" t="s">
        <v>64</v>
      </c>
      <c r="H22" s="2">
        <f>IFERROR(H20-F20,"n.a.")</f>
        <v>47</v>
      </c>
      <c r="I22" s="2">
        <f>IFERROR(I20-H20,"n.a.")</f>
        <v>-91</v>
      </c>
      <c r="J22" s="26">
        <f>IFERROR(J20-I20,"n.a.")</f>
        <v>6.334655013698693</v>
      </c>
      <c r="K22" s="14"/>
    </row>
    <row r="23" ht="23.24853515625">
      <c r="A23" s="1"/>
      <c r="B23" s="13" t="s">
        <v>133</v>
      </c>
      <c r="C23" s="45">
        <f>IFERROR(C20/C11*365/C$7,"n.a.")</f>
        <v>0.10532700017875839</v>
      </c>
      <c r="D23" s="45">
        <f>IFERROR(D20/D11*365/D$7,"n.a.")</f>
        <v>0.10825424733407696</v>
      </c>
      <c r="E23" s="45">
        <f>IFERROR(E20/E11*365/E$7,"n.a.")</f>
        <v>0.11504278016361871</v>
      </c>
      <c r="F23" s="45">
        <f>IFERROR(F20/F11*365/F$7,"n.a.")</f>
        <v>0.11630886483467749</v>
      </c>
      <c r="G23" s="45">
        <f>IFERROR(G20/G11*365/G$7,"n.a.")</f>
        <v>0.1113238458046306</v>
      </c>
      <c r="H23" s="45">
        <f>IFERROR(H20/H11*365/H$7,"n.a.")</f>
        <v>0.12757413990070796</v>
      </c>
      <c r="I23" s="45">
        <f>IFERROR(I20/I11*365/I$7,"n.a.")</f>
        <v>0.1319748260908867</v>
      </c>
      <c r="J23" s="89">
        <f>IFERROR(J20/J11*365/J$7,"n.a.")</f>
        <v>0.133</v>
      </c>
      <c r="K23" s="14"/>
    </row>
    <row r="24">
      <c r="A24" s="1"/>
      <c r="B24" s="48" t="s">
        <v>94</v>
      </c>
      <c r="C24" s="71" t="s">
        <v>64</v>
      </c>
      <c r="D24" s="71" t="s">
        <v>64</v>
      </c>
      <c r="E24" s="71" t="s">
        <v>64</v>
      </c>
      <c r="F24" s="71" t="s">
        <v>64</v>
      </c>
      <c r="G24" s="71" t="s">
        <v>64</v>
      </c>
      <c r="H24" s="71">
        <f>IFERROR((H23-C23)*10000,"n.a.")</f>
        <v>222.47139721949569</v>
      </c>
      <c r="I24" s="71">
        <f>IFERROR((I23-D23)*10000,"n.a.")</f>
        <v>237.20578756809746</v>
      </c>
      <c r="J24" s="72">
        <f>IFERROR((J23-E23)*10000,"n.a.")</f>
        <v>179.57219836381293</v>
      </c>
      <c r="K24" s="14"/>
    </row>
    <row r="25">
      <c r="A25" s="1"/>
      <c r="B25" s="48" t="s">
        <v>95</v>
      </c>
      <c r="C25" s="71" t="s">
        <v>64</v>
      </c>
      <c r="D25" s="71">
        <f>IFERROR((D23-C23)*10000,"n.a.")</f>
        <v>29.272471553185714</v>
      </c>
      <c r="E25" s="71">
        <f>IFERROR((E23-D23)*10000,"n.a.")</f>
        <v>67.88532829541755</v>
      </c>
      <c r="F25" s="71">
        <f>IFERROR((F23-E23)*10000,"n.a.")</f>
        <v>12.660846710587787</v>
      </c>
      <c r="G25" s="71" t="s">
        <v>64</v>
      </c>
      <c r="H25" s="71">
        <f>IFERROR((H23-F23)*10000,"n.a.")</f>
        <v>112.65275066030463</v>
      </c>
      <c r="I25" s="71">
        <f>IFERROR((I23-H23)*10000,"n.a.")</f>
        <v>44.00686190178749</v>
      </c>
      <c r="J25" s="72">
        <f>IFERROR((J23-I23)*10000,"n.a.")</f>
        <v>10.251739091133027</v>
      </c>
      <c r="K25" s="14"/>
    </row>
    <row r="26" ht="14.624267578125">
      <c r="A26" s="1"/>
      <c r="B26" s="13" t="s">
        <v>84</v>
      </c>
      <c r="C26" s="24">
        <v>186</v>
      </c>
      <c r="D26" s="24">
        <v>183</v>
      </c>
      <c r="E26" s="24">
        <v>215</v>
      </c>
      <c r="F26" s="24">
        <v>277</v>
      </c>
      <c r="G26" s="2">
        <f>SUM(C26:F26)</f>
        <v>861</v>
      </c>
      <c r="H26" s="24">
        <v>160</v>
      </c>
      <c r="I26" s="24">
        <v>404</v>
      </c>
      <c r="J26" s="26">
        <f>J33+J29</f>
        <v>214</v>
      </c>
      <c r="K26" s="14" t="s">
        <v>335</v>
      </c>
    </row>
    <row r="27" ht="23.24853515625">
      <c r="A27" s="1"/>
      <c r="B27" s="37" t="s">
        <v>63</v>
      </c>
      <c r="C27" s="25" t="s">
        <v>64</v>
      </c>
      <c r="D27" s="25" t="s">
        <v>64</v>
      </c>
      <c r="E27" s="25" t="s">
        <v>64</v>
      </c>
      <c r="F27" s="25" t="s">
        <v>64</v>
      </c>
      <c r="G27" s="25" t="s">
        <v>64</v>
      </c>
      <c r="H27" s="25">
        <f>IFERROR(H26/C26-1,"n.a.")</f>
        <v>-0.13978494623655913</v>
      </c>
      <c r="I27" s="25">
        <f>IFERROR(I26/D26-1,"n.a.")</f>
        <v>1.2076502732240435</v>
      </c>
      <c r="J27" s="51">
        <f>IFERROR(J26/E26-1,"n.a.")</f>
        <v>-0.0046511627906976605</v>
      </c>
      <c r="K27" s="14"/>
    </row>
    <row r="28" ht="23.24853515625">
      <c r="A28" s="1"/>
      <c r="B28" s="48" t="s">
        <v>78</v>
      </c>
      <c r="C28" s="2" t="s">
        <v>64</v>
      </c>
      <c r="D28" s="2">
        <f>IFERROR(D26-C26,"n.a.")</f>
        <v>-3</v>
      </c>
      <c r="E28" s="2">
        <f>IFERROR(E26-D26,"n.a.")</f>
        <v>32</v>
      </c>
      <c r="F28" s="2">
        <f>IFERROR(F26-E26,"n.a.")</f>
        <v>62</v>
      </c>
      <c r="G28" s="2" t="s">
        <v>64</v>
      </c>
      <c r="H28" s="2">
        <f>IFERROR(H26-F26,"n.a.")</f>
        <v>-117</v>
      </c>
      <c r="I28" s="2">
        <f>IFERROR(I26-H26,"n.a.")</f>
        <v>244</v>
      </c>
      <c r="J28" s="26">
        <f>IFERROR(J26-I26,"n.a.")</f>
        <v>-190</v>
      </c>
      <c r="K28" s="14"/>
    </row>
    <row r="29" ht="23.24853515625">
      <c r="A29" s="1"/>
      <c r="B29" s="63" t="s">
        <v>336</v>
      </c>
      <c r="C29" s="24">
        <v>0</v>
      </c>
      <c r="D29" s="24">
        <v>0</v>
      </c>
      <c r="E29" s="24">
        <v>0</v>
      </c>
      <c r="F29" s="24">
        <v>0</v>
      </c>
      <c r="G29" s="2">
        <f>SUM(C29:F29)</f>
        <v>0</v>
      </c>
      <c r="H29" s="24">
        <v>0</v>
      </c>
      <c r="I29" s="24">
        <v>225</v>
      </c>
      <c r="J29" s="39">
        <v>0</v>
      </c>
      <c r="K29" s="14" t="s">
        <v>337</v>
      </c>
    </row>
    <row r="30">
      <c r="A30" s="1"/>
      <c r="B30" s="37" t="s">
        <v>63</v>
      </c>
      <c r="C30" s="25" t="s">
        <v>64</v>
      </c>
      <c r="D30" s="25" t="s">
        <v>64</v>
      </c>
      <c r="E30" s="25" t="s">
        <v>64</v>
      </c>
      <c r="F30" s="25" t="s">
        <v>64</v>
      </c>
      <c r="G30" s="25" t="s">
        <v>64</v>
      </c>
      <c r="H30" s="25" t="str">
        <f>IFERROR(H29/C29-1,"n.a.")</f>
        <v>n.a.</v>
      </c>
      <c r="I30" s="25" t="str">
        <f>IFERROR(I29/D29-1,"n.a.")</f>
        <v>n.a.</v>
      </c>
      <c r="J30" s="51" t="str">
        <f>IFERROR(J29/E29-1,"n.a.")</f>
        <v>n.a.</v>
      </c>
      <c r="K30" s="14"/>
    </row>
    <row r="31">
      <c r="A31" s="1"/>
      <c r="B31" s="48" t="s">
        <v>78</v>
      </c>
      <c r="C31" s="2" t="s">
        <v>64</v>
      </c>
      <c r="D31" s="2">
        <f>IFERROR(D29-C29,"n.a.")</f>
        <v>0</v>
      </c>
      <c r="E31" s="2">
        <f>IFERROR(E29-D29,"n.a.")</f>
        <v>0</v>
      </c>
      <c r="F31" s="2">
        <f>IFERROR(F29-E29,"n.a.")</f>
        <v>0</v>
      </c>
      <c r="G31" s="2" t="s">
        <v>64</v>
      </c>
      <c r="H31" s="2">
        <f>IFERROR(H29-F29,"n.a.")</f>
        <v>0</v>
      </c>
      <c r="I31" s="2">
        <f>IFERROR(I29-H29,"n.a.")</f>
        <v>225</v>
      </c>
      <c r="J31" s="26">
        <f>IFERROR(J29-I29,"n.a.")</f>
        <v>-225</v>
      </c>
      <c r="K31" s="14"/>
    </row>
    <row r="32" ht="23.24853515625">
      <c r="A32" s="1"/>
      <c r="B32" s="63" t="s">
        <v>338</v>
      </c>
      <c r="C32" s="2" t="s">
        <v>64</v>
      </c>
      <c r="D32" s="2" t="s">
        <v>64</v>
      </c>
      <c r="E32" s="2" t="s">
        <v>64</v>
      </c>
      <c r="F32" s="2" t="s">
        <v>64</v>
      </c>
      <c r="G32" s="2" t="s">
        <v>64</v>
      </c>
      <c r="H32" s="2" t="s">
        <v>64</v>
      </c>
      <c r="I32" s="2" t="s">
        <v>64</v>
      </c>
      <c r="J32" s="39">
        <v>35</v>
      </c>
      <c r="K32" s="14" t="s">
        <v>339</v>
      </c>
    </row>
    <row r="33" ht="23.24853515625">
      <c r="A33" s="1"/>
      <c r="B33" s="63" t="s">
        <v>340</v>
      </c>
      <c r="C33" s="2">
        <f>C26-C29</f>
        <v>186</v>
      </c>
      <c r="D33" s="2">
        <f>D26-D29</f>
        <v>183</v>
      </c>
      <c r="E33" s="2">
        <f>E26-E29</f>
        <v>215</v>
      </c>
      <c r="F33" s="2">
        <f>F26-F29</f>
        <v>277</v>
      </c>
      <c r="G33" s="2">
        <f>SUM(C33:F33)</f>
        <v>861</v>
      </c>
      <c r="H33" s="2">
        <f>H26-H29</f>
        <v>160</v>
      </c>
      <c r="I33" s="2">
        <f>I26-I29</f>
        <v>179</v>
      </c>
      <c r="J33" s="26">
        <f>I33+J32</f>
        <v>214</v>
      </c>
      <c r="K33" s="14" t="s">
        <v>341</v>
      </c>
    </row>
    <row r="34">
      <c r="A34" s="1"/>
      <c r="B34" s="37" t="s">
        <v>63</v>
      </c>
      <c r="C34" s="25" t="s">
        <v>64</v>
      </c>
      <c r="D34" s="25" t="s">
        <v>64</v>
      </c>
      <c r="E34" s="25" t="s">
        <v>64</v>
      </c>
      <c r="F34" s="25" t="s">
        <v>64</v>
      </c>
      <c r="G34" s="25" t="s">
        <v>64</v>
      </c>
      <c r="H34" s="25">
        <f>IFERROR(H33/C33-1,"n.a.")</f>
        <v>-0.13978494623655913</v>
      </c>
      <c r="I34" s="25">
        <f>IFERROR(I33/D33-1,"n.a.")</f>
        <v>-0.021857923497267784</v>
      </c>
      <c r="J34" s="51">
        <f>IFERROR(J33/E33-1,"n.a.")</f>
        <v>-0.0046511627906976605</v>
      </c>
      <c r="K34" s="14"/>
    </row>
    <row r="35">
      <c r="A35" s="1"/>
      <c r="B35" s="48" t="s">
        <v>78</v>
      </c>
      <c r="C35" s="2" t="s">
        <v>64</v>
      </c>
      <c r="D35" s="2">
        <f>IFERROR(D33-C33,"n.a.")</f>
        <v>-3</v>
      </c>
      <c r="E35" s="2">
        <f>IFERROR(E33-D33,"n.a.")</f>
        <v>32</v>
      </c>
      <c r="F35" s="2">
        <f>IFERROR(F33-E33,"n.a.")</f>
        <v>62</v>
      </c>
      <c r="G35" s="2" t="s">
        <v>64</v>
      </c>
      <c r="H35" s="2">
        <f>IFERROR(H33-F33,"n.a.")</f>
        <v>-117</v>
      </c>
      <c r="I35" s="2">
        <f>IFERROR(I33-H33,"n.a.")</f>
        <v>19</v>
      </c>
      <c r="J35" s="26">
        <f>IFERROR(J33-I33,"n.a.")</f>
        <v>35</v>
      </c>
      <c r="K35" s="14"/>
    </row>
    <row r="36">
      <c r="A36" s="1"/>
      <c r="B36" s="20" t="s">
        <v>136</v>
      </c>
      <c r="C36" s="16">
        <f>C20+C26</f>
        <v>864</v>
      </c>
      <c r="D36" s="16">
        <f>D20+D26</f>
        <v>823</v>
      </c>
      <c r="E36" s="16">
        <f>E20+E26</f>
        <v>941</v>
      </c>
      <c r="F36" s="16">
        <f>F20+F26</f>
        <v>1053</v>
      </c>
      <c r="G36" s="16">
        <f>SUM(C36:F36)</f>
        <v>3681</v>
      </c>
      <c r="H36" s="16">
        <f>H20+H26</f>
        <v>983</v>
      </c>
      <c r="I36" s="16">
        <f>I20+I26</f>
        <v>1136</v>
      </c>
      <c r="J36" s="65">
        <f>J20+J26</f>
        <v>952.3346550136987</v>
      </c>
      <c r="K36" s="14"/>
    </row>
    <row r="37">
      <c r="A37" s="1"/>
      <c r="B37" s="37" t="s">
        <v>63</v>
      </c>
      <c r="C37" s="25" t="s">
        <v>64</v>
      </c>
      <c r="D37" s="25" t="s">
        <v>64</v>
      </c>
      <c r="E37" s="25" t="s">
        <v>64</v>
      </c>
      <c r="F37" s="25" t="s">
        <v>64</v>
      </c>
      <c r="G37" s="25" t="s">
        <v>64</v>
      </c>
      <c r="H37" s="25">
        <f>IFERROR(H36/C36-1,"n.a.")</f>
        <v>0.1377314814814814</v>
      </c>
      <c r="I37" s="25">
        <f>IFERROR(I36/D36-1,"n.a.")</f>
        <v>0.38031591737545556</v>
      </c>
      <c r="J37" s="51">
        <f>IFERROR(J36/E36-1,"n.a.")</f>
        <v>0.01204532945132697</v>
      </c>
      <c r="K37" s="14"/>
    </row>
    <row r="38">
      <c r="A38" s="1"/>
      <c r="B38" s="37" t="s">
        <v>65</v>
      </c>
      <c r="C38" s="25" t="s">
        <v>64</v>
      </c>
      <c r="D38" s="25">
        <f>IFERROR(D36/C36-1,"n.a.")</f>
        <v>-0.04745370370370372</v>
      </c>
      <c r="E38" s="25">
        <f>IFERROR(E36/D36-1,"n.a.")</f>
        <v>0.14337788578371802</v>
      </c>
      <c r="F38" s="25">
        <f>IFERROR(F36/E36-1,"n.a.")</f>
        <v>0.11902231668437824</v>
      </c>
      <c r="G38" s="25" t="s">
        <v>64</v>
      </c>
      <c r="H38" s="25">
        <f>IFERROR(H36/F36-1,"n.a.")</f>
        <v>-0.06647673314339986</v>
      </c>
      <c r="I38" s="25">
        <f>IFERROR(I36/H36-1,"n.a.")</f>
        <v>0.15564598168870813</v>
      </c>
      <c r="J38" s="51">
        <f>IFERROR(J36/I36-1,"n.a.")</f>
        <v>-0.16167724030484265</v>
      </c>
      <c r="K38" s="14"/>
    </row>
    <row r="39">
      <c r="A39" s="1"/>
      <c r="B39" s="48" t="s">
        <v>78</v>
      </c>
      <c r="C39" s="2" t="s">
        <v>64</v>
      </c>
      <c r="D39" s="2">
        <f>IFERROR(D36-C36,"n.a.")</f>
        <v>-41</v>
      </c>
      <c r="E39" s="2">
        <f>IFERROR(E36-D36,"n.a.")</f>
        <v>118</v>
      </c>
      <c r="F39" s="2">
        <f>IFERROR(F36-E36,"n.a.")</f>
        <v>112</v>
      </c>
      <c r="G39" s="2" t="s">
        <v>64</v>
      </c>
      <c r="H39" s="2">
        <f>IFERROR(H36-F36,"n.a.")</f>
        <v>-70</v>
      </c>
      <c r="I39" s="2">
        <f>IFERROR(I36-H36,"n.a.")</f>
        <v>153</v>
      </c>
      <c r="J39" s="26">
        <f>IFERROR(J36-I36,"n.a.")</f>
        <v>-183.6653449863013</v>
      </c>
      <c r="K39" s="14"/>
    </row>
    <row r="40" ht="14.624267578125">
      <c r="A40" s="1"/>
      <c r="B40" s="18"/>
      <c r="C40" s="19"/>
      <c r="D40" s="19"/>
      <c r="E40" s="19"/>
      <c r="F40" s="19"/>
      <c r="G40" s="19"/>
      <c r="H40" s="19"/>
      <c r="I40" s="19"/>
      <c r="J40" s="27"/>
      <c r="K40" s="14"/>
    </row>
    <row r="41" ht="14.624267578125">
      <c r="A41" s="1"/>
      <c r="B41" s="20" t="s">
        <v>145</v>
      </c>
      <c r="C41" s="32"/>
      <c r="D41" s="32"/>
      <c r="E41" s="32"/>
      <c r="F41" s="32"/>
      <c r="G41" s="32"/>
      <c r="H41" s="32"/>
      <c r="I41" s="32"/>
      <c r="J41" s="28"/>
      <c r="K41" s="14"/>
    </row>
    <row r="42" ht="14.624267578125">
      <c r="A42" s="1"/>
      <c r="B42" s="63" t="s">
        <v>146</v>
      </c>
      <c r="C42" s="2" t="s">
        <v>64</v>
      </c>
      <c r="D42" s="2" t="s">
        <v>64</v>
      </c>
      <c r="E42" s="2" t="s">
        <v>64</v>
      </c>
      <c r="F42" s="2" t="s">
        <v>64</v>
      </c>
      <c r="G42" s="2" t="s">
        <v>64</v>
      </c>
      <c r="H42" s="2" t="s">
        <v>64</v>
      </c>
      <c r="I42" s="2" t="s">
        <v>64</v>
      </c>
      <c r="J42" s="39">
        <v>-455</v>
      </c>
      <c r="K42" s="14" t="s">
        <v>342</v>
      </c>
    </row>
    <row r="43" ht="14.624267578125">
      <c r="A43" s="1"/>
      <c r="B43" s="63" t="s">
        <v>148</v>
      </c>
      <c r="C43" s="2" t="s">
        <v>64</v>
      </c>
      <c r="D43" s="2" t="s">
        <v>64</v>
      </c>
      <c r="E43" s="2" t="s">
        <v>64</v>
      </c>
      <c r="F43" s="2" t="s">
        <v>64</v>
      </c>
      <c r="G43" s="2" t="s">
        <v>64</v>
      </c>
      <c r="H43" s="2" t="s">
        <v>64</v>
      </c>
      <c r="I43" s="2" t="s">
        <v>64</v>
      </c>
      <c r="J43" s="39">
        <v>-15</v>
      </c>
      <c r="K43" s="14" t="s">
        <v>149</v>
      </c>
    </row>
    <row r="44">
      <c r="A44" s="1"/>
      <c r="B44" s="18" t="s">
        <v>150</v>
      </c>
      <c r="C44" s="24">
        <v>-407</v>
      </c>
      <c r="D44" s="24">
        <v>-396</v>
      </c>
      <c r="E44" s="24">
        <v>-407</v>
      </c>
      <c r="F44" s="24">
        <v>-427</v>
      </c>
      <c r="G44" s="2">
        <f>SUM(C44:F44)</f>
        <v>-1637</v>
      </c>
      <c r="H44" s="24">
        <v>-380</v>
      </c>
      <c r="I44" s="24">
        <v>-442</v>
      </c>
      <c r="J44" s="26">
        <f>J42+J43</f>
        <v>-470</v>
      </c>
      <c r="K44" s="14" t="s">
        <v>128</v>
      </c>
    </row>
    <row r="45">
      <c r="A45" s="1"/>
      <c r="B45" s="37" t="s">
        <v>63</v>
      </c>
      <c r="C45" s="25" t="s">
        <v>64</v>
      </c>
      <c r="D45" s="25" t="s">
        <v>64</v>
      </c>
      <c r="E45" s="25" t="s">
        <v>64</v>
      </c>
      <c r="F45" s="25" t="s">
        <v>64</v>
      </c>
      <c r="G45" s="25" t="s">
        <v>64</v>
      </c>
      <c r="H45" s="25">
        <f>IFERROR(H44/C44-1,"n.a.")</f>
        <v>-0.06633906633906639</v>
      </c>
      <c r="I45" s="25">
        <f>IFERROR(I44/D44-1,"n.a.")</f>
        <v>0.11616161616161613</v>
      </c>
      <c r="J45" s="51">
        <f>IFERROR(J44/E44-1,"n.a.")</f>
        <v>0.15479115479115468</v>
      </c>
      <c r="K45" s="14"/>
    </row>
    <row r="46">
      <c r="A46" s="1"/>
      <c r="B46" s="48" t="s">
        <v>78</v>
      </c>
      <c r="C46" s="2" t="s">
        <v>64</v>
      </c>
      <c r="D46" s="2">
        <f>IFERROR(D44-C44,"n.a.")</f>
        <v>11</v>
      </c>
      <c r="E46" s="2">
        <f>IFERROR(E44-D44,"n.a.")</f>
        <v>-11</v>
      </c>
      <c r="F46" s="2">
        <f>IFERROR(F44-E44,"n.a.")</f>
        <v>-20</v>
      </c>
      <c r="G46" s="2" t="s">
        <v>64</v>
      </c>
      <c r="H46" s="2">
        <f>IFERROR(H44-F44,"n.a.")</f>
        <v>47</v>
      </c>
      <c r="I46" s="2">
        <f>IFERROR(I44-H44,"n.a.")</f>
        <v>-62</v>
      </c>
      <c r="J46" s="26">
        <f>IFERROR(J44-I44,"n.a.")</f>
        <v>-28</v>
      </c>
      <c r="K46" s="14"/>
    </row>
    <row r="47">
      <c r="A47" s="1"/>
      <c r="B47" s="18" t="s">
        <v>151</v>
      </c>
      <c r="C47" s="24">
        <v>0</v>
      </c>
      <c r="D47" s="24">
        <v>0</v>
      </c>
      <c r="E47" s="24">
        <v>0</v>
      </c>
      <c r="F47" s="24">
        <v>0</v>
      </c>
      <c r="G47" s="2">
        <f>SUM(C47:F47)</f>
        <v>0</v>
      </c>
      <c r="H47" s="24">
        <v>0</v>
      </c>
      <c r="I47" s="24">
        <v>0</v>
      </c>
      <c r="J47" s="39">
        <v>0</v>
      </c>
      <c r="K47" s="14" t="s">
        <v>152</v>
      </c>
    </row>
    <row r="48">
      <c r="A48" s="1"/>
      <c r="B48" s="18" t="s">
        <v>153</v>
      </c>
      <c r="C48" s="24">
        <v>-3</v>
      </c>
      <c r="D48" s="24">
        <v>0</v>
      </c>
      <c r="E48" s="24">
        <v>0</v>
      </c>
      <c r="F48" s="24">
        <v>-5</v>
      </c>
      <c r="G48" s="2">
        <f>SUM(C48:F48)</f>
        <v>-8</v>
      </c>
      <c r="H48" s="24">
        <v>0</v>
      </c>
      <c r="I48" s="24">
        <v>-2</v>
      </c>
      <c r="J48" s="39">
        <v>-2</v>
      </c>
      <c r="K48" s="14" t="s">
        <v>154</v>
      </c>
    </row>
    <row r="49">
      <c r="A49" s="1"/>
      <c r="B49" s="20" t="s">
        <v>155</v>
      </c>
      <c r="C49" s="16">
        <f>C44+C47+C48</f>
        <v>-410</v>
      </c>
      <c r="D49" s="16">
        <f>D44+D47+D48</f>
        <v>-396</v>
      </c>
      <c r="E49" s="16">
        <f>E44+E47+E48</f>
        <v>-407</v>
      </c>
      <c r="F49" s="16">
        <f>F44+F47+F48</f>
        <v>-432</v>
      </c>
      <c r="G49" s="16">
        <f>SUM(C49:F49)</f>
        <v>-1645</v>
      </c>
      <c r="H49" s="16">
        <f>H44+H47+H48</f>
        <v>-380</v>
      </c>
      <c r="I49" s="16">
        <f>I44+I47+I48</f>
        <v>-444</v>
      </c>
      <c r="J49" s="65">
        <f>J44+J47+J48</f>
        <v>-472</v>
      </c>
      <c r="K49" s="14"/>
    </row>
    <row r="50">
      <c r="A50" s="1"/>
      <c r="B50" s="37" t="s">
        <v>63</v>
      </c>
      <c r="C50" s="25" t="s">
        <v>64</v>
      </c>
      <c r="D50" s="25" t="s">
        <v>64</v>
      </c>
      <c r="E50" s="25" t="s">
        <v>64</v>
      </c>
      <c r="F50" s="25" t="s">
        <v>64</v>
      </c>
      <c r="G50" s="25" t="s">
        <v>64</v>
      </c>
      <c r="H50" s="25">
        <f>IFERROR(H49/C49-1,"n.a.")</f>
        <v>-0.07317073170731703</v>
      </c>
      <c r="I50" s="25">
        <f>IFERROR(I49/D49-1,"n.a.")</f>
        <v>0.1212121212121211</v>
      </c>
      <c r="J50" s="51">
        <f>IFERROR(J49/E49-1,"n.a.")</f>
        <v>0.15970515970515975</v>
      </c>
      <c r="K50" s="14"/>
    </row>
    <row r="51">
      <c r="A51" s="1"/>
      <c r="B51" s="48" t="s">
        <v>78</v>
      </c>
      <c r="C51" s="2" t="s">
        <v>64</v>
      </c>
      <c r="D51" s="2">
        <f>IFERROR(D49-C49,"n.a.")</f>
        <v>14</v>
      </c>
      <c r="E51" s="2">
        <f>IFERROR(E49-D49,"n.a.")</f>
        <v>-11</v>
      </c>
      <c r="F51" s="2">
        <f>IFERROR(F49-E49,"n.a.")</f>
        <v>-25</v>
      </c>
      <c r="G51" s="2" t="s">
        <v>64</v>
      </c>
      <c r="H51" s="2">
        <f>IFERROR(H49-F49,"n.a.")</f>
        <v>52</v>
      </c>
      <c r="I51" s="2">
        <f>IFERROR(I49-H49,"n.a.")</f>
        <v>-64</v>
      </c>
      <c r="J51" s="26">
        <f>IFERROR(J49-I49,"n.a.")</f>
        <v>-28</v>
      </c>
      <c r="K51" s="14"/>
    </row>
    <row r="52">
      <c r="A52" s="1"/>
      <c r="B52" s="18" t="s">
        <v>156</v>
      </c>
      <c r="C52" s="24">
        <v>0</v>
      </c>
      <c r="D52" s="24">
        <v>0</v>
      </c>
      <c r="E52" s="24">
        <v>0</v>
      </c>
      <c r="F52" s="24">
        <v>0</v>
      </c>
      <c r="G52" s="2">
        <f>SUM(C52:F52)</f>
        <v>0</v>
      </c>
      <c r="H52" s="24">
        <v>0</v>
      </c>
      <c r="I52" s="24">
        <v>0</v>
      </c>
      <c r="J52" s="39">
        <v>0</v>
      </c>
      <c r="K52" s="14"/>
    </row>
    <row r="53">
      <c r="A53" s="1"/>
      <c r="B53" s="20" t="s">
        <v>157</v>
      </c>
      <c r="C53" s="16">
        <f>C36+C49+C52</f>
        <v>454</v>
      </c>
      <c r="D53" s="16">
        <f>D36+D49+D52</f>
        <v>427</v>
      </c>
      <c r="E53" s="16">
        <f>E36+E49+E52</f>
        <v>534</v>
      </c>
      <c r="F53" s="16">
        <f>F36+F49+F52</f>
        <v>621</v>
      </c>
      <c r="G53" s="16">
        <f>SUM(C53:F53)</f>
        <v>2036</v>
      </c>
      <c r="H53" s="16">
        <f>H36+H49+H52</f>
        <v>603</v>
      </c>
      <c r="I53" s="16">
        <f>I36+I49+I52</f>
        <v>692</v>
      </c>
      <c r="J53" s="65">
        <f>J36+J49+J52</f>
        <v>480.3346550136987</v>
      </c>
      <c r="K53" s="14"/>
    </row>
    <row r="54">
      <c r="A54" s="1"/>
      <c r="B54" s="37" t="s">
        <v>63</v>
      </c>
      <c r="C54" s="25" t="s">
        <v>64</v>
      </c>
      <c r="D54" s="25" t="s">
        <v>64</v>
      </c>
      <c r="E54" s="25" t="s">
        <v>64</v>
      </c>
      <c r="F54" s="25" t="s">
        <v>64</v>
      </c>
      <c r="G54" s="25" t="s">
        <v>64</v>
      </c>
      <c r="H54" s="25">
        <f>IFERROR(H53/C53-1,"n.a.")</f>
        <v>0.32819383259911894</v>
      </c>
      <c r="I54" s="25">
        <f>IFERROR(I53/D53-1,"n.a.")</f>
        <v>0.6206088992974239</v>
      </c>
      <c r="J54" s="51">
        <f>IFERROR(J53/E53-1,"n.a.")</f>
        <v>-0.10049690072341066</v>
      </c>
      <c r="K54" s="14"/>
    </row>
    <row r="55">
      <c r="A55" s="1"/>
      <c r="B55" s="48" t="s">
        <v>78</v>
      </c>
      <c r="C55" s="2" t="s">
        <v>64</v>
      </c>
      <c r="D55" s="2">
        <f>IFERROR(D53-C53,"n.a.")</f>
        <v>-27</v>
      </c>
      <c r="E55" s="2">
        <f>IFERROR(E53-D53,"n.a.")</f>
        <v>107</v>
      </c>
      <c r="F55" s="2">
        <f>IFERROR(F53-E53,"n.a.")</f>
        <v>87</v>
      </c>
      <c r="G55" s="2" t="s">
        <v>64</v>
      </c>
      <c r="H55" s="2">
        <f>IFERROR(H53-F53,"n.a.")</f>
        <v>-18</v>
      </c>
      <c r="I55" s="2">
        <f>IFERROR(I53-H53,"n.a.")</f>
        <v>89</v>
      </c>
      <c r="J55" s="26">
        <f>IFERROR(J53-I53,"n.a.")</f>
        <v>-211.6653449863013</v>
      </c>
      <c r="K55" s="14"/>
    </row>
    <row r="56" ht="23.24853515625">
      <c r="A56" s="1"/>
      <c r="B56" s="18"/>
      <c r="C56" s="19"/>
      <c r="D56" s="19"/>
      <c r="E56" s="19"/>
      <c r="F56" s="19"/>
      <c r="G56" s="19"/>
      <c r="H56" s="19"/>
      <c r="I56" s="19"/>
      <c r="J56" s="27"/>
      <c r="K56" s="14"/>
    </row>
    <row r="57">
      <c r="A57" s="1"/>
      <c r="B57" s="20" t="s">
        <v>158</v>
      </c>
      <c r="C57" s="32"/>
      <c r="D57" s="32"/>
      <c r="E57" s="32"/>
      <c r="F57" s="32"/>
      <c r="G57" s="32"/>
      <c r="H57" s="32"/>
      <c r="I57" s="32"/>
      <c r="J57" s="28"/>
      <c r="K57" s="14"/>
    </row>
    <row r="58" ht="23.24853515625">
      <c r="A58" s="1"/>
      <c r="B58" s="63" t="s">
        <v>343</v>
      </c>
      <c r="C58" s="45" t="s">
        <v>64</v>
      </c>
      <c r="D58" s="45" t="s">
        <v>64</v>
      </c>
      <c r="E58" s="45" t="s">
        <v>64</v>
      </c>
      <c r="F58" s="45" t="s">
        <v>64</v>
      </c>
      <c r="G58" s="45" t="s">
        <v>64</v>
      </c>
      <c r="H58" s="45" t="s">
        <v>64</v>
      </c>
      <c r="I58" s="45" t="s">
        <v>64</v>
      </c>
      <c r="J58" s="90">
        <v>0.064</v>
      </c>
      <c r="K58" s="14" t="s">
        <v>344</v>
      </c>
    </row>
    <row r="59">
      <c r="A59" s="1"/>
      <c r="B59" s="20" t="s">
        <v>164</v>
      </c>
      <c r="C59" s="62">
        <v>-399</v>
      </c>
      <c r="D59" s="62">
        <v>-312</v>
      </c>
      <c r="E59" s="62">
        <v>-379</v>
      </c>
      <c r="F59" s="62">
        <v>-431</v>
      </c>
      <c r="G59" s="38">
        <f>SUM(C59:F59)</f>
        <v>-1521</v>
      </c>
      <c r="H59" s="62">
        <v>-367</v>
      </c>
      <c r="I59" s="62">
        <v>-346</v>
      </c>
      <c r="J59" s="23">
        <f>-J77*1000*J58*J$7/365</f>
        <v>-352.6791013698631</v>
      </c>
      <c r="K59" s="14" t="s">
        <v>128</v>
      </c>
    </row>
    <row r="60">
      <c r="A60" s="1"/>
      <c r="B60" s="37" t="s">
        <v>63</v>
      </c>
      <c r="C60" s="25" t="s">
        <v>64</v>
      </c>
      <c r="D60" s="25" t="s">
        <v>64</v>
      </c>
      <c r="E60" s="25" t="s">
        <v>64</v>
      </c>
      <c r="F60" s="25" t="s">
        <v>64</v>
      </c>
      <c r="G60" s="25" t="s">
        <v>64</v>
      </c>
      <c r="H60" s="25">
        <f>IFERROR(H59/C59-1,"n.a.")</f>
        <v>-0.08020050125313283</v>
      </c>
      <c r="I60" s="25">
        <f>IFERROR(I59/D59-1,"n.a.")</f>
        <v>0.10897435897435903</v>
      </c>
      <c r="J60" s="51">
        <f>IFERROR(J59/E59-1,"n.a.")</f>
        <v>-0.06944828134600767</v>
      </c>
      <c r="K60" s="14"/>
    </row>
    <row r="61">
      <c r="A61" s="1"/>
      <c r="B61" s="48" t="s">
        <v>78</v>
      </c>
      <c r="C61" s="2" t="s">
        <v>64</v>
      </c>
      <c r="D61" s="2">
        <f>IFERROR(D59-C59,"n.a.")</f>
        <v>87</v>
      </c>
      <c r="E61" s="2">
        <f>IFERROR(E59-D59,"n.a.")</f>
        <v>-67</v>
      </c>
      <c r="F61" s="2">
        <f>IFERROR(F59-E59,"n.a.")</f>
        <v>-52</v>
      </c>
      <c r="G61" s="2" t="s">
        <v>64</v>
      </c>
      <c r="H61" s="2">
        <f>IFERROR(H59-F59,"n.a.")</f>
        <v>64</v>
      </c>
      <c r="I61" s="2">
        <f>IFERROR(I59-H59,"n.a.")</f>
        <v>21</v>
      </c>
      <c r="J61" s="26">
        <f>IFERROR(J59-I59,"n.a.")</f>
        <v>-6.679101369863076</v>
      </c>
      <c r="K61" s="14"/>
    </row>
    <row r="62">
      <c r="A62" s="1"/>
      <c r="B62" s="20" t="s">
        <v>165</v>
      </c>
      <c r="C62" s="16">
        <f>C53+C59</f>
        <v>55</v>
      </c>
      <c r="D62" s="16">
        <f>D53+D59</f>
        <v>115</v>
      </c>
      <c r="E62" s="16">
        <f>E53+E59</f>
        <v>155</v>
      </c>
      <c r="F62" s="16">
        <f>F53+F59</f>
        <v>190</v>
      </c>
      <c r="G62" s="16">
        <f>SUM(C62:F62)</f>
        <v>515</v>
      </c>
      <c r="H62" s="16">
        <f>H53+H59</f>
        <v>236</v>
      </c>
      <c r="I62" s="16">
        <f>I53+I59</f>
        <v>346</v>
      </c>
      <c r="J62" s="65">
        <f>J53+J59</f>
        <v>127.65555364383562</v>
      </c>
      <c r="K62" s="14"/>
    </row>
    <row r="63" ht="14.624267578125">
      <c r="A63" s="1"/>
      <c r="B63" s="37" t="s">
        <v>63</v>
      </c>
      <c r="C63" s="25" t="s">
        <v>64</v>
      </c>
      <c r="D63" s="25" t="s">
        <v>64</v>
      </c>
      <c r="E63" s="25" t="s">
        <v>64</v>
      </c>
      <c r="F63" s="25" t="s">
        <v>64</v>
      </c>
      <c r="G63" s="25" t="s">
        <v>64</v>
      </c>
      <c r="H63" s="25">
        <f>IFERROR(H62/C62-1,"n.a.")</f>
        <v>3.290909090909091</v>
      </c>
      <c r="I63" s="25">
        <f>IFERROR(I62/D62-1,"n.a.")</f>
        <v>2.008695652173913</v>
      </c>
      <c r="J63" s="51">
        <f>IFERROR(J62/E62-1,"n.a.")</f>
        <v>-0.17641578294299598</v>
      </c>
      <c r="K63" s="14"/>
    </row>
    <row r="64" ht="14.624267578125">
      <c r="A64" s="1"/>
      <c r="B64" s="48" t="s">
        <v>78</v>
      </c>
      <c r="C64" s="2" t="s">
        <v>64</v>
      </c>
      <c r="D64" s="2">
        <f>IFERROR(D62-C62,"n.a.")</f>
        <v>60</v>
      </c>
      <c r="E64" s="2">
        <f>IFERROR(E62-D62,"n.a.")</f>
        <v>40</v>
      </c>
      <c r="F64" s="2">
        <f>IFERROR(F62-E62,"n.a.")</f>
        <v>35</v>
      </c>
      <c r="G64" s="2" t="s">
        <v>64</v>
      </c>
      <c r="H64" s="2">
        <f>IFERROR(H62-F62,"n.a.")</f>
        <v>46</v>
      </c>
      <c r="I64" s="2">
        <f>IFERROR(I62-H62,"n.a.")</f>
        <v>110</v>
      </c>
      <c r="J64" s="26">
        <f>IFERROR(J62-I62,"n.a.")</f>
        <v>-218.34444635616438</v>
      </c>
      <c r="K64" s="14"/>
    </row>
    <row r="65" ht="14.624267578125">
      <c r="A65" s="1"/>
      <c r="B65" s="63" t="s">
        <v>166</v>
      </c>
      <c r="C65" s="24">
        <v>55</v>
      </c>
      <c r="D65" s="24">
        <v>115</v>
      </c>
      <c r="E65" s="24">
        <v>155</v>
      </c>
      <c r="F65" s="24">
        <v>190</v>
      </c>
      <c r="G65" s="2">
        <f>SUM(C65:F65)</f>
        <v>515</v>
      </c>
      <c r="H65" s="24">
        <v>236</v>
      </c>
      <c r="I65" s="24">
        <v>346</v>
      </c>
      <c r="J65" s="26" t="s">
        <v>64</v>
      </c>
      <c r="K65" s="14" t="s">
        <v>128</v>
      </c>
    </row>
    <row r="66" ht="14.624267578125">
      <c r="A66" s="1"/>
      <c r="B66" s="63" t="s">
        <v>167</v>
      </c>
      <c r="C66" s="2">
        <f>C62-C65</f>
        <v>0</v>
      </c>
      <c r="D66" s="2">
        <f>D62-D65</f>
        <v>0</v>
      </c>
      <c r="E66" s="2">
        <f>E62-E65</f>
        <v>0</v>
      </c>
      <c r="F66" s="2">
        <f>F62-F65</f>
        <v>0</v>
      </c>
      <c r="G66" s="2">
        <f>G62-G65</f>
        <v>0</v>
      </c>
      <c r="H66" s="2">
        <f>H62-H65</f>
        <v>0</v>
      </c>
      <c r="I66" s="2">
        <f>I62-I65</f>
        <v>0</v>
      </c>
      <c r="J66" s="26" t="s">
        <v>64</v>
      </c>
      <c r="K66" s="14"/>
    </row>
    <row r="67">
      <c r="A67" s="1"/>
      <c r="B67" s="18" t="s">
        <v>168</v>
      </c>
      <c r="C67" s="24">
        <v>41</v>
      </c>
      <c r="D67" s="24">
        <v>87</v>
      </c>
      <c r="E67" s="24">
        <v>118</v>
      </c>
      <c r="F67" s="24">
        <v>144</v>
      </c>
      <c r="G67" s="2">
        <f>SUM(C67:F67)</f>
        <v>390</v>
      </c>
      <c r="H67" s="24">
        <v>176</v>
      </c>
      <c r="I67" s="24">
        <v>253</v>
      </c>
      <c r="J67" s="26" t="s">
        <v>169</v>
      </c>
      <c r="K67" s="14" t="s">
        <v>170</v>
      </c>
    </row>
    <row r="68">
      <c r="A68" s="1"/>
      <c r="B68" s="37" t="s">
        <v>63</v>
      </c>
      <c r="C68" s="25" t="s">
        <v>64</v>
      </c>
      <c r="D68" s="25" t="s">
        <v>64</v>
      </c>
      <c r="E68" s="25" t="s">
        <v>64</v>
      </c>
      <c r="F68" s="25" t="s">
        <v>64</v>
      </c>
      <c r="G68" s="25" t="s">
        <v>64</v>
      </c>
      <c r="H68" s="25">
        <f>IFERROR(H67/C67-1,"n.a.")</f>
        <v>3.2926829268292686</v>
      </c>
      <c r="I68" s="25">
        <f>IFERROR(I67/D67-1,"n.a.")</f>
        <v>1.9080459770114944</v>
      </c>
      <c r="J68" s="51" t="str">
        <f>IFERROR(J67/E67-1,"n.a.")</f>
        <v>n.a.</v>
      </c>
      <c r="K68" s="14"/>
    </row>
    <row r="69">
      <c r="A69" s="1"/>
      <c r="B69" s="18"/>
      <c r="C69" s="19"/>
      <c r="D69" s="19"/>
      <c r="E69" s="19"/>
      <c r="F69" s="19"/>
      <c r="G69" s="19"/>
      <c r="H69" s="19"/>
      <c r="I69" s="19"/>
      <c r="J69" s="27"/>
      <c r="K69" s="14"/>
    </row>
    <row r="70" ht="23.24853515625">
      <c r="A70" s="1"/>
      <c r="B70" s="20" t="s">
        <v>171</v>
      </c>
      <c r="C70" s="32"/>
      <c r="D70" s="32"/>
      <c r="E70" s="32"/>
      <c r="F70" s="32"/>
      <c r="G70" s="32"/>
      <c r="H70" s="32"/>
      <c r="I70" s="32"/>
      <c r="J70" s="28"/>
      <c r="K70" s="14"/>
    </row>
    <row r="71">
      <c r="A71" s="1"/>
      <c r="B71" s="66" t="s">
        <v>222</v>
      </c>
      <c r="C71" s="25" t="s">
        <v>64</v>
      </c>
      <c r="D71" s="25" t="s">
        <v>64</v>
      </c>
      <c r="E71" s="25" t="s">
        <v>64</v>
      </c>
      <c r="F71" s="25" t="s">
        <v>64</v>
      </c>
      <c r="G71" s="25" t="s">
        <v>64</v>
      </c>
      <c r="H71" s="25" t="s">
        <v>64</v>
      </c>
      <c r="I71" s="25" t="s">
        <v>64</v>
      </c>
      <c r="J71" s="85">
        <v>0.015</v>
      </c>
      <c r="K71" s="14" t="s">
        <v>345</v>
      </c>
    </row>
    <row r="72">
      <c r="A72" s="1"/>
      <c r="B72" s="79" t="s">
        <v>224</v>
      </c>
      <c r="C72" s="2" t="s">
        <v>64</v>
      </c>
      <c r="D72" s="2">
        <f>C74</f>
        <v>18.8</v>
      </c>
      <c r="E72" s="2">
        <f>D74</f>
        <v>18.2</v>
      </c>
      <c r="F72" s="2">
        <f>E74</f>
        <v>20</v>
      </c>
      <c r="G72" s="2" t="s">
        <v>64</v>
      </c>
      <c r="H72" s="2">
        <f>F74</f>
        <v>21.1</v>
      </c>
      <c r="I72" s="2">
        <f>H74</f>
        <v>21</v>
      </c>
      <c r="J72" s="26">
        <f>I74</f>
        <v>21.7</v>
      </c>
      <c r="K72" s="14"/>
    </row>
    <row r="73" ht="14.624267578125">
      <c r="A73" s="1"/>
      <c r="B73" s="63" t="s">
        <v>225</v>
      </c>
      <c r="C73" s="2" t="s">
        <v>64</v>
      </c>
      <c r="D73" s="2">
        <f>D74-D72</f>
        <v>-0.6000000000000014</v>
      </c>
      <c r="E73" s="2">
        <f>E74-E72</f>
        <v>1.8000000000000007</v>
      </c>
      <c r="F73" s="2">
        <f>F74-F72</f>
        <v>1.1000000000000014</v>
      </c>
      <c r="G73" s="2" t="s">
        <v>64</v>
      </c>
      <c r="H73" s="2">
        <f>H74-H72</f>
        <v>-0.10000000000000142</v>
      </c>
      <c r="I73" s="2">
        <f>I74-I72</f>
        <v>0.6999999999999993</v>
      </c>
      <c r="J73" s="26">
        <f>J74-J72</f>
        <v>0.3254999999999981</v>
      </c>
      <c r="K73" s="14"/>
    </row>
    <row r="74" ht="23.24853515625">
      <c r="A74" s="1"/>
      <c r="B74" s="46" t="s">
        <v>226</v>
      </c>
      <c r="C74" s="62">
        <v>18.8</v>
      </c>
      <c r="D74" s="62">
        <v>18.2</v>
      </c>
      <c r="E74" s="62">
        <v>20</v>
      </c>
      <c r="F74" s="62">
        <v>21.1</v>
      </c>
      <c r="G74" s="38">
        <f>F74</f>
        <v>21.1</v>
      </c>
      <c r="H74" s="62">
        <v>21</v>
      </c>
      <c r="I74" s="62">
        <v>21.7</v>
      </c>
      <c r="J74" s="23">
        <f>I74*(1+J71)</f>
        <v>22.025499999999997</v>
      </c>
      <c r="K74" s="14" t="s">
        <v>346</v>
      </c>
    </row>
    <row r="75">
      <c r="A75" s="1"/>
      <c r="B75" s="37" t="s">
        <v>63</v>
      </c>
      <c r="C75" s="25" t="s">
        <v>64</v>
      </c>
      <c r="D75" s="25" t="s">
        <v>64</v>
      </c>
      <c r="E75" s="25" t="s">
        <v>64</v>
      </c>
      <c r="F75" s="25" t="s">
        <v>64</v>
      </c>
      <c r="G75" s="25" t="s">
        <v>64</v>
      </c>
      <c r="H75" s="25">
        <f>IFERROR(H74/C74-1,"n.a.")</f>
        <v>0.11702127659574457</v>
      </c>
      <c r="I75" s="25">
        <f>IFERROR(I74/D74-1,"n.a.")</f>
        <v>0.1923076923076923</v>
      </c>
      <c r="J75" s="51">
        <f>IFERROR(J74/E74-1,"n.a.")</f>
        <v>0.10127499999999978</v>
      </c>
      <c r="K75" s="14"/>
    </row>
    <row r="76">
      <c r="A76" s="1"/>
      <c r="B76" s="48" t="s">
        <v>78</v>
      </c>
      <c r="C76" s="2" t="s">
        <v>64</v>
      </c>
      <c r="D76" s="2">
        <f>IFERROR(D74-C74,"n.a.")</f>
        <v>-0.6000000000000014</v>
      </c>
      <c r="E76" s="2">
        <f>IFERROR(E74-D74,"n.a.")</f>
        <v>1.8000000000000007</v>
      </c>
      <c r="F76" s="2">
        <f>IFERROR(F74-E74,"n.a.")</f>
        <v>1.1000000000000014</v>
      </c>
      <c r="G76" s="2" t="s">
        <v>64</v>
      </c>
      <c r="H76" s="2">
        <f>IFERROR(H74-F74,"n.a.")</f>
        <v>-0.10000000000000142</v>
      </c>
      <c r="I76" s="2">
        <f>IFERROR(I74-H74,"n.a.")</f>
        <v>0.6999999999999993</v>
      </c>
      <c r="J76" s="26">
        <f>IFERROR(J74-I74,"n.a.")</f>
        <v>0.3254999999999981</v>
      </c>
      <c r="K76" s="14"/>
    </row>
    <row r="77">
      <c r="A77" s="1"/>
      <c r="B77" s="79" t="s">
        <v>227</v>
      </c>
      <c r="C77" s="2" t="s">
        <v>64</v>
      </c>
      <c r="D77" s="2">
        <f>AVERAGE(D72,D74)</f>
        <v>18.5</v>
      </c>
      <c r="E77" s="2">
        <f>AVERAGE(E72,E74)</f>
        <v>19.1</v>
      </c>
      <c r="F77" s="2">
        <f>AVERAGE(F72,F74)</f>
        <v>20.55</v>
      </c>
      <c r="G77" s="2" t="s">
        <v>64</v>
      </c>
      <c r="H77" s="2">
        <f>AVERAGE(H72,H74)</f>
        <v>21.05</v>
      </c>
      <c r="I77" s="2">
        <f>AVERAGE(I72,I74)</f>
        <v>21.35</v>
      </c>
      <c r="J77" s="26">
        <f>AVERAGE(J72,J74)</f>
        <v>21.86275</v>
      </c>
      <c r="K77" s="14"/>
    </row>
    <row r="78">
      <c r="A78" s="1"/>
      <c r="B78" s="37" t="s">
        <v>63</v>
      </c>
      <c r="C78" s="25" t="s">
        <v>64</v>
      </c>
      <c r="D78" s="25" t="s">
        <v>64</v>
      </c>
      <c r="E78" s="25" t="s">
        <v>64</v>
      </c>
      <c r="F78" s="25" t="s">
        <v>64</v>
      </c>
      <c r="G78" s="25" t="s">
        <v>64</v>
      </c>
      <c r="H78" s="25" t="str">
        <f>IFERROR(H77/C77-1,"n.a.")</f>
        <v>n.a.</v>
      </c>
      <c r="I78" s="25">
        <f>IFERROR(I77/D77-1,"n.a.")</f>
        <v>0.15405405405405403</v>
      </c>
      <c r="J78" s="51">
        <f>IFERROR(J77/E77-1,"n.a.")</f>
        <v>0.14464659685863857</v>
      </c>
      <c r="K78" s="14"/>
    </row>
    <row r="79">
      <c r="A79" s="1"/>
      <c r="B79" s="48" t="s">
        <v>78</v>
      </c>
      <c r="C79" s="2" t="s">
        <v>64</v>
      </c>
      <c r="D79" s="2" t="str">
        <f>IFERROR(D77-C77,"n.a.")</f>
        <v>n.a.</v>
      </c>
      <c r="E79" s="2">
        <f>IFERROR(E77-D77,"n.a.")</f>
        <v>0.6000000000000014</v>
      </c>
      <c r="F79" s="2">
        <f>IFERROR(F77-E77,"n.a.")</f>
        <v>1.4499999999999993</v>
      </c>
      <c r="G79" s="2" t="s">
        <v>64</v>
      </c>
      <c r="H79" s="2">
        <f>IFERROR(H77-F77,"n.a.")</f>
        <v>0.5</v>
      </c>
      <c r="I79" s="2">
        <f>IFERROR(I77-H77,"n.a.")</f>
        <v>0.3000000000000007</v>
      </c>
      <c r="J79" s="26">
        <f>IFERROR(J77-I77,"n.a.")</f>
        <v>0.5127499999999969</v>
      </c>
      <c r="K79" s="14"/>
    </row>
    <row r="80">
      <c r="A80" s="1"/>
      <c r="B80" s="66" t="s">
        <v>228</v>
      </c>
      <c r="C80" s="25" t="s">
        <v>64</v>
      </c>
      <c r="D80" s="25" t="s">
        <v>64</v>
      </c>
      <c r="E80" s="25" t="s">
        <v>64</v>
      </c>
      <c r="F80" s="25" t="s">
        <v>64</v>
      </c>
      <c r="G80" s="25" t="s">
        <v>64</v>
      </c>
      <c r="H80" s="25" t="s">
        <v>64</v>
      </c>
      <c r="I80" s="25" t="s">
        <v>64</v>
      </c>
      <c r="J80" s="85">
        <v>0</v>
      </c>
      <c r="K80" s="14" t="s">
        <v>186</v>
      </c>
    </row>
    <row r="81">
      <c r="A81" s="1"/>
      <c r="B81" s="20" t="s">
        <v>230</v>
      </c>
      <c r="C81" s="62">
        <v>23.8</v>
      </c>
      <c r="D81" s="62">
        <v>22.5</v>
      </c>
      <c r="E81" s="62">
        <v>23.7</v>
      </c>
      <c r="F81" s="62">
        <v>24.2</v>
      </c>
      <c r="G81" s="38">
        <f>F81</f>
        <v>24.2</v>
      </c>
      <c r="H81" s="62">
        <v>25</v>
      </c>
      <c r="I81" s="62">
        <v>24.7</v>
      </c>
      <c r="J81" s="23">
        <f>I81*(1+J80)</f>
        <v>24.7</v>
      </c>
      <c r="K81" s="14" t="s">
        <v>128</v>
      </c>
    </row>
    <row r="82">
      <c r="A82" s="1"/>
      <c r="B82" s="37" t="s">
        <v>63</v>
      </c>
      <c r="C82" s="25" t="s">
        <v>64</v>
      </c>
      <c r="D82" s="25" t="s">
        <v>64</v>
      </c>
      <c r="E82" s="25" t="s">
        <v>64</v>
      </c>
      <c r="F82" s="25" t="s">
        <v>64</v>
      </c>
      <c r="G82" s="25" t="s">
        <v>64</v>
      </c>
      <c r="H82" s="25">
        <f>IFERROR(H81/C81-1,"n.a.")</f>
        <v>0.050420168067226934</v>
      </c>
      <c r="I82" s="25">
        <f>IFERROR(I81/D81-1,"n.a.")</f>
        <v>0.09777777777777774</v>
      </c>
      <c r="J82" s="51">
        <f>IFERROR(J81/E81-1,"n.a.")</f>
        <v>0.04219409282700415</v>
      </c>
      <c r="K82" s="14"/>
    </row>
    <row r="83">
      <c r="A83" s="1"/>
      <c r="B83" s="48" t="s">
        <v>78</v>
      </c>
      <c r="C83" s="2" t="s">
        <v>64</v>
      </c>
      <c r="D83" s="2">
        <f>IFERROR(D81-C81,"n.a.")</f>
        <v>-1.3000000000000007</v>
      </c>
      <c r="E83" s="2">
        <f>IFERROR(E81-D81,"n.a.")</f>
        <v>1.1999999999999993</v>
      </c>
      <c r="F83" s="2">
        <f>IFERROR(F81-E81,"n.a.")</f>
        <v>0.5</v>
      </c>
      <c r="G83" s="2" t="s">
        <v>64</v>
      </c>
      <c r="H83" s="2">
        <f>IFERROR(H81-F81,"n.a.")</f>
        <v>0.8000000000000007</v>
      </c>
      <c r="I83" s="2">
        <f>IFERROR(I81-H81,"n.a.")</f>
        <v>-0.3000000000000007</v>
      </c>
      <c r="J83" s="26">
        <f>IFERROR(J81-I81,"n.a.")</f>
        <v>0</v>
      </c>
      <c r="K83" s="14"/>
    </row>
    <row r="84">
      <c r="A84" s="1"/>
      <c r="B84" s="18" t="s">
        <v>190</v>
      </c>
      <c r="C84" s="24">
        <v>25.6</v>
      </c>
      <c r="D84" s="24">
        <v>24.7</v>
      </c>
      <c r="E84" s="24">
        <v>25.8</v>
      </c>
      <c r="F84" s="24">
        <v>27.4</v>
      </c>
      <c r="G84" s="2">
        <f>F84</f>
        <v>27.4</v>
      </c>
      <c r="H84" s="24">
        <v>27.6</v>
      </c>
      <c r="I84" s="24">
        <v>24.3</v>
      </c>
      <c r="J84" s="26">
        <f>I84*(1+J71)</f>
        <v>24.664499999999997</v>
      </c>
      <c r="K84" s="14" t="s">
        <v>231</v>
      </c>
    </row>
    <row r="85">
      <c r="A85" s="1"/>
      <c r="B85" s="37" t="s">
        <v>63</v>
      </c>
      <c r="C85" s="25" t="s">
        <v>64</v>
      </c>
      <c r="D85" s="25" t="s">
        <v>64</v>
      </c>
      <c r="E85" s="25" t="s">
        <v>64</v>
      </c>
      <c r="F85" s="25" t="s">
        <v>64</v>
      </c>
      <c r="G85" s="25" t="s">
        <v>64</v>
      </c>
      <c r="H85" s="25">
        <f>IFERROR(H84/C84-1,"n.a.")</f>
        <v>0.078125</v>
      </c>
      <c r="I85" s="25">
        <f>IFERROR(I84/D84-1,"n.a.")</f>
        <v>-0.0161943319838056</v>
      </c>
      <c r="J85" s="51">
        <f>IFERROR(J84/E84-1,"n.a.")</f>
        <v>-0.04401162790697688</v>
      </c>
      <c r="K85" s="14"/>
    </row>
    <row r="86">
      <c r="A86" s="1"/>
      <c r="B86" s="48" t="s">
        <v>78</v>
      </c>
      <c r="C86" s="2" t="s">
        <v>64</v>
      </c>
      <c r="D86" s="2">
        <f>IFERROR(D84-C84,"n.a.")</f>
        <v>-0.9000000000000021</v>
      </c>
      <c r="E86" s="2">
        <f>IFERROR(E84-D84,"n.a.")</f>
        <v>1.1000000000000014</v>
      </c>
      <c r="F86" s="2">
        <f>IFERROR(F84-E84,"n.a.")</f>
        <v>1.5999999999999979</v>
      </c>
      <c r="G86" s="2" t="s">
        <v>64</v>
      </c>
      <c r="H86" s="2">
        <f>IFERROR(H84-F84,"n.a.")</f>
        <v>0.20000000000000284</v>
      </c>
      <c r="I86" s="2">
        <f>IFERROR(I84-H84,"n.a.")</f>
        <v>-3.3000000000000007</v>
      </c>
      <c r="J86" s="26">
        <f>IFERROR(J84-I84,"n.a.")</f>
        <v>0.36449999999999605</v>
      </c>
      <c r="K86" s="14"/>
    </row>
    <row r="87">
      <c r="A87" s="1"/>
      <c r="B87" s="18"/>
      <c r="C87" s="19"/>
      <c r="D87" s="19"/>
      <c r="E87" s="19"/>
      <c r="F87" s="19"/>
      <c r="G87" s="19"/>
      <c r="H87" s="19"/>
      <c r="I87" s="19"/>
      <c r="J87" s="27"/>
      <c r="K87" s="14"/>
    </row>
    <row r="88">
      <c r="A88" s="1"/>
      <c r="B88" s="20" t="s">
        <v>192</v>
      </c>
      <c r="C88" s="32"/>
      <c r="D88" s="32"/>
      <c r="E88" s="32"/>
      <c r="F88" s="32"/>
      <c r="G88" s="32"/>
      <c r="H88" s="32"/>
      <c r="I88" s="32"/>
      <c r="J88" s="28"/>
      <c r="K88" s="14"/>
    </row>
    <row r="89" ht="23.24853515625">
      <c r="A89" s="1"/>
      <c r="B89" s="18" t="s">
        <v>193</v>
      </c>
      <c r="C89" s="10">
        <f>IFERROR(-C49/C36,"n.a.")</f>
        <v>0.47453703703703703</v>
      </c>
      <c r="D89" s="10">
        <f>IFERROR(-D49/D36,"n.a.")</f>
        <v>0.48116646415552855</v>
      </c>
      <c r="E89" s="10">
        <f>IFERROR(-E49/E36,"n.a.")</f>
        <v>0.43251859723698194</v>
      </c>
      <c r="F89" s="10">
        <f>IFERROR(-F49/F36,"n.a.")</f>
        <v>0.41025641025641024</v>
      </c>
      <c r="G89" s="10">
        <f>IFERROR(-G49/G36,"n.a.")</f>
        <v>0.44688943221950556</v>
      </c>
      <c r="H89" s="10">
        <f>IFERROR(-H49/H36,"n.a.")</f>
        <v>0.38657171922685657</v>
      </c>
      <c r="I89" s="10">
        <f>IFERROR(-I49/I36,"n.a.")</f>
        <v>0.3908450704225352</v>
      </c>
      <c r="J89" s="81">
        <f>IFERROR(-J49/J36,"n.a.")</f>
        <v>0.4956240933952053</v>
      </c>
      <c r="K89" s="14"/>
    </row>
    <row r="90">
      <c r="A90" s="1"/>
      <c r="B90" s="48" t="s">
        <v>94</v>
      </c>
      <c r="C90" s="71" t="s">
        <v>64</v>
      </c>
      <c r="D90" s="71" t="s">
        <v>64</v>
      </c>
      <c r="E90" s="71" t="s">
        <v>64</v>
      </c>
      <c r="F90" s="71" t="s">
        <v>64</v>
      </c>
      <c r="G90" s="71" t="s">
        <v>64</v>
      </c>
      <c r="H90" s="71">
        <f>IFERROR((H89-C89)*10000,"n.a.")</f>
        <v>-879.6531781018047</v>
      </c>
      <c r="I90" s="71">
        <f>IFERROR((I89-D89)*10000,"n.a.")</f>
        <v>-903.2139373299336</v>
      </c>
      <c r="J90" s="72">
        <f>IFERROR((J89-E89)*10000,"n.a.")</f>
        <v>631.0549615822337</v>
      </c>
      <c r="K90" s="14"/>
    </row>
    <row r="91">
      <c r="A91" s="1"/>
      <c r="B91" s="48" t="s">
        <v>95</v>
      </c>
      <c r="C91" s="71" t="s">
        <v>64</v>
      </c>
      <c r="D91" s="71">
        <f>IFERROR((D89-C89)*10000,"n.a.")</f>
        <v>66.29427118491516</v>
      </c>
      <c r="E91" s="71">
        <f>IFERROR((E89-D89)*10000,"n.a.")</f>
        <v>-486.4786691854661</v>
      </c>
      <c r="F91" s="71">
        <f>IFERROR((F89-E89)*10000,"n.a.")</f>
        <v>-222.62186980571695</v>
      </c>
      <c r="G91" s="71" t="s">
        <v>64</v>
      </c>
      <c r="H91" s="71">
        <f>IFERROR((H89-F89)*10000,"n.a.")</f>
        <v>-236.84691029553673</v>
      </c>
      <c r="I91" s="71">
        <f>IFERROR((I89-H89)*10000,"n.a.")</f>
        <v>42.73351195678621</v>
      </c>
      <c r="J91" s="72">
        <f>IFERROR((J89-I89)*10000,"n.a.")</f>
        <v>1047.790229726701</v>
      </c>
      <c r="K91" s="14"/>
    </row>
    <row r="92">
      <c r="A92" s="1"/>
      <c r="B92" s="79" t="s">
        <v>194</v>
      </c>
      <c r="C92" s="30">
        <v>0.47</v>
      </c>
      <c r="D92" s="30">
        <v>0.48</v>
      </c>
      <c r="E92" s="30">
        <v>0.43</v>
      </c>
      <c r="F92" s="30">
        <v>0.41</v>
      </c>
      <c r="G92" s="10" t="s">
        <v>64</v>
      </c>
      <c r="H92" s="30">
        <v>0.39</v>
      </c>
      <c r="I92" s="30">
        <v>0.39</v>
      </c>
      <c r="J92" s="81" t="s">
        <v>64</v>
      </c>
      <c r="K92" s="14" t="s">
        <v>128</v>
      </c>
    </row>
    <row r="93" ht="23.24853515625">
      <c r="A93" s="1"/>
      <c r="B93" s="48" t="s">
        <v>94</v>
      </c>
      <c r="C93" s="71" t="s">
        <v>64</v>
      </c>
      <c r="D93" s="71" t="s">
        <v>64</v>
      </c>
      <c r="E93" s="71" t="s">
        <v>64</v>
      </c>
      <c r="F93" s="71" t="s">
        <v>64</v>
      </c>
      <c r="G93" s="71" t="s">
        <v>64</v>
      </c>
      <c r="H93" s="71">
        <f>IFERROR((H92-C92)*10000,"n.a.")</f>
        <v>-799.9999999999995</v>
      </c>
      <c r="I93" s="71">
        <f>IFERROR((I92-D92)*10000,"n.a.")</f>
        <v>-899.9999999999997</v>
      </c>
      <c r="J93" s="72" t="str">
        <f>IFERROR((J92-E92)*10000,"n.a.")</f>
        <v>n.a.</v>
      </c>
      <c r="K93" s="14"/>
    </row>
    <row r="94">
      <c r="A94" s="1"/>
      <c r="B94" s="48" t="s">
        <v>95</v>
      </c>
      <c r="C94" s="71" t="s">
        <v>64</v>
      </c>
      <c r="D94" s="71">
        <f>IFERROR((D92-C92)*10000,"n.a.")</f>
        <v>100.00000000000009</v>
      </c>
      <c r="E94" s="71">
        <f>IFERROR((E92-D92)*10000,"n.a.")</f>
        <v>-499.9999999999999</v>
      </c>
      <c r="F94" s="71">
        <f>IFERROR((F92-E92)*10000,"n.a.")</f>
        <v>-200.00000000000017</v>
      </c>
      <c r="G94" s="71" t="s">
        <v>64</v>
      </c>
      <c r="H94" s="71">
        <f>IFERROR((H92-F92)*10000,"n.a.")</f>
        <v>-199.99999999999963</v>
      </c>
      <c r="I94" s="71">
        <f>IFERROR((I92-H92)*10000,"n.a.")</f>
        <v>0</v>
      </c>
      <c r="J94" s="72" t="str">
        <f>IFERROR((J92-I92)*10000,"n.a.")</f>
        <v>n.a.</v>
      </c>
      <c r="K94" s="14"/>
    </row>
    <row r="95" ht="23.24853515625">
      <c r="A95" s="1"/>
      <c r="B95" s="13" t="s">
        <v>195</v>
      </c>
      <c r="C95" s="45">
        <f>IFERROR(-C59*365/C$7/(C74*1000),"n.a.")</f>
        <v>0.086072695035461</v>
      </c>
      <c r="D95" s="45">
        <f>IFERROR(-D59*365/D$7/(D74*1000),"n.a.")</f>
        <v>0.06875981161695446</v>
      </c>
      <c r="E95" s="45">
        <f>IFERROR(-E59*365/E$7/(E74*1000),"n.a.")</f>
        <v>0.0751820652173913</v>
      </c>
      <c r="F95" s="45">
        <f>IFERROR(-F59*365/F$7/(F74*1000),"n.a.")</f>
        <v>0.08104007830208118</v>
      </c>
      <c r="G95" s="45">
        <f>IFERROR(-G59*365/G$7/(G74*1000),"n.a.")</f>
        <v>0.07208530805687204</v>
      </c>
      <c r="H95" s="45">
        <f>IFERROR(-H59*365/H$7/(H74*1000),"n.a.")</f>
        <v>0.07087566137566138</v>
      </c>
      <c r="I95" s="45">
        <f>IFERROR(-I59*365/I$7/(I74*1000),"n.a.")</f>
        <v>0.06395401833189851</v>
      </c>
      <c r="J95" s="89">
        <f>IFERROR(-J59*365/J$7/(J74*1000),"n.a.")</f>
        <v>0.06352709359605913</v>
      </c>
      <c r="K95" s="14" t="s">
        <v>196</v>
      </c>
    </row>
    <row r="96" ht="14.624267578125">
      <c r="A96" s="1"/>
      <c r="B96" s="48" t="s">
        <v>94</v>
      </c>
      <c r="C96" s="71" t="s">
        <v>64</v>
      </c>
      <c r="D96" s="71" t="s">
        <v>64</v>
      </c>
      <c r="E96" s="71" t="s">
        <v>64</v>
      </c>
      <c r="F96" s="71" t="s">
        <v>64</v>
      </c>
      <c r="G96" s="71" t="s">
        <v>64</v>
      </c>
      <c r="H96" s="71">
        <f>IFERROR((H95-C95)*10000,"n.a.")</f>
        <v>-151.97033659799615</v>
      </c>
      <c r="I96" s="71">
        <f>IFERROR((I95-D95)*10000,"n.a.")</f>
        <v>-48.05793285055954</v>
      </c>
      <c r="J96" s="72">
        <f>IFERROR((J95-E95)*10000,"n.a.")</f>
        <v>-116.5497162133218</v>
      </c>
      <c r="K96" s="14"/>
    </row>
    <row r="97">
      <c r="A97" s="1"/>
      <c r="B97" s="48" t="s">
        <v>95</v>
      </c>
      <c r="C97" s="71" t="s">
        <v>64</v>
      </c>
      <c r="D97" s="71">
        <f>IFERROR((D95-C95)*10000,"n.a.")</f>
        <v>-173.12883418506536</v>
      </c>
      <c r="E97" s="71">
        <f>IFERROR((E95-D95)*10000,"n.a.")</f>
        <v>64.22253600436842</v>
      </c>
      <c r="F97" s="71">
        <f>IFERROR((F95-E95)*10000,"n.a.")</f>
        <v>58.580130846898754</v>
      </c>
      <c r="G97" s="71" t="s">
        <v>64</v>
      </c>
      <c r="H97" s="71">
        <f>IFERROR((H95-F95)*10000,"n.a.")</f>
        <v>-101.64416926419797</v>
      </c>
      <c r="I97" s="71">
        <f>IFERROR((I95-H95)*10000,"n.a.")</f>
        <v>-69.21643043762873</v>
      </c>
      <c r="J97" s="72">
        <f>IFERROR((J95-I95)*10000,"n.a.")</f>
        <v>-4.269247358393846</v>
      </c>
      <c r="K97" s="14"/>
    </row>
    <row r="98">
      <c r="A98" s="1"/>
      <c r="B98" s="79" t="s">
        <v>197</v>
      </c>
      <c r="C98" s="49">
        <v>0.0562</v>
      </c>
      <c r="D98" s="49">
        <v>0.0456</v>
      </c>
      <c r="E98" s="49">
        <v>0.0505</v>
      </c>
      <c r="F98" s="49">
        <v>0.0558</v>
      </c>
      <c r="G98" s="45" t="s">
        <v>64</v>
      </c>
      <c r="H98" s="49">
        <v>0.0491</v>
      </c>
      <c r="I98" s="49">
        <v>0.0555</v>
      </c>
      <c r="J98" s="89" t="s">
        <v>64</v>
      </c>
      <c r="K98" s="14" t="s">
        <v>198</v>
      </c>
    </row>
    <row r="99">
      <c r="A99" s="1"/>
      <c r="B99" s="48" t="s">
        <v>94</v>
      </c>
      <c r="C99" s="71" t="s">
        <v>64</v>
      </c>
      <c r="D99" s="71" t="s">
        <v>64</v>
      </c>
      <c r="E99" s="71" t="s">
        <v>64</v>
      </c>
      <c r="F99" s="71" t="s">
        <v>64</v>
      </c>
      <c r="G99" s="71" t="s">
        <v>64</v>
      </c>
      <c r="H99" s="71">
        <f>IFERROR((H98-C98)*10000,"n.a.")</f>
        <v>-71.00000000000003</v>
      </c>
      <c r="I99" s="71">
        <f>IFERROR((I98-D98)*10000,"n.a.")</f>
        <v>98.99999999999999</v>
      </c>
      <c r="J99" s="72" t="str">
        <f>IFERROR((J98-E98)*10000,"n.a.")</f>
        <v>n.a.</v>
      </c>
      <c r="K99" s="14"/>
    </row>
    <row r="100">
      <c r="A100" s="1"/>
      <c r="B100" s="48" t="s">
        <v>95</v>
      </c>
      <c r="C100" s="71" t="s">
        <v>64</v>
      </c>
      <c r="D100" s="71">
        <f>IFERROR((D98-C98)*10000,"n.a.")</f>
        <v>-105.99999999999999</v>
      </c>
      <c r="E100" s="71">
        <f>IFERROR((E98-D98)*10000,"n.a.")</f>
        <v>49.000000000000014</v>
      </c>
      <c r="F100" s="71">
        <f>IFERROR((F98-E98)*10000,"n.a.")</f>
        <v>52.99999999999999</v>
      </c>
      <c r="G100" s="71" t="s">
        <v>64</v>
      </c>
      <c r="H100" s="71">
        <f>IFERROR((H98-F98)*10000,"n.a.")</f>
        <v>-67.00000000000004</v>
      </c>
      <c r="I100" s="71">
        <f>IFERROR((I98-H98)*10000,"n.a.")</f>
        <v>64.00000000000003</v>
      </c>
      <c r="J100" s="72" t="str">
        <f>IFERROR((J98-I98)*10000,"n.a.")</f>
        <v>n.a.</v>
      </c>
      <c r="K100" s="14"/>
    </row>
    <row r="101" ht="23.24853515625">
      <c r="A101" s="1"/>
      <c r="B101" s="13" t="s">
        <v>199</v>
      </c>
      <c r="C101" s="30">
        <v>0.045</v>
      </c>
      <c r="D101" s="30">
        <v>0.102</v>
      </c>
      <c r="E101" s="30">
        <v>0.135</v>
      </c>
      <c r="F101" s="30">
        <v>0.158</v>
      </c>
      <c r="G101" s="10" t="s">
        <v>64</v>
      </c>
      <c r="H101" s="30">
        <v>0.188</v>
      </c>
      <c r="I101" s="30">
        <v>0.302</v>
      </c>
      <c r="J101" s="81" t="s">
        <v>64</v>
      </c>
      <c r="K101" s="14" t="s">
        <v>128</v>
      </c>
    </row>
    <row r="102">
      <c r="A102" s="1"/>
      <c r="B102" s="48" t="s">
        <v>94</v>
      </c>
      <c r="C102" s="71" t="s">
        <v>64</v>
      </c>
      <c r="D102" s="71" t="s">
        <v>64</v>
      </c>
      <c r="E102" s="71" t="s">
        <v>64</v>
      </c>
      <c r="F102" s="71" t="s">
        <v>64</v>
      </c>
      <c r="G102" s="71" t="s">
        <v>64</v>
      </c>
      <c r="H102" s="71">
        <f>IFERROR((H101-C101)*10000,"n.a.")</f>
        <v>1430.0000000000002</v>
      </c>
      <c r="I102" s="71">
        <f>IFERROR((I101-D101)*10000,"n.a.")</f>
        <v>2000</v>
      </c>
      <c r="J102" s="72" t="str">
        <f>IFERROR((J101-E101)*10000,"n.a.")</f>
        <v>n.a.</v>
      </c>
      <c r="K102" s="14"/>
    </row>
    <row r="103">
      <c r="A103" s="1"/>
      <c r="B103" s="48" t="s">
        <v>95</v>
      </c>
      <c r="C103" s="71" t="s">
        <v>64</v>
      </c>
      <c r="D103" s="71">
        <f>IFERROR((D101-C101)*10000,"n.a.")</f>
        <v>570</v>
      </c>
      <c r="E103" s="71">
        <f>IFERROR((E101-D101)*10000,"n.a.")</f>
        <v>330.00000000000017</v>
      </c>
      <c r="F103" s="71">
        <f>IFERROR((F101-E101)*10000,"n.a.")</f>
        <v>229.99999999999991</v>
      </c>
      <c r="G103" s="71" t="s">
        <v>64</v>
      </c>
      <c r="H103" s="71">
        <f>IFERROR((H101-F101)*10000,"n.a.")</f>
        <v>300</v>
      </c>
      <c r="I103" s="71">
        <f>IFERROR((I101-H101)*10000,"n.a.")</f>
        <v>1140</v>
      </c>
      <c r="J103" s="72" t="str">
        <f>IFERROR((J101-I101)*10000,"n.a.")</f>
        <v>n.a.</v>
      </c>
      <c r="K103" s="14"/>
    </row>
    <row r="104" ht="14.624267578125">
      <c r="A104" s="1"/>
      <c r="B104" s="13" t="s">
        <v>200</v>
      </c>
      <c r="C104" s="24">
        <v>3.6</v>
      </c>
      <c r="D104" s="24">
        <v>3.4</v>
      </c>
      <c r="E104" s="24">
        <v>3.5</v>
      </c>
      <c r="F104" s="24">
        <v>3.6</v>
      </c>
      <c r="G104" s="2" t="s">
        <v>64</v>
      </c>
      <c r="H104" s="24">
        <v>3.8</v>
      </c>
      <c r="I104" s="24">
        <v>3.3</v>
      </c>
      <c r="J104" s="26" t="s">
        <v>64</v>
      </c>
      <c r="K104" s="14" t="s">
        <v>128</v>
      </c>
    </row>
    <row r="105">
      <c r="A105" s="1"/>
      <c r="B105" s="37" t="s">
        <v>63</v>
      </c>
      <c r="C105" s="25" t="s">
        <v>64</v>
      </c>
      <c r="D105" s="25" t="s">
        <v>64</v>
      </c>
      <c r="E105" s="25" t="s">
        <v>64</v>
      </c>
      <c r="F105" s="25" t="s">
        <v>64</v>
      </c>
      <c r="G105" s="25" t="s">
        <v>64</v>
      </c>
      <c r="H105" s="25">
        <f>IFERROR(H104/C104-1,"n.a.")</f>
        <v>0.05555555555555558</v>
      </c>
      <c r="I105" s="25">
        <f>IFERROR(I104/D104-1,"n.a.")</f>
        <v>-0.02941176470588236</v>
      </c>
      <c r="J105" s="51" t="str">
        <f>IFERROR(J104/E104-1,"n.a.")</f>
        <v>n.a.</v>
      </c>
      <c r="K105" s="14"/>
    </row>
    <row r="106">
      <c r="A106" s="1"/>
      <c r="B106" s="48" t="s">
        <v>78</v>
      </c>
      <c r="C106" s="2" t="s">
        <v>64</v>
      </c>
      <c r="D106" s="2">
        <f>IFERROR(D104-C104,"n.a.")</f>
        <v>-0.20000000000000018</v>
      </c>
      <c r="E106" s="2">
        <f>IFERROR(E104-D104,"n.a.")</f>
        <v>0.10000000000000009</v>
      </c>
      <c r="F106" s="2">
        <f>IFERROR(F104-E104,"n.a.")</f>
        <v>0.10000000000000009</v>
      </c>
      <c r="G106" s="2" t="s">
        <v>64</v>
      </c>
      <c r="H106" s="2">
        <f>IFERROR(H104-F104,"n.a.")</f>
        <v>0.19999999999999973</v>
      </c>
      <c r="I106" s="2">
        <f>IFERROR(I104-H104,"n.a.")</f>
        <v>-0.5</v>
      </c>
      <c r="J106" s="26" t="str">
        <f>IFERROR(J104-I104,"n.a.")</f>
        <v>n.a.</v>
      </c>
      <c r="K106" s="14"/>
    </row>
    <row r="107">
      <c r="A107" s="1"/>
      <c r="B107" s="18"/>
      <c r="C107" s="19"/>
      <c r="D107" s="19"/>
      <c r="E107" s="19"/>
      <c r="F107" s="19"/>
      <c r="G107" s="19"/>
      <c r="H107" s="19"/>
      <c r="I107" s="19"/>
      <c r="J107" s="27"/>
      <c r="K107" s="14"/>
    </row>
    <row r="108">
      <c r="A108" s="1"/>
      <c r="B108" s="20" t="s">
        <v>201</v>
      </c>
      <c r="C108" s="32"/>
      <c r="D108" s="32"/>
      <c r="E108" s="32"/>
      <c r="F108" s="32"/>
      <c r="G108" s="32"/>
      <c r="H108" s="32"/>
      <c r="I108" s="32"/>
      <c r="J108" s="28"/>
      <c r="K108" s="14"/>
    </row>
    <row r="109">
      <c r="A109" s="1"/>
      <c r="B109" s="66" t="s">
        <v>202</v>
      </c>
      <c r="C109" s="25" t="s">
        <v>64</v>
      </c>
      <c r="D109" s="25" t="s">
        <v>64</v>
      </c>
      <c r="E109" s="25" t="s">
        <v>64</v>
      </c>
      <c r="F109" s="25" t="s">
        <v>64</v>
      </c>
      <c r="G109" s="25" t="s">
        <v>64</v>
      </c>
      <c r="H109" s="25">
        <f>IFERROR(H36/C36-1,"n.a.")</f>
        <v>0.1377314814814814</v>
      </c>
      <c r="I109" s="25">
        <f>IFERROR(I36/D36-1,"n.a.")</f>
        <v>0.38031591737545556</v>
      </c>
      <c r="J109" s="51">
        <f>IFERROR(J36/E36-1,"n.a.")</f>
        <v>0.01204532945132697</v>
      </c>
      <c r="K109" s="14"/>
    </row>
    <row r="110">
      <c r="A110" s="1"/>
      <c r="B110" s="66" t="s">
        <v>100</v>
      </c>
      <c r="C110" s="25" t="s">
        <v>101</v>
      </c>
      <c r="D110" s="25" t="s">
        <v>101</v>
      </c>
      <c r="E110" s="25" t="s">
        <v>101</v>
      </c>
      <c r="F110" s="25" t="s">
        <v>101</v>
      </c>
      <c r="G110" s="25" t="s">
        <v>101</v>
      </c>
      <c r="H110" s="25" t="s">
        <v>101</v>
      </c>
      <c r="I110" s="25" t="s">
        <v>101</v>
      </c>
      <c r="J110" s="51" t="s">
        <v>101</v>
      </c>
      <c r="K110" s="14" t="s">
        <v>203</v>
      </c>
    </row>
    <row r="111">
      <c r="A111" s="1"/>
      <c r="B111" s="66" t="s">
        <v>103</v>
      </c>
      <c r="C111" s="25" t="s">
        <v>101</v>
      </c>
      <c r="D111" s="25" t="s">
        <v>101</v>
      </c>
      <c r="E111" s="25" t="s">
        <v>101</v>
      </c>
      <c r="F111" s="25" t="s">
        <v>101</v>
      </c>
      <c r="G111" s="25" t="s">
        <v>101</v>
      </c>
      <c r="H111" s="25" t="s">
        <v>101</v>
      </c>
      <c r="I111" s="25" t="s">
        <v>101</v>
      </c>
      <c r="J111" s="51" t="s">
        <v>101</v>
      </c>
      <c r="K111" s="14" t="s">
        <v>204</v>
      </c>
    </row>
    <row r="112" ht="14.624267578125">
      <c r="A112" s="1"/>
      <c r="B112" s="67" t="s">
        <v>205</v>
      </c>
      <c r="C112" s="25" t="str">
        <f>IF(OR(ISTEXT(C109),ISTEXT(C110),ISTEXT(C111)),"n.d.",(1+C109)/((1+C110)*(1+C111))-1)</f>
        <v>n.d.</v>
      </c>
      <c r="D112" s="25" t="str">
        <f>IF(OR(ISTEXT(D109),ISTEXT(D110),ISTEXT(D111)),"n.d.",(1+D109)/((1+D110)*(1+D111))-1)</f>
        <v>n.d.</v>
      </c>
      <c r="E112" s="25" t="str">
        <f>IF(OR(ISTEXT(E109),ISTEXT(E110),ISTEXT(E111)),"n.d.",(1+E109)/((1+E110)*(1+E111))-1)</f>
        <v>n.d.</v>
      </c>
      <c r="F112" s="25" t="str">
        <f>IF(OR(ISTEXT(F109),ISTEXT(F110),ISTEXT(F111)),"n.d.",(1+F109)/((1+F110)*(1+F111))-1)</f>
        <v>n.d.</v>
      </c>
      <c r="G112" s="25" t="str">
        <f>IF(OR(ISTEXT(G109),ISTEXT(G110),ISTEXT(G111)),"n.d.",(1+G109)/((1+G110)*(1+G111))-1)</f>
        <v>n.d.</v>
      </c>
      <c r="H112" s="25" t="str">
        <f>IF(OR(ISTEXT(H109),ISTEXT(H110),ISTEXT(H111)),"n.d.",(1+H109)/((1+H110)*(1+H111))-1)</f>
        <v>n.d.</v>
      </c>
      <c r="I112" s="25" t="str">
        <f>IF(OR(ISTEXT(I109),ISTEXT(I110),ISTEXT(I111)),"n.d.",(1+I109)/((1+I110)*(1+I111))-1)</f>
        <v>n.d.</v>
      </c>
      <c r="J112" s="51" t="str">
        <f>IF(OR(ISTEXT(J109),ISTEXT(J110),ISTEXT(J111)),"n.d.",(1+J109)/((1+J110)*(1+J111))-1)</f>
        <v>n.d.</v>
      </c>
      <c r="K112" s="14" t="s">
        <v>206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A1:K61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  <col min="11" max="11" width="9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35" t="s">
        <v>49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9" t="s">
        <v>347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3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6" t="s">
        <v>51</v>
      </c>
      <c r="C5" s="21" t="s">
        <v>52</v>
      </c>
      <c r="D5" s="21" t="s">
        <v>53</v>
      </c>
      <c r="E5" s="21" t="s">
        <v>54</v>
      </c>
      <c r="F5" s="21" t="s">
        <v>55</v>
      </c>
      <c r="G5" s="21" t="s">
        <v>56</v>
      </c>
      <c r="H5" s="21" t="s">
        <v>57</v>
      </c>
      <c r="I5" s="21" t="s">
        <v>58</v>
      </c>
      <c r="J5" s="40" t="s">
        <v>4</v>
      </c>
      <c r="K5" s="6" t="s">
        <v>59</v>
      </c>
    </row>
    <row r="6">
      <c r="A6" s="1"/>
      <c r="B6" s="7" t="s">
        <v>5</v>
      </c>
      <c r="C6" s="29">
        <v>45747</v>
      </c>
      <c r="D6" s="29">
        <v>45838</v>
      </c>
      <c r="E6" s="29">
        <v>45930</v>
      </c>
      <c r="F6" s="29">
        <v>46022</v>
      </c>
      <c r="G6" s="29">
        <v>46022</v>
      </c>
      <c r="H6" s="29">
        <v>46112</v>
      </c>
      <c r="I6" s="29">
        <v>46203</v>
      </c>
      <c r="J6" s="50">
        <v>46295</v>
      </c>
      <c r="K6" s="7"/>
    </row>
    <row r="7">
      <c r="A7" s="1"/>
      <c r="B7" s="12" t="s">
        <v>6</v>
      </c>
      <c r="C7" s="34">
        <f>C6-EOMONTH(C6,-3)</f>
        <v>90</v>
      </c>
      <c r="D7" s="34">
        <f>D6-EOMONTH(D6,-3)</f>
        <v>91</v>
      </c>
      <c r="E7" s="34">
        <f>E6-EOMONTH(E6,-3)</f>
        <v>92</v>
      </c>
      <c r="F7" s="34">
        <f>F6-EOMONTH(F6,-3)</f>
        <v>92</v>
      </c>
      <c r="G7" s="34">
        <f>G6-EOMONTH(G6,-12)</f>
        <v>365</v>
      </c>
      <c r="H7" s="34">
        <f>H6-EOMONTH(H6,-3)</f>
        <v>90</v>
      </c>
      <c r="I7" s="34">
        <f>I6-EOMONTH(I6,-3)</f>
        <v>91</v>
      </c>
      <c r="J7" s="43">
        <f>J6-EOMONTH(J6,-3)</f>
        <v>92</v>
      </c>
      <c r="K7" s="12"/>
    </row>
    <row r="8">
      <c r="A8" s="1"/>
      <c r="B8" s="1"/>
      <c r="C8" s="1"/>
      <c r="D8" s="1"/>
      <c r="E8" s="1"/>
      <c r="F8" s="1"/>
      <c r="G8" s="1"/>
      <c r="H8" s="1"/>
      <c r="I8" s="1"/>
      <c r="J8" s="54"/>
      <c r="K8" s="1"/>
    </row>
    <row r="9">
      <c r="A9" s="1"/>
      <c r="B9" s="20" t="s">
        <v>131</v>
      </c>
      <c r="C9" s="32"/>
      <c r="D9" s="32"/>
      <c r="E9" s="32"/>
      <c r="F9" s="32"/>
      <c r="G9" s="32"/>
      <c r="H9" s="32"/>
      <c r="I9" s="32"/>
      <c r="J9" s="28"/>
      <c r="K9" s="14"/>
    </row>
    <row r="10">
      <c r="A10" s="1"/>
      <c r="B10" s="18" t="s">
        <v>82</v>
      </c>
      <c r="C10" s="24">
        <v>174</v>
      </c>
      <c r="D10" s="24">
        <v>114</v>
      </c>
      <c r="E10" s="24">
        <v>138</v>
      </c>
      <c r="F10" s="24">
        <v>-11</v>
      </c>
      <c r="G10" s="2">
        <f>SUM(C10:F10)</f>
        <v>415</v>
      </c>
      <c r="H10" s="24">
        <v>-53</v>
      </c>
      <c r="I10" s="24">
        <v>149</v>
      </c>
      <c r="J10" s="26">
        <f>AVERAGE(E10,F10,H10,I10)</f>
        <v>55.75</v>
      </c>
      <c r="K10" s="14" t="s">
        <v>348</v>
      </c>
    </row>
    <row r="11" ht="14.624267578125">
      <c r="A11" s="1"/>
      <c r="B11" s="37" t="s">
        <v>63</v>
      </c>
      <c r="C11" s="25" t="s">
        <v>64</v>
      </c>
      <c r="D11" s="25" t="s">
        <v>64</v>
      </c>
      <c r="E11" s="25" t="s">
        <v>64</v>
      </c>
      <c r="F11" s="25" t="s">
        <v>64</v>
      </c>
      <c r="G11" s="25" t="s">
        <v>64</v>
      </c>
      <c r="H11" s="25" t="str">
        <f>IF(AND(ISNUMBER(H10),ISNUMBER(C10)),IF(OR(C10&lt;=0,H10&lt;0),"n.m.",H10/C10-1),"n.a.")</f>
        <v>n.m.</v>
      </c>
      <c r="I11" s="25">
        <f>IF(AND(ISNUMBER(I10),ISNUMBER(D10)),IF(OR(D10&lt;=0,I10&lt;0),"n.m.",I10/D10-1),"n.a.")</f>
        <v>0.3070175438596492</v>
      </c>
      <c r="J11" s="51">
        <f>IF(AND(ISNUMBER(J10),ISNUMBER(E10)),IF(OR(E10&lt;=0,J10&lt;0),"n.m.",J10/E10-1),"n.a.")</f>
        <v>-0.5960144927536232</v>
      </c>
      <c r="K11" s="14" t="s">
        <v>238</v>
      </c>
    </row>
    <row r="12">
      <c r="A12" s="1"/>
      <c r="B12" s="48" t="s">
        <v>78</v>
      </c>
      <c r="C12" s="2" t="s">
        <v>64</v>
      </c>
      <c r="D12" s="2">
        <f>IFERROR(D10-C10,"n.a.")</f>
        <v>-60</v>
      </c>
      <c r="E12" s="2">
        <f>IFERROR(E10-D10,"n.a.")</f>
        <v>24</v>
      </c>
      <c r="F12" s="2">
        <f>IFERROR(F10-E10,"n.a.")</f>
        <v>-149</v>
      </c>
      <c r="G12" s="2" t="s">
        <v>64</v>
      </c>
      <c r="H12" s="2">
        <f>IFERROR(H10-F10,"n.a.")</f>
        <v>-42</v>
      </c>
      <c r="I12" s="2">
        <f>IFERROR(I10-H10,"n.a.")</f>
        <v>202</v>
      </c>
      <c r="J12" s="26">
        <f>IFERROR(J10-I10,"n.a.")</f>
        <v>-93.25</v>
      </c>
      <c r="K12" s="14"/>
    </row>
    <row r="13" ht="14.624267578125">
      <c r="A13" s="1"/>
      <c r="B13" s="13" t="s">
        <v>134</v>
      </c>
      <c r="C13" s="24">
        <v>-109</v>
      </c>
      <c r="D13" s="24">
        <v>-43</v>
      </c>
      <c r="E13" s="24">
        <v>-105</v>
      </c>
      <c r="F13" s="24">
        <v>94</v>
      </c>
      <c r="G13" s="2">
        <f>SUM(C13:F13)</f>
        <v>-163</v>
      </c>
      <c r="H13" s="24">
        <v>70</v>
      </c>
      <c r="I13" s="24">
        <v>-88</v>
      </c>
      <c r="J13" s="26">
        <f>J16-J10</f>
        <v>-7.25</v>
      </c>
      <c r="K13" s="14" t="s">
        <v>349</v>
      </c>
    </row>
    <row r="14">
      <c r="A14" s="1"/>
      <c r="B14" s="37" t="s">
        <v>63</v>
      </c>
      <c r="C14" s="25" t="s">
        <v>64</v>
      </c>
      <c r="D14" s="25" t="s">
        <v>64</v>
      </c>
      <c r="E14" s="25" t="s">
        <v>64</v>
      </c>
      <c r="F14" s="25" t="s">
        <v>64</v>
      </c>
      <c r="G14" s="25" t="s">
        <v>64</v>
      </c>
      <c r="H14" s="25" t="str">
        <f>IF(AND(ISNUMBER(H13),ISNUMBER(C13)),IF(OR(C13&lt;=0,H13&lt;0),"n.m.",H13/C13-1),"n.a.")</f>
        <v>n.m.</v>
      </c>
      <c r="I14" s="25" t="str">
        <f>IF(AND(ISNUMBER(I13),ISNUMBER(D13)),IF(OR(D13&lt;=0,I13&lt;0),"n.m.",I13/D13-1),"n.a.")</f>
        <v>n.m.</v>
      </c>
      <c r="J14" s="51" t="str">
        <f>IF(AND(ISNUMBER(J13),ISNUMBER(E13)),IF(OR(E13&lt;=0,J13&lt;0),"n.m.",J13/E13-1),"n.a.")</f>
        <v>n.m.</v>
      </c>
      <c r="K14" s="14" t="s">
        <v>238</v>
      </c>
    </row>
    <row r="15">
      <c r="A15" s="1"/>
      <c r="B15" s="48" t="s">
        <v>78</v>
      </c>
      <c r="C15" s="2" t="s">
        <v>64</v>
      </c>
      <c r="D15" s="2">
        <f>IFERROR(D13-C13,"n.a.")</f>
        <v>66</v>
      </c>
      <c r="E15" s="2">
        <f>IFERROR(E13-D13,"n.a.")</f>
        <v>-62</v>
      </c>
      <c r="F15" s="2">
        <f>IFERROR(F13-E13,"n.a.")</f>
        <v>199</v>
      </c>
      <c r="G15" s="2" t="s">
        <v>64</v>
      </c>
      <c r="H15" s="2">
        <f>IFERROR(H13-F13,"n.a.")</f>
        <v>-24</v>
      </c>
      <c r="I15" s="2">
        <f>IFERROR(I13-H13,"n.a.")</f>
        <v>-158</v>
      </c>
      <c r="J15" s="26">
        <f>IFERROR(J13-I13,"n.a.")</f>
        <v>80.75</v>
      </c>
      <c r="K15" s="14"/>
    </row>
    <row r="16">
      <c r="A16" s="1"/>
      <c r="B16" s="20" t="s">
        <v>136</v>
      </c>
      <c r="C16" s="16">
        <f>C10+C13</f>
        <v>65</v>
      </c>
      <c r="D16" s="16">
        <f>D10+D13</f>
        <v>71</v>
      </c>
      <c r="E16" s="16">
        <f>E10+E13</f>
        <v>33</v>
      </c>
      <c r="F16" s="16">
        <f>F10+F13</f>
        <v>83</v>
      </c>
      <c r="G16" s="16">
        <f>SUM(C16:F16)</f>
        <v>252</v>
      </c>
      <c r="H16" s="16">
        <f>H10+H13</f>
        <v>17</v>
      </c>
      <c r="I16" s="16">
        <f>I10+I13</f>
        <v>61</v>
      </c>
      <c r="J16" s="65">
        <f>AVERAGE(E16,F16,H16,I16)</f>
        <v>48.5</v>
      </c>
      <c r="K16" s="14" t="s">
        <v>350</v>
      </c>
    </row>
    <row r="17">
      <c r="A17" s="1"/>
      <c r="B17" s="37" t="s">
        <v>63</v>
      </c>
      <c r="C17" s="25" t="s">
        <v>64</v>
      </c>
      <c r="D17" s="25" t="s">
        <v>64</v>
      </c>
      <c r="E17" s="25" t="s">
        <v>64</v>
      </c>
      <c r="F17" s="25" t="s">
        <v>64</v>
      </c>
      <c r="G17" s="25" t="s">
        <v>64</v>
      </c>
      <c r="H17" s="25">
        <f>IFERROR(H16/C16-1,"n.a.")</f>
        <v>-0.7384615384615385</v>
      </c>
      <c r="I17" s="25">
        <f>IFERROR(I16/D16-1,"n.a.")</f>
        <v>-0.14084507042253525</v>
      </c>
      <c r="J17" s="51">
        <f>IFERROR(J16/E16-1,"n.a.")</f>
        <v>0.4696969696969697</v>
      </c>
      <c r="K17" s="14"/>
    </row>
    <row r="18">
      <c r="A18" s="1"/>
      <c r="B18" s="37" t="s">
        <v>65</v>
      </c>
      <c r="C18" s="25" t="s">
        <v>64</v>
      </c>
      <c r="D18" s="25">
        <f>IFERROR(D16/C16-1,"n.a.")</f>
        <v>0.0923076923076922</v>
      </c>
      <c r="E18" s="25">
        <f>IFERROR(E16/D16-1,"n.a.")</f>
        <v>-0.5352112676056338</v>
      </c>
      <c r="F18" s="25">
        <f>IFERROR(F16/E16-1,"n.a.")</f>
        <v>1.5151515151515151</v>
      </c>
      <c r="G18" s="25" t="s">
        <v>64</v>
      </c>
      <c r="H18" s="25">
        <f>IFERROR(H16/F16-1,"n.a.")</f>
        <v>-0.7951807228915663</v>
      </c>
      <c r="I18" s="25">
        <f>IFERROR(I16/H16-1,"n.a.")</f>
        <v>2.588235294117647</v>
      </c>
      <c r="J18" s="51">
        <f>IFERROR(J16/I16-1,"n.a.")</f>
        <v>-0.20491803278688525</v>
      </c>
      <c r="K18" s="14"/>
    </row>
    <row r="19">
      <c r="A19" s="1"/>
      <c r="B19" s="48" t="s">
        <v>78</v>
      </c>
      <c r="C19" s="2" t="s">
        <v>64</v>
      </c>
      <c r="D19" s="2">
        <f>IFERROR(D16-C16,"n.a.")</f>
        <v>6</v>
      </c>
      <c r="E19" s="2">
        <f>IFERROR(E16-D16,"n.a.")</f>
        <v>-38</v>
      </c>
      <c r="F19" s="2">
        <f>IFERROR(F16-E16,"n.a.")</f>
        <v>50</v>
      </c>
      <c r="G19" s="2" t="s">
        <v>64</v>
      </c>
      <c r="H19" s="2">
        <f>IFERROR(H16-F16,"n.a.")</f>
        <v>-66</v>
      </c>
      <c r="I19" s="2">
        <f>IFERROR(I16-H16,"n.a.")</f>
        <v>44</v>
      </c>
      <c r="J19" s="26">
        <f>IFERROR(J16-I16,"n.a.")</f>
        <v>-12.5</v>
      </c>
      <c r="K19" s="14"/>
    </row>
    <row r="20">
      <c r="A20" s="1"/>
      <c r="B20" s="18"/>
      <c r="C20" s="19"/>
      <c r="D20" s="19"/>
      <c r="E20" s="19"/>
      <c r="F20" s="19"/>
      <c r="G20" s="19"/>
      <c r="H20" s="19"/>
      <c r="I20" s="19"/>
      <c r="J20" s="27"/>
      <c r="K20" s="14"/>
    </row>
    <row r="21">
      <c r="A21" s="1"/>
      <c r="B21" s="20" t="s">
        <v>145</v>
      </c>
      <c r="C21" s="32"/>
      <c r="D21" s="32"/>
      <c r="E21" s="32"/>
      <c r="F21" s="32"/>
      <c r="G21" s="32"/>
      <c r="H21" s="32"/>
      <c r="I21" s="32"/>
      <c r="J21" s="28"/>
      <c r="K21" s="14"/>
    </row>
    <row r="22" ht="14.624267578125">
      <c r="A22" s="1"/>
      <c r="B22" s="63" t="s">
        <v>146</v>
      </c>
      <c r="C22" s="2" t="s">
        <v>64</v>
      </c>
      <c r="D22" s="2" t="s">
        <v>64</v>
      </c>
      <c r="E22" s="2" t="s">
        <v>64</v>
      </c>
      <c r="F22" s="2" t="s">
        <v>64</v>
      </c>
      <c r="G22" s="2" t="s">
        <v>64</v>
      </c>
      <c r="H22" s="2" t="s">
        <v>64</v>
      </c>
      <c r="I22" s="2" t="s">
        <v>64</v>
      </c>
      <c r="J22" s="39">
        <v>-140</v>
      </c>
      <c r="K22" s="14" t="s">
        <v>351</v>
      </c>
    </row>
    <row r="23" ht="14.624267578125">
      <c r="A23" s="1"/>
      <c r="B23" s="63" t="s">
        <v>148</v>
      </c>
      <c r="C23" s="2" t="s">
        <v>64</v>
      </c>
      <c r="D23" s="2" t="s">
        <v>64</v>
      </c>
      <c r="E23" s="2" t="s">
        <v>64</v>
      </c>
      <c r="F23" s="2" t="s">
        <v>64</v>
      </c>
      <c r="G23" s="2" t="s">
        <v>64</v>
      </c>
      <c r="H23" s="2" t="s">
        <v>64</v>
      </c>
      <c r="I23" s="2" t="s">
        <v>64</v>
      </c>
      <c r="J23" s="39">
        <v>-35</v>
      </c>
      <c r="K23" s="14" t="s">
        <v>149</v>
      </c>
    </row>
    <row r="24">
      <c r="A24" s="1"/>
      <c r="B24" s="18" t="s">
        <v>150</v>
      </c>
      <c r="C24" s="24">
        <v>-207</v>
      </c>
      <c r="D24" s="24">
        <v>-175</v>
      </c>
      <c r="E24" s="24">
        <v>-162</v>
      </c>
      <c r="F24" s="24">
        <v>-203</v>
      </c>
      <c r="G24" s="2">
        <f>SUM(C24:F24)</f>
        <v>-747</v>
      </c>
      <c r="H24" s="24">
        <v>-205</v>
      </c>
      <c r="I24" s="24">
        <v>-163</v>
      </c>
      <c r="J24" s="26">
        <f>J22+J23</f>
        <v>-175</v>
      </c>
      <c r="K24" s="14" t="s">
        <v>128</v>
      </c>
    </row>
    <row r="25">
      <c r="A25" s="1"/>
      <c r="B25" s="37" t="s">
        <v>63</v>
      </c>
      <c r="C25" s="25" t="s">
        <v>64</v>
      </c>
      <c r="D25" s="25" t="s">
        <v>64</v>
      </c>
      <c r="E25" s="25" t="s">
        <v>64</v>
      </c>
      <c r="F25" s="25" t="s">
        <v>64</v>
      </c>
      <c r="G25" s="25" t="s">
        <v>64</v>
      </c>
      <c r="H25" s="25">
        <f>IFERROR(H24/C24-1,"n.a.")</f>
        <v>-0.009661835748792313</v>
      </c>
      <c r="I25" s="25">
        <f>IFERROR(I24/D24-1,"n.a.")</f>
        <v>-0.06857142857142862</v>
      </c>
      <c r="J25" s="51">
        <f>IFERROR(J24/E24-1,"n.a.")</f>
        <v>0.08024691358024683</v>
      </c>
      <c r="K25" s="14"/>
    </row>
    <row r="26">
      <c r="A26" s="1"/>
      <c r="B26" s="48" t="s">
        <v>78</v>
      </c>
      <c r="C26" s="2" t="s">
        <v>64</v>
      </c>
      <c r="D26" s="2">
        <f>IFERROR(D24-C24,"n.a.")</f>
        <v>32</v>
      </c>
      <c r="E26" s="2">
        <f>IFERROR(E24-D24,"n.a.")</f>
        <v>13</v>
      </c>
      <c r="F26" s="2">
        <f>IFERROR(F24-E24,"n.a.")</f>
        <v>-41</v>
      </c>
      <c r="G26" s="2" t="s">
        <v>64</v>
      </c>
      <c r="H26" s="2">
        <f>IFERROR(H24-F24,"n.a.")</f>
        <v>-2</v>
      </c>
      <c r="I26" s="2">
        <f>IFERROR(I24-H24,"n.a.")</f>
        <v>42</v>
      </c>
      <c r="J26" s="26">
        <f>IFERROR(J24-I24,"n.a.")</f>
        <v>-12</v>
      </c>
      <c r="K26" s="14"/>
    </row>
    <row r="27">
      <c r="A27" s="1"/>
      <c r="B27" s="18" t="s">
        <v>151</v>
      </c>
      <c r="C27" s="24">
        <v>0</v>
      </c>
      <c r="D27" s="24">
        <v>0</v>
      </c>
      <c r="E27" s="24">
        <v>0</v>
      </c>
      <c r="F27" s="24">
        <v>-8</v>
      </c>
      <c r="G27" s="2">
        <f>SUM(C27:F27)</f>
        <v>-8</v>
      </c>
      <c r="H27" s="24">
        <v>0</v>
      </c>
      <c r="I27" s="24">
        <v>0</v>
      </c>
      <c r="J27" s="39">
        <v>0</v>
      </c>
      <c r="K27" s="14" t="s">
        <v>152</v>
      </c>
    </row>
    <row r="28">
      <c r="A28" s="1"/>
      <c r="B28" s="18" t="s">
        <v>153</v>
      </c>
      <c r="C28" s="24">
        <v>-3</v>
      </c>
      <c r="D28" s="24">
        <v>-2</v>
      </c>
      <c r="E28" s="24">
        <v>-239</v>
      </c>
      <c r="F28" s="24">
        <v>-13</v>
      </c>
      <c r="G28" s="2">
        <f>SUM(C28:F28)</f>
        <v>-257</v>
      </c>
      <c r="H28" s="24">
        <v>-107</v>
      </c>
      <c r="I28" s="24">
        <v>-1</v>
      </c>
      <c r="J28" s="39">
        <v>-18</v>
      </c>
      <c r="K28" s="14" t="s">
        <v>154</v>
      </c>
    </row>
    <row r="29">
      <c r="A29" s="1"/>
      <c r="B29" s="20" t="s">
        <v>155</v>
      </c>
      <c r="C29" s="16">
        <f>C24+C27+C28</f>
        <v>-210</v>
      </c>
      <c r="D29" s="16">
        <f>D24+D27+D28</f>
        <v>-177</v>
      </c>
      <c r="E29" s="16">
        <f>E24+E27+E28</f>
        <v>-401</v>
      </c>
      <c r="F29" s="16">
        <f>F24+F27+F28</f>
        <v>-224</v>
      </c>
      <c r="G29" s="16">
        <f>SUM(C29:F29)</f>
        <v>-1012</v>
      </c>
      <c r="H29" s="16">
        <f>H24+H27+H28</f>
        <v>-312</v>
      </c>
      <c r="I29" s="16">
        <f>I24+I27+I28</f>
        <v>-164</v>
      </c>
      <c r="J29" s="65">
        <f>J24+J27+J28</f>
        <v>-193</v>
      </c>
      <c r="K29" s="14"/>
    </row>
    <row r="30">
      <c r="A30" s="1"/>
      <c r="B30" s="37" t="s">
        <v>63</v>
      </c>
      <c r="C30" s="25" t="s">
        <v>64</v>
      </c>
      <c r="D30" s="25" t="s">
        <v>64</v>
      </c>
      <c r="E30" s="25" t="s">
        <v>64</v>
      </c>
      <c r="F30" s="25" t="s">
        <v>64</v>
      </c>
      <c r="G30" s="25" t="s">
        <v>64</v>
      </c>
      <c r="H30" s="25">
        <f>IFERROR(H29/C29-1,"n.a.")</f>
        <v>0.48571428571428577</v>
      </c>
      <c r="I30" s="25">
        <f>IFERROR(I29/D29-1,"n.a.")</f>
        <v>-0.07344632768361581</v>
      </c>
      <c r="J30" s="51">
        <f>IFERROR(J29/E29-1,"n.a.")</f>
        <v>-0.5187032418952618</v>
      </c>
      <c r="K30" s="14"/>
    </row>
    <row r="31">
      <c r="A31" s="1"/>
      <c r="B31" s="48" t="s">
        <v>78</v>
      </c>
      <c r="C31" s="2" t="s">
        <v>64</v>
      </c>
      <c r="D31" s="2">
        <f>IFERROR(D29-C29,"n.a.")</f>
        <v>33</v>
      </c>
      <c r="E31" s="2">
        <f>IFERROR(E29-D29,"n.a.")</f>
        <v>-224</v>
      </c>
      <c r="F31" s="2">
        <f>IFERROR(F29-E29,"n.a.")</f>
        <v>177</v>
      </c>
      <c r="G31" s="2" t="s">
        <v>64</v>
      </c>
      <c r="H31" s="2">
        <f>IFERROR(H29-F29,"n.a.")</f>
        <v>-88</v>
      </c>
      <c r="I31" s="2">
        <f>IFERROR(I29-H29,"n.a.")</f>
        <v>148</v>
      </c>
      <c r="J31" s="26">
        <f>IFERROR(J29-I29,"n.a.")</f>
        <v>-29</v>
      </c>
      <c r="K31" s="14"/>
    </row>
    <row r="32">
      <c r="A32" s="1"/>
      <c r="B32" s="18" t="s">
        <v>156</v>
      </c>
      <c r="C32" s="24">
        <v>18</v>
      </c>
      <c r="D32" s="24">
        <v>-9</v>
      </c>
      <c r="E32" s="24">
        <v>39</v>
      </c>
      <c r="F32" s="24">
        <v>-25</v>
      </c>
      <c r="G32" s="2">
        <f>SUM(C32:F32)</f>
        <v>23</v>
      </c>
      <c r="H32" s="24">
        <v>21</v>
      </c>
      <c r="I32" s="24">
        <v>3</v>
      </c>
      <c r="J32" s="26">
        <f>AVERAGE(E32,F32,H32,I32)</f>
        <v>9.5</v>
      </c>
      <c r="K32" s="14" t="s">
        <v>352</v>
      </c>
    </row>
    <row r="33">
      <c r="A33" s="1"/>
      <c r="B33" s="20" t="s">
        <v>157</v>
      </c>
      <c r="C33" s="16">
        <f>C16+C29+C32</f>
        <v>-127</v>
      </c>
      <c r="D33" s="16">
        <f>D16+D29+D32</f>
        <v>-115</v>
      </c>
      <c r="E33" s="16">
        <f>E16+E29+E32</f>
        <v>-329</v>
      </c>
      <c r="F33" s="16">
        <f>F16+F29+F32</f>
        <v>-166</v>
      </c>
      <c r="G33" s="16">
        <f>SUM(C33:F33)</f>
        <v>-737</v>
      </c>
      <c r="H33" s="16">
        <f>H16+H29+H32</f>
        <v>-274</v>
      </c>
      <c r="I33" s="16">
        <f>I16+I29+I32</f>
        <v>-100</v>
      </c>
      <c r="J33" s="65">
        <f>J16+J29+J32</f>
        <v>-135</v>
      </c>
      <c r="K33" s="14"/>
    </row>
    <row r="34">
      <c r="A34" s="1"/>
      <c r="B34" s="37" t="s">
        <v>63</v>
      </c>
      <c r="C34" s="25" t="s">
        <v>64</v>
      </c>
      <c r="D34" s="25" t="s">
        <v>64</v>
      </c>
      <c r="E34" s="25" t="s">
        <v>64</v>
      </c>
      <c r="F34" s="25" t="s">
        <v>64</v>
      </c>
      <c r="G34" s="25" t="s">
        <v>64</v>
      </c>
      <c r="H34" s="25" t="str">
        <f>IF(AND(ISNUMBER(H33),ISNUMBER(C33)),IF(OR(C33&lt;=0,H33&lt;0),"n.m.",H33/C33-1),"n.a.")</f>
        <v>n.m.</v>
      </c>
      <c r="I34" s="25" t="str">
        <f>IF(AND(ISNUMBER(I33),ISNUMBER(D33)),IF(OR(D33&lt;=0,I33&lt;0),"n.m.",I33/D33-1),"n.a.")</f>
        <v>n.m.</v>
      </c>
      <c r="J34" s="51" t="str">
        <f>IF(AND(ISNUMBER(J33),ISNUMBER(E33)),IF(OR(E33&lt;=0,J33&lt;0),"n.m.",J33/E33-1),"n.a.")</f>
        <v>n.m.</v>
      </c>
      <c r="K34" s="14" t="s">
        <v>238</v>
      </c>
    </row>
    <row r="35">
      <c r="A35" s="1"/>
      <c r="B35" s="48" t="s">
        <v>78</v>
      </c>
      <c r="C35" s="2" t="s">
        <v>64</v>
      </c>
      <c r="D35" s="2">
        <f>IFERROR(D33-C33,"n.a.")</f>
        <v>12</v>
      </c>
      <c r="E35" s="2">
        <f>IFERROR(E33-D33,"n.a.")</f>
        <v>-214</v>
      </c>
      <c r="F35" s="2">
        <f>IFERROR(F33-E33,"n.a.")</f>
        <v>163</v>
      </c>
      <c r="G35" s="2" t="s">
        <v>64</v>
      </c>
      <c r="H35" s="2">
        <f>IFERROR(H33-F33,"n.a.")</f>
        <v>-108</v>
      </c>
      <c r="I35" s="2">
        <f>IFERROR(I33-H33,"n.a.")</f>
        <v>174</v>
      </c>
      <c r="J35" s="26">
        <f>IFERROR(J33-I33,"n.a.")</f>
        <v>-35</v>
      </c>
      <c r="K35" s="14"/>
    </row>
    <row r="36">
      <c r="A36" s="1"/>
      <c r="B36" s="18"/>
      <c r="C36" s="19"/>
      <c r="D36" s="19"/>
      <c r="E36" s="19"/>
      <c r="F36" s="19"/>
      <c r="G36" s="19"/>
      <c r="H36" s="19"/>
      <c r="I36" s="19"/>
      <c r="J36" s="27"/>
      <c r="K36" s="14"/>
    </row>
    <row r="37">
      <c r="A37" s="1"/>
      <c r="B37" s="20" t="s">
        <v>158</v>
      </c>
      <c r="C37" s="32"/>
      <c r="D37" s="32"/>
      <c r="E37" s="32"/>
      <c r="F37" s="32"/>
      <c r="G37" s="32"/>
      <c r="H37" s="32"/>
      <c r="I37" s="32"/>
      <c r="J37" s="28"/>
      <c r="K37" s="14"/>
    </row>
    <row r="38" ht="14.624267578125">
      <c r="A38" s="1"/>
      <c r="B38" s="46" t="s">
        <v>221</v>
      </c>
      <c r="C38" s="62">
        <v>-4</v>
      </c>
      <c r="D38" s="62">
        <v>-1</v>
      </c>
      <c r="E38" s="62">
        <v>-1</v>
      </c>
      <c r="F38" s="62">
        <v>-5</v>
      </c>
      <c r="G38" s="38">
        <f>SUM(C38:F38)</f>
        <v>-11</v>
      </c>
      <c r="H38" s="62">
        <v>2</v>
      </c>
      <c r="I38" s="62">
        <v>0</v>
      </c>
      <c r="J38" s="23">
        <f>AVERAGE(H38,I38)</f>
        <v>1</v>
      </c>
      <c r="K38" s="14" t="s">
        <v>353</v>
      </c>
    </row>
    <row r="39">
      <c r="A39" s="1"/>
      <c r="B39" s="37" t="s">
        <v>63</v>
      </c>
      <c r="C39" s="25" t="s">
        <v>64</v>
      </c>
      <c r="D39" s="25" t="s">
        <v>64</v>
      </c>
      <c r="E39" s="25" t="s">
        <v>64</v>
      </c>
      <c r="F39" s="25" t="s">
        <v>64</v>
      </c>
      <c r="G39" s="25" t="s">
        <v>64</v>
      </c>
      <c r="H39" s="25" t="str">
        <f>IF(AND(ISNUMBER(H38),ISNUMBER(C38)),IF(OR(C38&lt;=0,H38&lt;0),"n.m.",H38/C38-1),"n.a.")</f>
        <v>n.m.</v>
      </c>
      <c r="I39" s="25" t="str">
        <f>IF(AND(ISNUMBER(I38),ISNUMBER(D38)),IF(OR(D38&lt;=0,I38&lt;0),"n.m.",I38/D38-1),"n.a.")</f>
        <v>n.m.</v>
      </c>
      <c r="J39" s="51" t="str">
        <f>IF(AND(ISNUMBER(J38),ISNUMBER(E38)),IF(OR(E38&lt;=0,J38&lt;0),"n.m.",J38/E38-1),"n.a.")</f>
        <v>n.m.</v>
      </c>
      <c r="K39" s="14" t="s">
        <v>238</v>
      </c>
    </row>
    <row r="40">
      <c r="A40" s="1"/>
      <c r="B40" s="48" t="s">
        <v>78</v>
      </c>
      <c r="C40" s="2" t="s">
        <v>64</v>
      </c>
      <c r="D40" s="2">
        <f>IFERROR(D38-C38,"n.a.")</f>
        <v>3</v>
      </c>
      <c r="E40" s="2">
        <f>IFERROR(E38-D38,"n.a.")</f>
        <v>0</v>
      </c>
      <c r="F40" s="2">
        <f>IFERROR(F38-E38,"n.a.")</f>
        <v>-4</v>
      </c>
      <c r="G40" s="2" t="s">
        <v>64</v>
      </c>
      <c r="H40" s="2">
        <f>IFERROR(H38-F38,"n.a.")</f>
        <v>7</v>
      </c>
      <c r="I40" s="2">
        <f>IFERROR(I38-H38,"n.a.")</f>
        <v>-2</v>
      </c>
      <c r="J40" s="26">
        <f>IFERROR(J38-I38,"n.a.")</f>
        <v>1</v>
      </c>
      <c r="K40" s="14"/>
    </row>
    <row r="41">
      <c r="A41" s="1"/>
      <c r="B41" s="20" t="s">
        <v>165</v>
      </c>
      <c r="C41" s="16">
        <f>C33+C38</f>
        <v>-131</v>
      </c>
      <c r="D41" s="16">
        <f>D33+D38</f>
        <v>-116</v>
      </c>
      <c r="E41" s="16">
        <f>E33+E38</f>
        <v>-330</v>
      </c>
      <c r="F41" s="16">
        <f>F33+F38</f>
        <v>-171</v>
      </c>
      <c r="G41" s="16">
        <f>SUM(C41:F41)</f>
        <v>-748</v>
      </c>
      <c r="H41" s="16">
        <f>H33+H38</f>
        <v>-272</v>
      </c>
      <c r="I41" s="16">
        <f>I33+I38</f>
        <v>-100</v>
      </c>
      <c r="J41" s="65">
        <f>J33+J38</f>
        <v>-134</v>
      </c>
      <c r="K41" s="14"/>
    </row>
    <row r="42">
      <c r="A42" s="1"/>
      <c r="B42" s="37" t="s">
        <v>63</v>
      </c>
      <c r="C42" s="25" t="s">
        <v>64</v>
      </c>
      <c r="D42" s="25" t="s">
        <v>64</v>
      </c>
      <c r="E42" s="25" t="s">
        <v>64</v>
      </c>
      <c r="F42" s="25" t="s">
        <v>64</v>
      </c>
      <c r="G42" s="25" t="s">
        <v>64</v>
      </c>
      <c r="H42" s="25" t="str">
        <f>IF(AND(ISNUMBER(H41),ISNUMBER(C41)),IF(OR(C41&lt;=0,H41&lt;0),"n.m.",H41/C41-1),"n.a.")</f>
        <v>n.m.</v>
      </c>
      <c r="I42" s="25" t="str">
        <f>IF(AND(ISNUMBER(I41),ISNUMBER(D41)),IF(OR(D41&lt;=0,I41&lt;0),"n.m.",I41/D41-1),"n.a.")</f>
        <v>n.m.</v>
      </c>
      <c r="J42" s="51" t="str">
        <f>IF(AND(ISNUMBER(J41),ISNUMBER(E41)),IF(OR(E41&lt;=0,J41&lt;0),"n.m.",J41/E41-1),"n.a.")</f>
        <v>n.m.</v>
      </c>
      <c r="K42" s="14" t="s">
        <v>238</v>
      </c>
    </row>
    <row r="43">
      <c r="A43" s="1"/>
      <c r="B43" s="48" t="s">
        <v>78</v>
      </c>
      <c r="C43" s="2" t="s">
        <v>64</v>
      </c>
      <c r="D43" s="2">
        <f>IFERROR(D41-C41,"n.a.")</f>
        <v>15</v>
      </c>
      <c r="E43" s="2">
        <f>IFERROR(E41-D41,"n.a.")</f>
        <v>-214</v>
      </c>
      <c r="F43" s="2">
        <f>IFERROR(F41-E41,"n.a.")</f>
        <v>159</v>
      </c>
      <c r="G43" s="2" t="s">
        <v>64</v>
      </c>
      <c r="H43" s="2">
        <f>IFERROR(H41-F41,"n.a.")</f>
        <v>-101</v>
      </c>
      <c r="I43" s="2">
        <f>IFERROR(I41-H41,"n.a.")</f>
        <v>172</v>
      </c>
      <c r="J43" s="26">
        <f>IFERROR(J41-I41,"n.a.")</f>
        <v>-34</v>
      </c>
      <c r="K43" s="14"/>
    </row>
    <row r="44" ht="14.624267578125">
      <c r="A44" s="1"/>
      <c r="B44" s="63" t="s">
        <v>166</v>
      </c>
      <c r="C44" s="24">
        <v>-131</v>
      </c>
      <c r="D44" s="24">
        <v>-116</v>
      </c>
      <c r="E44" s="24">
        <v>-330</v>
      </c>
      <c r="F44" s="24">
        <v>-171</v>
      </c>
      <c r="G44" s="2">
        <f>SUM(C44:F44)</f>
        <v>-748</v>
      </c>
      <c r="H44" s="24">
        <v>-272</v>
      </c>
      <c r="I44" s="24">
        <v>-100</v>
      </c>
      <c r="J44" s="26" t="s">
        <v>64</v>
      </c>
      <c r="K44" s="14" t="s">
        <v>128</v>
      </c>
    </row>
    <row r="45" ht="14.624267578125">
      <c r="A45" s="1"/>
      <c r="B45" s="63" t="s">
        <v>167</v>
      </c>
      <c r="C45" s="2">
        <f>C41-C44</f>
        <v>0</v>
      </c>
      <c r="D45" s="2">
        <f>D41-D44</f>
        <v>0</v>
      </c>
      <c r="E45" s="2">
        <f>E41-E44</f>
        <v>0</v>
      </c>
      <c r="F45" s="2">
        <f>F41-F44</f>
        <v>0</v>
      </c>
      <c r="G45" s="2">
        <f>G41-G44</f>
        <v>0</v>
      </c>
      <c r="H45" s="2">
        <f>H41-H44</f>
        <v>0</v>
      </c>
      <c r="I45" s="2">
        <f>I41-I44</f>
        <v>0</v>
      </c>
      <c r="J45" s="26" t="s">
        <v>64</v>
      </c>
      <c r="K45" s="14"/>
    </row>
    <row r="46">
      <c r="A46" s="1"/>
      <c r="B46" s="18" t="s">
        <v>168</v>
      </c>
      <c r="C46" s="24">
        <v>-124</v>
      </c>
      <c r="D46" s="24">
        <v>-114</v>
      </c>
      <c r="E46" s="24">
        <v>-299</v>
      </c>
      <c r="F46" s="24">
        <v>-152</v>
      </c>
      <c r="G46" s="2">
        <f>SUM(C46:F46)</f>
        <v>-689</v>
      </c>
      <c r="H46" s="24">
        <v>-206</v>
      </c>
      <c r="I46" s="24">
        <v>-97</v>
      </c>
      <c r="J46" s="26" t="s">
        <v>169</v>
      </c>
      <c r="K46" s="14" t="s">
        <v>170</v>
      </c>
    </row>
    <row r="47">
      <c r="A47" s="1"/>
      <c r="B47" s="37" t="s">
        <v>63</v>
      </c>
      <c r="C47" s="25" t="s">
        <v>64</v>
      </c>
      <c r="D47" s="25" t="s">
        <v>64</v>
      </c>
      <c r="E47" s="25" t="s">
        <v>64</v>
      </c>
      <c r="F47" s="25" t="s">
        <v>64</v>
      </c>
      <c r="G47" s="25" t="s">
        <v>64</v>
      </c>
      <c r="H47" s="25" t="str">
        <f>IF(AND(ISNUMBER(H46),ISNUMBER(C46)),IF(OR(C46&lt;=0,H46&lt;0),"n.m.",H46/C46-1),"n.a.")</f>
        <v>n.m.</v>
      </c>
      <c r="I47" s="25" t="str">
        <f>IF(AND(ISNUMBER(I46),ISNUMBER(D46)),IF(OR(D46&lt;=0,I46&lt;0),"n.m.",I46/D46-1),"n.a.")</f>
        <v>n.m.</v>
      </c>
      <c r="J47" s="51" t="str">
        <f>IF(AND(ISNUMBER(J46),ISNUMBER(E46)),IF(OR(E46&lt;=0,J46&lt;0),"n.m.",J46/E46-1),"n.a.")</f>
        <v>n.a.</v>
      </c>
      <c r="K47" s="14" t="s">
        <v>238</v>
      </c>
    </row>
    <row r="48">
      <c r="A48" s="1"/>
      <c r="B48" s="18"/>
      <c r="C48" s="19"/>
      <c r="D48" s="19"/>
      <c r="E48" s="19"/>
      <c r="F48" s="19"/>
      <c r="G48" s="19"/>
      <c r="H48" s="19"/>
      <c r="I48" s="19"/>
      <c r="J48" s="27"/>
      <c r="K48" s="14"/>
    </row>
    <row r="49">
      <c r="A49" s="1"/>
      <c r="B49" s="20" t="s">
        <v>354</v>
      </c>
      <c r="C49" s="32"/>
      <c r="D49" s="32"/>
      <c r="E49" s="32"/>
      <c r="F49" s="32"/>
      <c r="G49" s="32"/>
      <c r="H49" s="32"/>
      <c r="I49" s="32"/>
      <c r="J49" s="28"/>
      <c r="K49" s="14"/>
    </row>
    <row r="50">
      <c r="A50" s="1"/>
      <c r="B50" s="18" t="s">
        <v>355</v>
      </c>
      <c r="C50" s="24">
        <v>12.7</v>
      </c>
      <c r="D50" s="24">
        <v>12.6</v>
      </c>
      <c r="E50" s="24">
        <v>12.7</v>
      </c>
      <c r="F50" s="24">
        <v>12.3</v>
      </c>
      <c r="G50" s="2">
        <f>F50</f>
        <v>12.3</v>
      </c>
      <c r="H50" s="24">
        <v>12.3</v>
      </c>
      <c r="I50" s="24">
        <v>12.7</v>
      </c>
      <c r="J50" s="26">
        <f>I50</f>
        <v>12.7</v>
      </c>
      <c r="K50" s="14" t="s">
        <v>356</v>
      </c>
    </row>
    <row r="51">
      <c r="A51" s="1"/>
      <c r="B51" s="37" t="s">
        <v>63</v>
      </c>
      <c r="C51" s="25" t="s">
        <v>64</v>
      </c>
      <c r="D51" s="25" t="s">
        <v>64</v>
      </c>
      <c r="E51" s="25" t="s">
        <v>64</v>
      </c>
      <c r="F51" s="25" t="s">
        <v>64</v>
      </c>
      <c r="G51" s="25" t="s">
        <v>64</v>
      </c>
      <c r="H51" s="25">
        <f>IFERROR(H50/C50-1,"n.a.")</f>
        <v>-0.03149606299212593</v>
      </c>
      <c r="I51" s="25">
        <f>IFERROR(I50/D50-1,"n.a.")</f>
        <v>0.007936507936507908</v>
      </c>
      <c r="J51" s="51">
        <f>IFERROR(J50/E50-1,"n.a.")</f>
        <v>0</v>
      </c>
      <c r="K51" s="14"/>
    </row>
    <row r="52">
      <c r="A52" s="1"/>
      <c r="B52" s="48" t="s">
        <v>78</v>
      </c>
      <c r="C52" s="2" t="s">
        <v>64</v>
      </c>
      <c r="D52" s="2">
        <f>IFERROR(D50-C50,"n.a.")</f>
        <v>-0.09999999999999964</v>
      </c>
      <c r="E52" s="2">
        <f>IFERROR(E50-D50,"n.a.")</f>
        <v>0.09999999999999964</v>
      </c>
      <c r="F52" s="2">
        <f>IFERROR(F50-E50,"n.a.")</f>
        <v>-0.3999999999999986</v>
      </c>
      <c r="G52" s="2" t="s">
        <v>64</v>
      </c>
      <c r="H52" s="2">
        <f>IFERROR(H50-F50,"n.a.")</f>
        <v>0</v>
      </c>
      <c r="I52" s="2">
        <f>IFERROR(I50-H50,"n.a.")</f>
        <v>0.3999999999999986</v>
      </c>
      <c r="J52" s="26">
        <f>IFERROR(J50-I50,"n.a.")</f>
        <v>0</v>
      </c>
      <c r="K52" s="14"/>
    </row>
    <row r="53" ht="14.624267578125">
      <c r="A53" s="1"/>
      <c r="B53" s="13" t="s">
        <v>200</v>
      </c>
      <c r="C53" s="24">
        <v>3.8</v>
      </c>
      <c r="D53" s="24">
        <v>5.5</v>
      </c>
      <c r="E53" s="24">
        <v>6.6</v>
      </c>
      <c r="F53" s="24">
        <v>6.7</v>
      </c>
      <c r="G53" s="2" t="s">
        <v>64</v>
      </c>
      <c r="H53" s="24">
        <v>6.8</v>
      </c>
      <c r="I53" s="24">
        <v>5.6</v>
      </c>
      <c r="J53" s="26" t="s">
        <v>64</v>
      </c>
      <c r="K53" s="14" t="s">
        <v>128</v>
      </c>
    </row>
    <row r="54">
      <c r="A54" s="1"/>
      <c r="B54" s="37" t="s">
        <v>63</v>
      </c>
      <c r="C54" s="25" t="s">
        <v>64</v>
      </c>
      <c r="D54" s="25" t="s">
        <v>64</v>
      </c>
      <c r="E54" s="25" t="s">
        <v>64</v>
      </c>
      <c r="F54" s="25" t="s">
        <v>64</v>
      </c>
      <c r="G54" s="25" t="s">
        <v>64</v>
      </c>
      <c r="H54" s="25">
        <f>IFERROR(H53/C53-1,"n.a.")</f>
        <v>0.7894736842105263</v>
      </c>
      <c r="I54" s="25">
        <f>IFERROR(I53/D53-1,"n.a.")</f>
        <v>0.018181818181818077</v>
      </c>
      <c r="J54" s="51" t="str">
        <f>IFERROR(J53/E53-1,"n.a.")</f>
        <v>n.a.</v>
      </c>
      <c r="K54" s="14"/>
    </row>
    <row r="55">
      <c r="A55" s="1"/>
      <c r="B55" s="48" t="s">
        <v>78</v>
      </c>
      <c r="C55" s="2" t="s">
        <v>64</v>
      </c>
      <c r="D55" s="2">
        <f>IFERROR(D53-C53,"n.a.")</f>
        <v>1.7000000000000002</v>
      </c>
      <c r="E55" s="2">
        <f>IFERROR(E53-D53,"n.a.")</f>
        <v>1.0999999999999996</v>
      </c>
      <c r="F55" s="2">
        <f>IFERROR(F53-E53,"n.a.")</f>
        <v>0.10000000000000053</v>
      </c>
      <c r="G55" s="2" t="s">
        <v>64</v>
      </c>
      <c r="H55" s="2">
        <f>IFERROR(H53-F53,"n.a.")</f>
        <v>0.09999999999999964</v>
      </c>
      <c r="I55" s="2">
        <f>IFERROR(I53-H53,"n.a.")</f>
        <v>-1.2000000000000002</v>
      </c>
      <c r="J55" s="26" t="str">
        <f>IFERROR(J53-I53,"n.a.")</f>
        <v>n.a.</v>
      </c>
      <c r="K55" s="14"/>
    </row>
    <row r="56">
      <c r="A56" s="1"/>
      <c r="B56" s="18"/>
      <c r="C56" s="19"/>
      <c r="D56" s="19"/>
      <c r="E56" s="19"/>
      <c r="F56" s="19"/>
      <c r="G56" s="19"/>
      <c r="H56" s="19"/>
      <c r="I56" s="19"/>
      <c r="J56" s="27"/>
      <c r="K56" s="14"/>
    </row>
    <row r="57">
      <c r="A57" s="1"/>
      <c r="B57" s="20" t="s">
        <v>201</v>
      </c>
      <c r="C57" s="32"/>
      <c r="D57" s="32"/>
      <c r="E57" s="32"/>
      <c r="F57" s="32"/>
      <c r="G57" s="32"/>
      <c r="H57" s="32"/>
      <c r="I57" s="32"/>
      <c r="J57" s="28"/>
      <c r="K57" s="14"/>
    </row>
    <row r="58">
      <c r="A58" s="1"/>
      <c r="B58" s="66" t="s">
        <v>202</v>
      </c>
      <c r="C58" s="25" t="s">
        <v>64</v>
      </c>
      <c r="D58" s="25" t="s">
        <v>64</v>
      </c>
      <c r="E58" s="25" t="s">
        <v>64</v>
      </c>
      <c r="F58" s="25" t="s">
        <v>64</v>
      </c>
      <c r="G58" s="25" t="s">
        <v>64</v>
      </c>
      <c r="H58" s="25">
        <f>IFERROR(H16/C16-1,"n.a.")</f>
        <v>-0.7384615384615385</v>
      </c>
      <c r="I58" s="25">
        <f>IFERROR(I16/D16-1,"n.a.")</f>
        <v>-0.14084507042253525</v>
      </c>
      <c r="J58" s="51">
        <f>IFERROR(J16/E16-1,"n.a.")</f>
        <v>0.4696969696969697</v>
      </c>
      <c r="K58" s="14"/>
    </row>
    <row r="59">
      <c r="A59" s="1"/>
      <c r="B59" s="66" t="s">
        <v>100</v>
      </c>
      <c r="C59" s="25" t="s">
        <v>101</v>
      </c>
      <c r="D59" s="25" t="s">
        <v>101</v>
      </c>
      <c r="E59" s="25" t="s">
        <v>101</v>
      </c>
      <c r="F59" s="25" t="s">
        <v>101</v>
      </c>
      <c r="G59" s="25" t="s">
        <v>101</v>
      </c>
      <c r="H59" s="25" t="s">
        <v>101</v>
      </c>
      <c r="I59" s="25" t="s">
        <v>101</v>
      </c>
      <c r="J59" s="51" t="s">
        <v>101</v>
      </c>
      <c r="K59" s="14" t="s">
        <v>203</v>
      </c>
    </row>
    <row r="60">
      <c r="A60" s="1"/>
      <c r="B60" s="66" t="s">
        <v>103</v>
      </c>
      <c r="C60" s="25" t="s">
        <v>101</v>
      </c>
      <c r="D60" s="25" t="s">
        <v>101</v>
      </c>
      <c r="E60" s="25" t="s">
        <v>101</v>
      </c>
      <c r="F60" s="25" t="s">
        <v>101</v>
      </c>
      <c r="G60" s="25" t="s">
        <v>101</v>
      </c>
      <c r="H60" s="25" t="s">
        <v>101</v>
      </c>
      <c r="I60" s="25" t="s">
        <v>101</v>
      </c>
      <c r="J60" s="51" t="s">
        <v>101</v>
      </c>
      <c r="K60" s="14" t="s">
        <v>204</v>
      </c>
    </row>
    <row r="61" ht="14.624267578125">
      <c r="A61" s="1"/>
      <c r="B61" s="67" t="s">
        <v>205</v>
      </c>
      <c r="C61" s="25" t="str">
        <f>IF(OR(ISTEXT(C58),ISTEXT(C59),ISTEXT(C60)),"n.d.",(1+C58)/((1+C59)*(1+C60))-1)</f>
        <v>n.d.</v>
      </c>
      <c r="D61" s="25" t="str">
        <f>IF(OR(ISTEXT(D58),ISTEXT(D59),ISTEXT(D60)),"n.d.",(1+D58)/((1+D59)*(1+D60))-1)</f>
        <v>n.d.</v>
      </c>
      <c r="E61" s="25" t="str">
        <f>IF(OR(ISTEXT(E58),ISTEXT(E59),ISTEXT(E60)),"n.d.",(1+E58)/((1+E59)*(1+E60))-1)</f>
        <v>n.d.</v>
      </c>
      <c r="F61" s="25" t="str">
        <f>IF(OR(ISTEXT(F58),ISTEXT(F59),ISTEXT(F60)),"n.d.",(1+F58)/((1+F59)*(1+F60))-1)</f>
        <v>n.d.</v>
      </c>
      <c r="G61" s="25" t="str">
        <f>IF(OR(ISTEXT(G58),ISTEXT(G59),ISTEXT(G60)),"n.d.",(1+G58)/((1+G59)*(1+G60))-1)</f>
        <v>n.d.</v>
      </c>
      <c r="H61" s="25" t="str">
        <f>IF(OR(ISTEXT(H58),ISTEXT(H59),ISTEXT(H60)),"n.d.",(1+H58)/((1+H59)*(1+H60))-1)</f>
        <v>n.d.</v>
      </c>
      <c r="I61" s="25" t="str">
        <f>IF(OR(ISTEXT(I58),ISTEXT(I59),ISTEXT(I60)),"n.d.",(1+I58)/((1+I59)*(1+I60))-1)</f>
        <v>n.d.</v>
      </c>
      <c r="J61" s="51" t="str">
        <f>IF(OR(ISTEXT(J58),ISTEXT(J59),ISTEXT(J60)),"n.d.",(1+J58)/((1+J59)*(1+J60))-1)</f>
        <v>n.d.</v>
      </c>
      <c r="K61" s="14" t="s">
        <v>206</v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A1:K96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  <col min="11" max="11" width="9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35" t="s">
        <v>49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9" t="s">
        <v>357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3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6" t="s">
        <v>51</v>
      </c>
      <c r="C5" s="21" t="s">
        <v>52</v>
      </c>
      <c r="D5" s="21" t="s">
        <v>53</v>
      </c>
      <c r="E5" s="21" t="s">
        <v>54</v>
      </c>
      <c r="F5" s="21" t="s">
        <v>55</v>
      </c>
      <c r="G5" s="21" t="s">
        <v>56</v>
      </c>
      <c r="H5" s="21" t="s">
        <v>57</v>
      </c>
      <c r="I5" s="21" t="s">
        <v>58</v>
      </c>
      <c r="J5" s="40" t="s">
        <v>4</v>
      </c>
      <c r="K5" s="6" t="s">
        <v>59</v>
      </c>
    </row>
    <row r="6">
      <c r="A6" s="1"/>
      <c r="B6" s="7" t="s">
        <v>5</v>
      </c>
      <c r="C6" s="29">
        <v>45747</v>
      </c>
      <c r="D6" s="29">
        <v>45838</v>
      </c>
      <c r="E6" s="29">
        <v>45930</v>
      </c>
      <c r="F6" s="29">
        <v>46022</v>
      </c>
      <c r="G6" s="29">
        <v>46022</v>
      </c>
      <c r="H6" s="29">
        <v>46112</v>
      </c>
      <c r="I6" s="29">
        <v>46203</v>
      </c>
      <c r="J6" s="50">
        <v>46295</v>
      </c>
      <c r="K6" s="7"/>
    </row>
    <row r="7">
      <c r="A7" s="1"/>
      <c r="B7" s="12" t="s">
        <v>6</v>
      </c>
      <c r="C7" s="34">
        <f>C6-EOMONTH(C6,-3)</f>
        <v>90</v>
      </c>
      <c r="D7" s="34">
        <f>D6-EOMONTH(D6,-3)</f>
        <v>91</v>
      </c>
      <c r="E7" s="34">
        <f>E6-EOMONTH(E6,-3)</f>
        <v>92</v>
      </c>
      <c r="F7" s="34">
        <f>F6-EOMONTH(F6,-3)</f>
        <v>92</v>
      </c>
      <c r="G7" s="34">
        <f>G6-EOMONTH(G6,-12)</f>
        <v>365</v>
      </c>
      <c r="H7" s="34">
        <f>H6-EOMONTH(H6,-3)</f>
        <v>90</v>
      </c>
      <c r="I7" s="34">
        <f>I6-EOMONTH(I6,-3)</f>
        <v>91</v>
      </c>
      <c r="J7" s="43">
        <f>J6-EOMONTH(J6,-3)</f>
        <v>92</v>
      </c>
      <c r="K7" s="12"/>
    </row>
    <row r="8">
      <c r="A8" s="1"/>
      <c r="B8" s="1"/>
      <c r="C8" s="1"/>
      <c r="D8" s="1"/>
      <c r="E8" s="1"/>
      <c r="F8" s="1"/>
      <c r="G8" s="1"/>
      <c r="H8" s="1"/>
      <c r="I8" s="1"/>
      <c r="J8" s="54"/>
      <c r="K8" s="1"/>
    </row>
    <row r="9">
      <c r="A9" s="1"/>
      <c r="B9" s="20" t="s">
        <v>358</v>
      </c>
      <c r="C9" s="32"/>
      <c r="D9" s="32"/>
      <c r="E9" s="32"/>
      <c r="F9" s="32"/>
      <c r="G9" s="32"/>
      <c r="H9" s="32"/>
      <c r="I9" s="32"/>
      <c r="J9" s="28"/>
      <c r="K9" s="14"/>
    </row>
    <row r="10">
      <c r="A10" s="1"/>
      <c r="B10" s="18" t="s">
        <v>82</v>
      </c>
      <c r="C10" s="4">
        <f>'Revenue summary'!C42</f>
        <v>3517</v>
      </c>
      <c r="D10" s="4">
        <f>'Revenue summary'!D42</f>
        <v>3505</v>
      </c>
      <c r="E10" s="4">
        <f>'Revenue summary'!E42</f>
        <v>3745</v>
      </c>
      <c r="F10" s="4">
        <f>'Revenue summary'!F42</f>
        <v>3734</v>
      </c>
      <c r="G10" s="4">
        <f>'Revenue summary'!G42</f>
        <v>14501</v>
      </c>
      <c r="H10" s="4">
        <f>'Revenue summary'!H42</f>
        <v>3737</v>
      </c>
      <c r="I10" s="4">
        <f>'Revenue summary'!I42</f>
        <v>3921</v>
      </c>
      <c r="J10" s="87">
        <f>'Revenue summary'!J42</f>
        <v>3929.9843701917807</v>
      </c>
      <c r="K10" s="14" t="s">
        <v>359</v>
      </c>
    </row>
    <row r="11">
      <c r="A11" s="1"/>
      <c r="B11" s="37" t="s">
        <v>63</v>
      </c>
      <c r="C11" s="25" t="s">
        <v>64</v>
      </c>
      <c r="D11" s="25" t="s">
        <v>64</v>
      </c>
      <c r="E11" s="25" t="s">
        <v>64</v>
      </c>
      <c r="F11" s="25" t="s">
        <v>64</v>
      </c>
      <c r="G11" s="25" t="s">
        <v>64</v>
      </c>
      <c r="H11" s="25">
        <f>IFERROR(H10/C10-1,"n.a.")</f>
        <v>0.06255331248222906</v>
      </c>
      <c r="I11" s="25">
        <f>IFERROR(I10/D10-1,"n.a.")</f>
        <v>0.11868758915834521</v>
      </c>
      <c r="J11" s="51">
        <f>IFERROR(J10/E10-1,"n.a.")</f>
        <v>0.049395025418365934</v>
      </c>
      <c r="K11" s="14"/>
    </row>
    <row r="12">
      <c r="A12" s="1"/>
      <c r="B12" s="48" t="s">
        <v>78</v>
      </c>
      <c r="C12" s="2" t="s">
        <v>64</v>
      </c>
      <c r="D12" s="2">
        <f>IFERROR(D10-C10,"n.a.")</f>
        <v>-12</v>
      </c>
      <c r="E12" s="2">
        <f>IFERROR(E10-D10,"n.a.")</f>
        <v>240</v>
      </c>
      <c r="F12" s="2">
        <f>IFERROR(F10-E10,"n.a.")</f>
        <v>-11</v>
      </c>
      <c r="G12" s="2" t="s">
        <v>64</v>
      </c>
      <c r="H12" s="2">
        <f>IFERROR(H10-F10,"n.a.")</f>
        <v>3</v>
      </c>
      <c r="I12" s="2">
        <f>IFERROR(I10-H10,"n.a.")</f>
        <v>184</v>
      </c>
      <c r="J12" s="26">
        <f>IFERROR(J10-I10,"n.a.")</f>
        <v>8.984370191780727</v>
      </c>
      <c r="K12" s="14"/>
    </row>
    <row r="13" ht="14.624267578125">
      <c r="A13" s="1"/>
      <c r="B13" s="13" t="s">
        <v>84</v>
      </c>
      <c r="C13" s="4">
        <f>'Revenue summary'!C45</f>
        <v>4192</v>
      </c>
      <c r="D13" s="4">
        <f>'Revenue summary'!D45</f>
        <v>3682</v>
      </c>
      <c r="E13" s="4">
        <f>'Revenue summary'!E45</f>
        <v>3422</v>
      </c>
      <c r="F13" s="4">
        <f>'Revenue summary'!F45</f>
        <v>3343</v>
      </c>
      <c r="G13" s="4">
        <f>'Revenue summary'!G45</f>
        <v>14639</v>
      </c>
      <c r="H13" s="4">
        <f>'Revenue summary'!H45</f>
        <v>4426</v>
      </c>
      <c r="I13" s="4">
        <f>'Revenue summary'!I45</f>
        <v>4417</v>
      </c>
      <c r="J13" s="87">
        <f>'Revenue summary'!J45</f>
        <v>3667.567799999999</v>
      </c>
      <c r="K13" s="14"/>
    </row>
    <row r="14">
      <c r="A14" s="1"/>
      <c r="B14" s="37" t="s">
        <v>63</v>
      </c>
      <c r="C14" s="25" t="s">
        <v>64</v>
      </c>
      <c r="D14" s="25" t="s">
        <v>64</v>
      </c>
      <c r="E14" s="25" t="s">
        <v>64</v>
      </c>
      <c r="F14" s="25" t="s">
        <v>64</v>
      </c>
      <c r="G14" s="25" t="s">
        <v>64</v>
      </c>
      <c r="H14" s="25">
        <f>IFERROR(H13/C13-1,"n.a.")</f>
        <v>0.05582061068702293</v>
      </c>
      <c r="I14" s="25">
        <f>IFERROR(I13/D13-1,"n.a.")</f>
        <v>0.19961977186311786</v>
      </c>
      <c r="J14" s="51">
        <f>IFERROR(J13/E13-1,"n.a.")</f>
        <v>0.07176148451198094</v>
      </c>
      <c r="K14" s="14"/>
    </row>
    <row r="15">
      <c r="A15" s="1"/>
      <c r="B15" s="48" t="s">
        <v>78</v>
      </c>
      <c r="C15" s="2" t="s">
        <v>64</v>
      </c>
      <c r="D15" s="2">
        <f>IFERROR(D13-C13,"n.a.")</f>
        <v>-510</v>
      </c>
      <c r="E15" s="2">
        <f>IFERROR(E13-D13,"n.a.")</f>
        <v>-260</v>
      </c>
      <c r="F15" s="2">
        <f>IFERROR(F13-E13,"n.a.")</f>
        <v>-79</v>
      </c>
      <c r="G15" s="2" t="s">
        <v>64</v>
      </c>
      <c r="H15" s="2">
        <f>IFERROR(H13-F13,"n.a.")</f>
        <v>1083</v>
      </c>
      <c r="I15" s="2">
        <f>IFERROR(I13-H13,"n.a.")</f>
        <v>-9</v>
      </c>
      <c r="J15" s="26">
        <f>IFERROR(J13-I13,"n.a.")</f>
        <v>-749.4322000000011</v>
      </c>
      <c r="K15" s="14"/>
    </row>
    <row r="16">
      <c r="A16" s="1"/>
      <c r="B16" s="20" t="s">
        <v>136</v>
      </c>
      <c r="C16" s="16">
        <f>C10+C13</f>
        <v>7709</v>
      </c>
      <c r="D16" s="16">
        <f>D10+D13</f>
        <v>7187</v>
      </c>
      <c r="E16" s="16">
        <f>E10+E13</f>
        <v>7167</v>
      </c>
      <c r="F16" s="16">
        <f>F10+F13</f>
        <v>7077</v>
      </c>
      <c r="G16" s="16">
        <f>G10+G13</f>
        <v>29140</v>
      </c>
      <c r="H16" s="16">
        <f>H10+H13</f>
        <v>8163</v>
      </c>
      <c r="I16" s="16">
        <f>I10+I13</f>
        <v>8338</v>
      </c>
      <c r="J16" s="65">
        <f>J10+J13</f>
        <v>7597.55217019178</v>
      </c>
      <c r="K16" s="14"/>
    </row>
    <row r="17">
      <c r="A17" s="1"/>
      <c r="B17" s="37" t="s">
        <v>63</v>
      </c>
      <c r="C17" s="25" t="s">
        <v>64</v>
      </c>
      <c r="D17" s="25" t="s">
        <v>64</v>
      </c>
      <c r="E17" s="25" t="s">
        <v>64</v>
      </c>
      <c r="F17" s="25" t="s">
        <v>64</v>
      </c>
      <c r="G17" s="25" t="s">
        <v>64</v>
      </c>
      <c r="H17" s="25">
        <f>IFERROR(H16/C16-1,"n.a.")</f>
        <v>0.05889220391749905</v>
      </c>
      <c r="I17" s="25">
        <f>IFERROR(I16/D16-1,"n.a.")</f>
        <v>0.16015027132322257</v>
      </c>
      <c r="J17" s="51">
        <f>IFERROR(J16/E16-1,"n.a.")</f>
        <v>0.06007425285220869</v>
      </c>
      <c r="K17" s="14"/>
    </row>
    <row r="18">
      <c r="A18" s="1"/>
      <c r="B18" s="37" t="s">
        <v>65</v>
      </c>
      <c r="C18" s="25" t="s">
        <v>64</v>
      </c>
      <c r="D18" s="25">
        <f>IFERROR(D16/C16-1,"n.a.")</f>
        <v>-0.06771306265404076</v>
      </c>
      <c r="E18" s="25">
        <f>IFERROR(E16/D16-1,"n.a.")</f>
        <v>-0.002782802281897867</v>
      </c>
      <c r="F18" s="25">
        <f>IFERROR(F16/E16-1,"n.a.")</f>
        <v>-0.012557555462536674</v>
      </c>
      <c r="G18" s="25" t="s">
        <v>64</v>
      </c>
      <c r="H18" s="25">
        <f>IFERROR(H16/F16-1,"n.a.")</f>
        <v>0.15345485375158963</v>
      </c>
      <c r="I18" s="25">
        <f>IFERROR(I16/H16-1,"n.a.")</f>
        <v>0.021438196741394133</v>
      </c>
      <c r="J18" s="51">
        <f>IFERROR(J16/I16-1,"n.a.")</f>
        <v>-0.08880400933176069</v>
      </c>
      <c r="K18" s="14"/>
    </row>
    <row r="19" ht="14.624267578125">
      <c r="A19" s="1"/>
      <c r="B19" s="63" t="s">
        <v>360</v>
      </c>
      <c r="C19" s="4">
        <f>Inputs!I105</f>
        <v>7709</v>
      </c>
      <c r="D19" s="4">
        <f>Inputs!I106</f>
        <v>7187</v>
      </c>
      <c r="E19" s="4">
        <f>Inputs!I107</f>
        <v>7167</v>
      </c>
      <c r="F19" s="4">
        <f>Inputs!I108</f>
        <v>7077</v>
      </c>
      <c r="G19" s="2" t="s">
        <v>64</v>
      </c>
      <c r="H19" s="4">
        <f>Inputs!I109</f>
        <v>8163</v>
      </c>
      <c r="I19" s="4">
        <f>Inputs!I110</f>
        <v>8338</v>
      </c>
      <c r="J19" s="26" t="s">
        <v>64</v>
      </c>
      <c r="K19" s="14" t="s">
        <v>361</v>
      </c>
    </row>
    <row r="20" ht="23.24853515625">
      <c r="A20" s="1"/>
      <c r="B20" s="63" t="s">
        <v>362</v>
      </c>
      <c r="C20" s="2">
        <f>C16-C19</f>
        <v>0</v>
      </c>
      <c r="D20" s="2">
        <f>D16-D19</f>
        <v>0</v>
      </c>
      <c r="E20" s="2">
        <f>E16-E19</f>
        <v>0</v>
      </c>
      <c r="F20" s="2">
        <f>F16-F19</f>
        <v>0</v>
      </c>
      <c r="G20" s="2" t="s">
        <v>64</v>
      </c>
      <c r="H20" s="2">
        <f>H16-H19</f>
        <v>0</v>
      </c>
      <c r="I20" s="2">
        <f>I16-I19</f>
        <v>0</v>
      </c>
      <c r="J20" s="26" t="s">
        <v>64</v>
      </c>
      <c r="K20" s="14"/>
    </row>
    <row r="21">
      <c r="A21" s="1"/>
      <c r="B21" s="18" t="s">
        <v>150</v>
      </c>
      <c r="C21" s="4">
        <f>'Segment - Barclays UK'!C48+'Segment - UK Corporate Bank'!C48+'Segment - Private Bank &amp; WM'!C37+'Segment - Investment Bank'!C97+'Segment - US Consumer Bank'!C44+'Segment - Head Office'!C24</f>
        <v>-4258</v>
      </c>
      <c r="D21" s="4">
        <f>'Segment - Barclays UK'!D48+'Segment - UK Corporate Bank'!D48+'Segment - Private Bank &amp; WM'!D37+'Segment - Investment Bank'!D97+'Segment - US Consumer Bank'!D44+'Segment - Head Office'!D24</f>
        <v>-4149</v>
      </c>
      <c r="E21" s="4">
        <f>'Segment - Barclays UK'!E48+'Segment - UK Corporate Bank'!E48+'Segment - Private Bank &amp; WM'!E37+'Segment - Investment Bank'!E97+'Segment - US Consumer Bank'!E44+'Segment - Head Office'!E24</f>
        <v>-4254</v>
      </c>
      <c r="F21" s="4">
        <f>'Segment - Barclays UK'!F48+'Segment - UK Corporate Bank'!F48+'Segment - Private Bank &amp; WM'!F37+'Segment - Investment Bank'!F97+'Segment - US Consumer Bank'!F44+'Segment - Head Office'!F24</f>
        <v>-4379</v>
      </c>
      <c r="G21" s="4">
        <f>'Segment - Barclays UK'!G48+'Segment - UK Corporate Bank'!G48+'Segment - Private Bank &amp; WM'!G37+'Segment - Investment Bank'!G97+'Segment - US Consumer Bank'!G44+'Segment - Head Office'!G24</f>
        <v>-17040</v>
      </c>
      <c r="H21" s="4">
        <f>'Segment - Barclays UK'!H48+'Segment - UK Corporate Bank'!H48+'Segment - Private Bank &amp; WM'!H37+'Segment - Investment Bank'!H97+'Segment - US Consumer Bank'!H44+'Segment - Head Office'!H24</f>
        <v>-4359</v>
      </c>
      <c r="I21" s="4">
        <f>'Segment - Barclays UK'!I48+'Segment - UK Corporate Bank'!I48+'Segment - Private Bank &amp; WM'!I37+'Segment - Investment Bank'!I97+'Segment - US Consumer Bank'!I44+'Segment - Head Office'!I24</f>
        <v>-4514</v>
      </c>
      <c r="J21" s="87">
        <f>'Segment - Barclays UK'!J48+'Segment - UK Corporate Bank'!J48+'Segment - Private Bank &amp; WM'!J37+'Segment - Investment Bank'!J97+'Segment - US Consumer Bank'!J44+'Segment - Head Office'!J24</f>
        <v>-4620.44534</v>
      </c>
      <c r="K21" s="14" t="s">
        <v>363</v>
      </c>
    </row>
    <row r="22">
      <c r="A22" s="1"/>
      <c r="B22" s="37" t="s">
        <v>63</v>
      </c>
      <c r="C22" s="25" t="s">
        <v>64</v>
      </c>
      <c r="D22" s="25" t="s">
        <v>64</v>
      </c>
      <c r="E22" s="25" t="s">
        <v>64</v>
      </c>
      <c r="F22" s="25" t="s">
        <v>64</v>
      </c>
      <c r="G22" s="25" t="s">
        <v>64</v>
      </c>
      <c r="H22" s="25">
        <f>IFERROR(H21/C21-1,"n.a.")</f>
        <v>0.02372005636449037</v>
      </c>
      <c r="I22" s="25">
        <f>IFERROR(I21/D21-1,"n.a.")</f>
        <v>0.0879730055435044</v>
      </c>
      <c r="J22" s="51">
        <f>IFERROR(J21/E21-1,"n.a.")</f>
        <v>0.08614135872120365</v>
      </c>
      <c r="K22" s="14"/>
    </row>
    <row r="23">
      <c r="A23" s="1"/>
      <c r="B23" s="48" t="s">
        <v>78</v>
      </c>
      <c r="C23" s="2" t="s">
        <v>64</v>
      </c>
      <c r="D23" s="2">
        <f>IFERROR(D21-C21,"n.a.")</f>
        <v>109</v>
      </c>
      <c r="E23" s="2">
        <f>IFERROR(E21-D21,"n.a.")</f>
        <v>-105</v>
      </c>
      <c r="F23" s="2">
        <f>IFERROR(F21-E21,"n.a.")</f>
        <v>-125</v>
      </c>
      <c r="G23" s="2" t="s">
        <v>64</v>
      </c>
      <c r="H23" s="2">
        <f>IFERROR(H21-F21,"n.a.")</f>
        <v>20</v>
      </c>
      <c r="I23" s="2">
        <f>IFERROR(I21-H21,"n.a.")</f>
        <v>-155</v>
      </c>
      <c r="J23" s="26">
        <f>IFERROR(J21-I21,"n.a.")</f>
        <v>-106.44534000000021</v>
      </c>
      <c r="K23" s="14"/>
    </row>
    <row r="24">
      <c r="A24" s="1"/>
      <c r="B24" s="18" t="s">
        <v>151</v>
      </c>
      <c r="C24" s="4">
        <f>'Segment - Barclays UK'!C51+'Segment - UK Corporate Bank'!C51+'Segment - Private Bank &amp; WM'!C40+'Segment - Investment Bank'!C100+'Segment - US Consumer Bank'!C47+'Segment - Head Office'!C27</f>
        <v>-96</v>
      </c>
      <c r="D24" s="4">
        <f>'Segment - Barclays UK'!D51+'Segment - UK Corporate Bank'!D51+'Segment - Private Bank &amp; WM'!D40+'Segment - Investment Bank'!D100+'Segment - US Consumer Bank'!D47+'Segment - Head Office'!D27</f>
        <v>0</v>
      </c>
      <c r="E24" s="4">
        <f>'Segment - Barclays UK'!E51+'Segment - UK Corporate Bank'!E51+'Segment - Private Bank &amp; WM'!E40+'Segment - Investment Bank'!E100+'Segment - US Consumer Bank'!E47+'Segment - Head Office'!E27</f>
        <v>12</v>
      </c>
      <c r="F24" s="4">
        <f>'Segment - Barclays UK'!F51+'Segment - UK Corporate Bank'!F51+'Segment - Private Bank &amp; WM'!F40+'Segment - Investment Bank'!F100+'Segment - US Consumer Bank'!F47+'Segment - Head Office'!F27</f>
        <v>-229</v>
      </c>
      <c r="G24" s="4">
        <f>'Segment - Barclays UK'!G51+'Segment - UK Corporate Bank'!G51+'Segment - Private Bank &amp; WM'!G40+'Segment - Investment Bank'!G100+'Segment - US Consumer Bank'!G47+'Segment - Head Office'!G27</f>
        <v>-313</v>
      </c>
      <c r="H24" s="4">
        <f>'Segment - Barclays UK'!H51+'Segment - UK Corporate Bank'!H51+'Segment - Private Bank &amp; WM'!H40+'Segment - Investment Bank'!H100+'Segment - US Consumer Bank'!H47+'Segment - Head Office'!H27</f>
        <v>-84</v>
      </c>
      <c r="I24" s="4">
        <f>'Segment - Barclays UK'!I51+'Segment - UK Corporate Bank'!I51+'Segment - Private Bank &amp; WM'!I40+'Segment - Investment Bank'!I100+'Segment - US Consumer Bank'!I47+'Segment - Head Office'!I27</f>
        <v>0</v>
      </c>
      <c r="J24" s="87">
        <f>'Segment - Barclays UK'!J51+'Segment - UK Corporate Bank'!J51+'Segment - Private Bank &amp; WM'!J40+'Segment - Investment Bank'!J100+'Segment - US Consumer Bank'!J47+'Segment - Head Office'!J27</f>
        <v>0</v>
      </c>
      <c r="K24" s="14"/>
    </row>
    <row r="25">
      <c r="A25" s="1"/>
      <c r="B25" s="18" t="s">
        <v>153</v>
      </c>
      <c r="C25" s="4">
        <f>'Segment - Barclays UK'!C52+'Segment - UK Corporate Bank'!C52+'Segment - Private Bank &amp; WM'!C41+'Segment - Investment Bank'!C101+'Segment - US Consumer Bank'!C48+'Segment - Head Office'!C28</f>
        <v>-11</v>
      </c>
      <c r="D25" s="4">
        <f>'Segment - Barclays UK'!D52+'Segment - UK Corporate Bank'!D52+'Segment - Private Bank &amp; WM'!D41+'Segment - Investment Bank'!D101+'Segment - US Consumer Bank'!D48+'Segment - Head Office'!D28</f>
        <v>-76</v>
      </c>
      <c r="E25" s="4">
        <f>'Segment - Barclays UK'!E52+'Segment - UK Corporate Bank'!E52+'Segment - Private Bank &amp; WM'!E41+'Segment - Investment Bank'!E101+'Segment - US Consumer Bank'!E48+'Segment - Head Office'!E28</f>
        <v>-255</v>
      </c>
      <c r="F25" s="4">
        <f>'Segment - Barclays UK'!F52+'Segment - UK Corporate Bank'!F52+'Segment - Private Bank &amp; WM'!F41+'Segment - Investment Bank'!F101+'Segment - US Consumer Bank'!F48+'Segment - Head Office'!F28</f>
        <v>-50</v>
      </c>
      <c r="G25" s="4">
        <f>'Segment - Barclays UK'!G52+'Segment - UK Corporate Bank'!G52+'Segment - Private Bank &amp; WM'!G41+'Segment - Investment Bank'!G101+'Segment - US Consumer Bank'!G48+'Segment - Head Office'!G28</f>
        <v>-392</v>
      </c>
      <c r="H25" s="4">
        <f>'Segment - Barclays UK'!H52+'Segment - UK Corporate Bank'!H52+'Segment - Private Bank &amp; WM'!H41+'Segment - Investment Bank'!H101+'Segment - US Consumer Bank'!H48+'Segment - Head Office'!H28</f>
        <v>-104</v>
      </c>
      <c r="I25" s="4">
        <f>'Segment - Barclays UK'!I52+'Segment - UK Corporate Bank'!I52+'Segment - Private Bank &amp; WM'!I41+'Segment - Investment Bank'!I101+'Segment - US Consumer Bank'!I48+'Segment - Head Office'!I28</f>
        <v>-4</v>
      </c>
      <c r="J25" s="87">
        <f>'Segment - Barclays UK'!J52+'Segment - UK Corporate Bank'!J52+'Segment - Private Bank &amp; WM'!J41+'Segment - Investment Bank'!J101+'Segment - US Consumer Bank'!J48+'Segment - Head Office'!J28</f>
        <v>-30</v>
      </c>
      <c r="K25" s="14"/>
    </row>
    <row r="26">
      <c r="A26" s="1"/>
      <c r="B26" s="20" t="s">
        <v>155</v>
      </c>
      <c r="C26" s="16">
        <f>C21+C24+C25</f>
        <v>-4365</v>
      </c>
      <c r="D26" s="16">
        <f>D21+D24+D25</f>
        <v>-4225</v>
      </c>
      <c r="E26" s="16">
        <f>E21+E24+E25</f>
        <v>-4497</v>
      </c>
      <c r="F26" s="16">
        <f>F21+F24+F25</f>
        <v>-4658</v>
      </c>
      <c r="G26" s="16">
        <f>G21+G24+G25</f>
        <v>-17745</v>
      </c>
      <c r="H26" s="16">
        <f>H21+H24+H25</f>
        <v>-4547</v>
      </c>
      <c r="I26" s="16">
        <f>I21+I24+I25</f>
        <v>-4518</v>
      </c>
      <c r="J26" s="65">
        <f>J21+J24+J25</f>
        <v>-4650.44534</v>
      </c>
      <c r="K26" s="14"/>
    </row>
    <row r="27">
      <c r="A27" s="1"/>
      <c r="B27" s="37" t="s">
        <v>63</v>
      </c>
      <c r="C27" s="25" t="s">
        <v>64</v>
      </c>
      <c r="D27" s="25" t="s">
        <v>64</v>
      </c>
      <c r="E27" s="25" t="s">
        <v>64</v>
      </c>
      <c r="F27" s="25" t="s">
        <v>64</v>
      </c>
      <c r="G27" s="25" t="s">
        <v>64</v>
      </c>
      <c r="H27" s="25">
        <f>IFERROR(H26/C26-1,"n.a.")</f>
        <v>0.04169530355097373</v>
      </c>
      <c r="I27" s="25">
        <f>IFERROR(I26/D26-1,"n.a.")</f>
        <v>0.06934911242603548</v>
      </c>
      <c r="J27" s="51">
        <f>IFERROR(J26/E26-1,"n.a.")</f>
        <v>0.03412171225261296</v>
      </c>
      <c r="K27" s="14"/>
    </row>
    <row r="28">
      <c r="A28" s="1"/>
      <c r="B28" s="48" t="s">
        <v>78</v>
      </c>
      <c r="C28" s="2" t="s">
        <v>64</v>
      </c>
      <c r="D28" s="2">
        <f>IFERROR(D26-C26,"n.a.")</f>
        <v>140</v>
      </c>
      <c r="E28" s="2">
        <f>IFERROR(E26-D26,"n.a.")</f>
        <v>-272</v>
      </c>
      <c r="F28" s="2">
        <f>IFERROR(F26-E26,"n.a.")</f>
        <v>-161</v>
      </c>
      <c r="G28" s="2" t="s">
        <v>64</v>
      </c>
      <c r="H28" s="2">
        <f>IFERROR(H26-F26,"n.a.")</f>
        <v>111</v>
      </c>
      <c r="I28" s="2">
        <f>IFERROR(I26-H26,"n.a.")</f>
        <v>29</v>
      </c>
      <c r="J28" s="26">
        <f>IFERROR(J26-I26,"n.a.")</f>
        <v>-132.44534000000021</v>
      </c>
      <c r="K28" s="14"/>
    </row>
    <row r="29">
      <c r="A29" s="1"/>
      <c r="B29" s="18" t="s">
        <v>156</v>
      </c>
      <c r="C29" s="4">
        <f>'Segment - Barclays UK'!C56+'Segment - UK Corporate Bank'!C56+'Segment - Private Bank &amp; WM'!C45+'Segment - Investment Bank'!C105+'Segment - US Consumer Bank'!C52+'Segment - Head Office'!C32</f>
        <v>18</v>
      </c>
      <c r="D29" s="4">
        <f>'Segment - Barclays UK'!D56+'Segment - UK Corporate Bank'!D56+'Segment - Private Bank &amp; WM'!D45+'Segment - Investment Bank'!D105+'Segment - US Consumer Bank'!D52+'Segment - Head Office'!D32</f>
        <v>-9</v>
      </c>
      <c r="E29" s="4">
        <f>'Segment - Barclays UK'!E56+'Segment - UK Corporate Bank'!E56+'Segment - Private Bank &amp; WM'!E45+'Segment - Investment Bank'!E105+'Segment - US Consumer Bank'!E52+'Segment - Head Office'!E32</f>
        <v>39</v>
      </c>
      <c r="F29" s="4">
        <f>'Segment - Barclays UK'!F56+'Segment - UK Corporate Bank'!F56+'Segment - Private Bank &amp; WM'!F45+'Segment - Investment Bank'!F105+'Segment - US Consumer Bank'!F52+'Segment - Head Office'!F32</f>
        <v>-25</v>
      </c>
      <c r="G29" s="4">
        <f>'Segment - Barclays UK'!G56+'Segment - UK Corporate Bank'!G56+'Segment - Private Bank &amp; WM'!G45+'Segment - Investment Bank'!G105+'Segment - US Consumer Bank'!G52+'Segment - Head Office'!G32</f>
        <v>23</v>
      </c>
      <c r="H29" s="4">
        <f>'Segment - Barclays UK'!H56+'Segment - UK Corporate Bank'!H56+'Segment - Private Bank &amp; WM'!H45+'Segment - Investment Bank'!H105+'Segment - US Consumer Bank'!H52+'Segment - Head Office'!H32</f>
        <v>21</v>
      </c>
      <c r="I29" s="4">
        <f>'Segment - Barclays UK'!I56+'Segment - UK Corporate Bank'!I56+'Segment - Private Bank &amp; WM'!I45+'Segment - Investment Bank'!I105+'Segment - US Consumer Bank'!I52+'Segment - Head Office'!I32</f>
        <v>3</v>
      </c>
      <c r="J29" s="87">
        <f>'Segment - Barclays UK'!J56+'Segment - UK Corporate Bank'!J56+'Segment - Private Bank &amp; WM'!J45+'Segment - Investment Bank'!J105+'Segment - US Consumer Bank'!J52+'Segment - Head Office'!J32</f>
        <v>9.5</v>
      </c>
      <c r="K29" s="14"/>
    </row>
    <row r="30">
      <c r="A30" s="1"/>
      <c r="B30" s="20" t="s">
        <v>157</v>
      </c>
      <c r="C30" s="16">
        <f>C16+C26+C29</f>
        <v>3362</v>
      </c>
      <c r="D30" s="16">
        <f>D16+D26+D29</f>
        <v>2953</v>
      </c>
      <c r="E30" s="16">
        <f>E16+E26+E29</f>
        <v>2709</v>
      </c>
      <c r="F30" s="16">
        <f>F16+F26+F29</f>
        <v>2394</v>
      </c>
      <c r="G30" s="16">
        <f>G16+G26+G29</f>
        <v>11418</v>
      </c>
      <c r="H30" s="16">
        <f>H16+H26+H29</f>
        <v>3637</v>
      </c>
      <c r="I30" s="16">
        <f>I16+I26+I29</f>
        <v>3823</v>
      </c>
      <c r="J30" s="65">
        <f>J16+J26+J29</f>
        <v>2956.6068301917794</v>
      </c>
      <c r="K30" s="14"/>
    </row>
    <row r="31">
      <c r="A31" s="1"/>
      <c r="B31" s="37" t="s">
        <v>63</v>
      </c>
      <c r="C31" s="25" t="s">
        <v>64</v>
      </c>
      <c r="D31" s="25" t="s">
        <v>64</v>
      </c>
      <c r="E31" s="25" t="s">
        <v>64</v>
      </c>
      <c r="F31" s="25" t="s">
        <v>64</v>
      </c>
      <c r="G31" s="25" t="s">
        <v>64</v>
      </c>
      <c r="H31" s="25">
        <f>IFERROR(H30/C30-1,"n.a.")</f>
        <v>0.08179654967281391</v>
      </c>
      <c r="I31" s="25">
        <f>IFERROR(I30/D30-1,"n.a.")</f>
        <v>0.29461564510667126</v>
      </c>
      <c r="J31" s="51">
        <f>IFERROR(J30/E30-1,"n.a.")</f>
        <v>0.09140156153258738</v>
      </c>
      <c r="K31" s="14"/>
    </row>
    <row r="32">
      <c r="A32" s="1"/>
      <c r="B32" s="48" t="s">
        <v>78</v>
      </c>
      <c r="C32" s="2" t="s">
        <v>64</v>
      </c>
      <c r="D32" s="2">
        <f>IFERROR(D30-C30,"n.a.")</f>
        <v>-409</v>
      </c>
      <c r="E32" s="2">
        <f>IFERROR(E30-D30,"n.a.")</f>
        <v>-244</v>
      </c>
      <c r="F32" s="2">
        <f>IFERROR(F30-E30,"n.a.")</f>
        <v>-315</v>
      </c>
      <c r="G32" s="2" t="s">
        <v>64</v>
      </c>
      <c r="H32" s="2">
        <f>IFERROR(H30-F30,"n.a.")</f>
        <v>1243</v>
      </c>
      <c r="I32" s="2">
        <f>IFERROR(I30-H30,"n.a.")</f>
        <v>186</v>
      </c>
      <c r="J32" s="26">
        <f>IFERROR(J30-I30,"n.a.")</f>
        <v>-866.3931698082206</v>
      </c>
      <c r="K32" s="14"/>
    </row>
    <row r="33">
      <c r="A33" s="1"/>
      <c r="B33" s="18" t="s">
        <v>164</v>
      </c>
      <c r="C33" s="4">
        <f>'Segment - Barclays UK'!C65+'Segment - UK Corporate Bank'!C63+'Segment - Private Bank &amp; WM'!C52+'Segment - Investment Bank'!C112+'Segment - US Consumer Bank'!C59+'Segment - Head Office'!C38</f>
        <v>-643</v>
      </c>
      <c r="D33" s="4">
        <f>'Segment - Barclays UK'!D65+'Segment - UK Corporate Bank'!D63+'Segment - Private Bank &amp; WM'!D52+'Segment - Investment Bank'!D112+'Segment - US Consumer Bank'!D59+'Segment - Head Office'!D38</f>
        <v>-469</v>
      </c>
      <c r="E33" s="4">
        <f>'Segment - Barclays UK'!E65+'Segment - UK Corporate Bank'!E63+'Segment - Private Bank &amp; WM'!E52+'Segment - Investment Bank'!E112+'Segment - US Consumer Bank'!E59+'Segment - Head Office'!E38</f>
        <v>-632</v>
      </c>
      <c r="F33" s="4">
        <f>'Segment - Barclays UK'!F65+'Segment - UK Corporate Bank'!F63+'Segment - Private Bank &amp; WM'!F52+'Segment - Investment Bank'!F112+'Segment - US Consumer Bank'!F59+'Segment - Head Office'!F38</f>
        <v>-535</v>
      </c>
      <c r="G33" s="4">
        <f>'Segment - Barclays UK'!G65+'Segment - UK Corporate Bank'!G63+'Segment - Private Bank &amp; WM'!G52+'Segment - Investment Bank'!G112+'Segment - US Consumer Bank'!G59+'Segment - Head Office'!G38</f>
        <v>-2279</v>
      </c>
      <c r="H33" s="4">
        <f>'Segment - Barclays UK'!H65+'Segment - UK Corporate Bank'!H63+'Segment - Private Bank &amp; WM'!H52+'Segment - Investment Bank'!H112+'Segment - US Consumer Bank'!H59+'Segment - Head Office'!H38</f>
        <v>-823</v>
      </c>
      <c r="I33" s="4">
        <f>'Segment - Barclays UK'!I65+'Segment - UK Corporate Bank'!I63+'Segment - Private Bank &amp; WM'!I52+'Segment - Investment Bank'!I112+'Segment - US Consumer Bank'!I59+'Segment - Head Office'!I38</f>
        <v>-571</v>
      </c>
      <c r="J33" s="87">
        <f>'Segment - Barclays UK'!J65+'Segment - UK Corporate Bank'!J63+'Segment - Private Bank &amp; WM'!J52+'Segment - Investment Bank'!J112+'Segment - US Consumer Bank'!J59+'Segment - Head Office'!J38</f>
        <v>-586.6818402191782</v>
      </c>
      <c r="K33" s="14"/>
    </row>
    <row r="34">
      <c r="A34" s="1"/>
      <c r="B34" s="37" t="s">
        <v>63</v>
      </c>
      <c r="C34" s="25" t="s">
        <v>64</v>
      </c>
      <c r="D34" s="25" t="s">
        <v>64</v>
      </c>
      <c r="E34" s="25" t="s">
        <v>64</v>
      </c>
      <c r="F34" s="25" t="s">
        <v>64</v>
      </c>
      <c r="G34" s="25" t="s">
        <v>64</v>
      </c>
      <c r="H34" s="25">
        <f>IFERROR(H33/C33-1,"n.a.")</f>
        <v>0.27993779160186616</v>
      </c>
      <c r="I34" s="25">
        <f>IFERROR(I33/D33-1,"n.a.")</f>
        <v>0.21748400852878458</v>
      </c>
      <c r="J34" s="51">
        <f>IFERROR(J33/E33-1,"n.a.")</f>
        <v>-0.07170594902028771</v>
      </c>
      <c r="K34" s="14"/>
    </row>
    <row r="35">
      <c r="A35" s="1"/>
      <c r="B35" s="48" t="s">
        <v>78</v>
      </c>
      <c r="C35" s="2" t="s">
        <v>64</v>
      </c>
      <c r="D35" s="2">
        <f>IFERROR(D33-C33,"n.a.")</f>
        <v>174</v>
      </c>
      <c r="E35" s="2">
        <f>IFERROR(E33-D33,"n.a.")</f>
        <v>-163</v>
      </c>
      <c r="F35" s="2">
        <f>IFERROR(F33-E33,"n.a.")</f>
        <v>97</v>
      </c>
      <c r="G35" s="2" t="s">
        <v>64</v>
      </c>
      <c r="H35" s="2">
        <f>IFERROR(H33-F33,"n.a.")</f>
        <v>-288</v>
      </c>
      <c r="I35" s="2">
        <f>IFERROR(I33-H33,"n.a.")</f>
        <v>252</v>
      </c>
      <c r="J35" s="26">
        <f>IFERROR(J33-I33,"n.a.")</f>
        <v>-15.681840219178184</v>
      </c>
      <c r="K35" s="14"/>
    </row>
    <row r="36">
      <c r="A36" s="1"/>
      <c r="B36" s="20" t="s">
        <v>165</v>
      </c>
      <c r="C36" s="16">
        <f>C30+C33</f>
        <v>2719</v>
      </c>
      <c r="D36" s="16">
        <f>D30+D33</f>
        <v>2484</v>
      </c>
      <c r="E36" s="16">
        <f>E30+E33</f>
        <v>2077</v>
      </c>
      <c r="F36" s="16">
        <f>F30+F33</f>
        <v>1859</v>
      </c>
      <c r="G36" s="16">
        <f>G30+G33</f>
        <v>9139</v>
      </c>
      <c r="H36" s="16">
        <f>H30+H33</f>
        <v>2814</v>
      </c>
      <c r="I36" s="16">
        <f>I30+I33</f>
        <v>3252</v>
      </c>
      <c r="J36" s="65">
        <f>J30+J33</f>
        <v>2369.924989972601</v>
      </c>
      <c r="K36" s="14"/>
    </row>
    <row r="37">
      <c r="A37" s="1"/>
      <c r="B37" s="37" t="s">
        <v>63</v>
      </c>
      <c r="C37" s="25" t="s">
        <v>64</v>
      </c>
      <c r="D37" s="25" t="s">
        <v>64</v>
      </c>
      <c r="E37" s="25" t="s">
        <v>64</v>
      </c>
      <c r="F37" s="25" t="s">
        <v>64</v>
      </c>
      <c r="G37" s="25" t="s">
        <v>64</v>
      </c>
      <c r="H37" s="25">
        <f>IFERROR(H36/C36-1,"n.a.")</f>
        <v>0.03493931592497246</v>
      </c>
      <c r="I37" s="25">
        <f>IFERROR(I36/D36-1,"n.a.")</f>
        <v>0.3091787439613527</v>
      </c>
      <c r="J37" s="51">
        <f>IFERROR(J36/E36-1,"n.a.")</f>
        <v>0.1410327347003375</v>
      </c>
      <c r="K37" s="14"/>
    </row>
    <row r="38">
      <c r="A38" s="1"/>
      <c r="B38" s="48" t="s">
        <v>78</v>
      </c>
      <c r="C38" s="2" t="s">
        <v>64</v>
      </c>
      <c r="D38" s="2">
        <f>IFERROR(D36-C36,"n.a.")</f>
        <v>-235</v>
      </c>
      <c r="E38" s="2">
        <f>IFERROR(E36-D36,"n.a.")</f>
        <v>-407</v>
      </c>
      <c r="F38" s="2">
        <f>IFERROR(F36-E36,"n.a.")</f>
        <v>-218</v>
      </c>
      <c r="G38" s="2" t="s">
        <v>64</v>
      </c>
      <c r="H38" s="2">
        <f>IFERROR(H36-F36,"n.a.")</f>
        <v>955</v>
      </c>
      <c r="I38" s="2">
        <f>IFERROR(I36-H36,"n.a.")</f>
        <v>438</v>
      </c>
      <c r="J38" s="26">
        <f>IFERROR(J36-I36,"n.a.")</f>
        <v>-882.075010027399</v>
      </c>
      <c r="K38" s="14"/>
    </row>
    <row r="39" ht="23.24853515625">
      <c r="A39" s="1"/>
      <c r="B39" s="63" t="s">
        <v>364</v>
      </c>
      <c r="C39" s="4">
        <f>C36-('Segment - Barclays UK'!C68+'Segment - UK Corporate Bank'!C66+'Segment - Private Bank &amp; WM'!C55+'Segment - Investment Bank'!C115+'Segment - US Consumer Bank'!C62+'Segment - Head Office'!C41)</f>
        <v>0</v>
      </c>
      <c r="D39" s="4">
        <f>D36-('Segment - Barclays UK'!D68+'Segment - UK Corporate Bank'!D66+'Segment - Private Bank &amp; WM'!D55+'Segment - Investment Bank'!D115+'Segment - US Consumer Bank'!D62+'Segment - Head Office'!D41)</f>
        <v>0</v>
      </c>
      <c r="E39" s="4">
        <f>E36-('Segment - Barclays UK'!E68+'Segment - UK Corporate Bank'!E66+'Segment - Private Bank &amp; WM'!E55+'Segment - Investment Bank'!E115+'Segment - US Consumer Bank'!E62+'Segment - Head Office'!E41)</f>
        <v>0</v>
      </c>
      <c r="F39" s="4">
        <f>F36-('Segment - Barclays UK'!F68+'Segment - UK Corporate Bank'!F66+'Segment - Private Bank &amp; WM'!F55+'Segment - Investment Bank'!F115+'Segment - US Consumer Bank'!F62+'Segment - Head Office'!F41)</f>
        <v>0</v>
      </c>
      <c r="G39" s="4">
        <f>G36-('Segment - Barclays UK'!G68+'Segment - UK Corporate Bank'!G66+'Segment - Private Bank &amp; WM'!G55+'Segment - Investment Bank'!G115+'Segment - US Consumer Bank'!G62+'Segment - Head Office'!G41)</f>
        <v>0</v>
      </c>
      <c r="H39" s="4">
        <f>H36-('Segment - Barclays UK'!H68+'Segment - UK Corporate Bank'!H66+'Segment - Private Bank &amp; WM'!H55+'Segment - Investment Bank'!H115+'Segment - US Consumer Bank'!H62+'Segment - Head Office'!H41)</f>
        <v>0</v>
      </c>
      <c r="I39" s="4">
        <f>I36-('Segment - Barclays UK'!I68+'Segment - UK Corporate Bank'!I66+'Segment - Private Bank &amp; WM'!I55+'Segment - Investment Bank'!I115+'Segment - US Consumer Bank'!I62+'Segment - Head Office'!I41)</f>
        <v>0</v>
      </c>
      <c r="J39" s="87">
        <f>J36-('Segment - Barclays UK'!J68+'Segment - UK Corporate Bank'!J66+'Segment - Private Bank &amp; WM'!J55+'Segment - Investment Bank'!J115+'Segment - US Consumer Bank'!J62+'Segment - Head Office'!J41)</f>
        <v>0</v>
      </c>
      <c r="K39" s="14" t="s">
        <v>365</v>
      </c>
    </row>
    <row r="40" ht="14.624267578125">
      <c r="A40" s="1"/>
      <c r="B40" s="67" t="s">
        <v>366</v>
      </c>
      <c r="C40" s="25" t="s">
        <v>64</v>
      </c>
      <c r="D40" s="25" t="s">
        <v>64</v>
      </c>
      <c r="E40" s="25" t="s">
        <v>64</v>
      </c>
      <c r="F40" s="25" t="s">
        <v>64</v>
      </c>
      <c r="G40" s="25" t="s">
        <v>64</v>
      </c>
      <c r="H40" s="25" t="s">
        <v>64</v>
      </c>
      <c r="I40" s="25" t="s">
        <v>64</v>
      </c>
      <c r="J40" s="85">
        <v>0.21</v>
      </c>
      <c r="K40" s="14" t="s">
        <v>367</v>
      </c>
    </row>
    <row r="41">
      <c r="A41" s="1"/>
      <c r="B41" s="18" t="s">
        <v>368</v>
      </c>
      <c r="C41" s="24">
        <v>-621</v>
      </c>
      <c r="D41" s="24">
        <v>-552</v>
      </c>
      <c r="E41" s="24">
        <v>-365</v>
      </c>
      <c r="F41" s="24">
        <v>-388</v>
      </c>
      <c r="G41" s="2">
        <f>SUM(C41:F41)</f>
        <v>-1926</v>
      </c>
      <c r="H41" s="24">
        <v>-638</v>
      </c>
      <c r="I41" s="24">
        <v>-731</v>
      </c>
      <c r="J41" s="26">
        <f>-J36*J40</f>
        <v>-497.6842478942462</v>
      </c>
      <c r="K41" s="14" t="s">
        <v>369</v>
      </c>
    </row>
    <row r="42">
      <c r="A42" s="1"/>
      <c r="B42" s="20" t="s">
        <v>370</v>
      </c>
      <c r="C42" s="16">
        <f>C36+C41</f>
        <v>2098</v>
      </c>
      <c r="D42" s="16">
        <f>D36+D41</f>
        <v>1932</v>
      </c>
      <c r="E42" s="16">
        <f>E36+E41</f>
        <v>1712</v>
      </c>
      <c r="F42" s="16">
        <f>F36+F41</f>
        <v>1471</v>
      </c>
      <c r="G42" s="16">
        <f>G36+G41</f>
        <v>7213</v>
      </c>
      <c r="H42" s="16">
        <f>H36+H41</f>
        <v>2176</v>
      </c>
      <c r="I42" s="16">
        <f>I36+I41</f>
        <v>2521</v>
      </c>
      <c r="J42" s="65">
        <f>J36+J41</f>
        <v>1872.2407420783547</v>
      </c>
      <c r="K42" s="14"/>
    </row>
    <row r="43">
      <c r="A43" s="1"/>
      <c r="B43" s="37" t="s">
        <v>63</v>
      </c>
      <c r="C43" s="25" t="s">
        <v>64</v>
      </c>
      <c r="D43" s="25" t="s">
        <v>64</v>
      </c>
      <c r="E43" s="25" t="s">
        <v>64</v>
      </c>
      <c r="F43" s="25" t="s">
        <v>64</v>
      </c>
      <c r="G43" s="25" t="s">
        <v>64</v>
      </c>
      <c r="H43" s="25">
        <f>IFERROR(H42/C42-1,"n.a.")</f>
        <v>0.03717826501429933</v>
      </c>
      <c r="I43" s="25">
        <f>IFERROR(I42/D42-1,"n.a.")</f>
        <v>0.3048654244306419</v>
      </c>
      <c r="J43" s="51">
        <f>IFERROR(J42/E42-1,"n.a.")</f>
        <v>0.09359856429810431</v>
      </c>
      <c r="K43" s="14"/>
    </row>
    <row r="44">
      <c r="A44" s="1"/>
      <c r="B44" s="48" t="s">
        <v>78</v>
      </c>
      <c r="C44" s="2" t="s">
        <v>64</v>
      </c>
      <c r="D44" s="2">
        <f>IFERROR(D42-C42,"n.a.")</f>
        <v>-166</v>
      </c>
      <c r="E44" s="2">
        <f>IFERROR(E42-D42,"n.a.")</f>
        <v>-220</v>
      </c>
      <c r="F44" s="2">
        <f>IFERROR(F42-E42,"n.a.")</f>
        <v>-241</v>
      </c>
      <c r="G44" s="2" t="s">
        <v>64</v>
      </c>
      <c r="H44" s="2">
        <f>IFERROR(H42-F42,"n.a.")</f>
        <v>705</v>
      </c>
      <c r="I44" s="2">
        <f>IFERROR(I42-H42,"n.a.")</f>
        <v>345</v>
      </c>
      <c r="J44" s="26">
        <f>IFERROR(J42-I42,"n.a.")</f>
        <v>-648.7592579216453</v>
      </c>
      <c r="K44" s="14"/>
    </row>
    <row r="45">
      <c r="A45" s="1"/>
      <c r="B45" s="18" t="s">
        <v>371</v>
      </c>
      <c r="C45" s="24">
        <v>-2</v>
      </c>
      <c r="D45" s="24">
        <v>-21</v>
      </c>
      <c r="E45" s="24">
        <v>0</v>
      </c>
      <c r="F45" s="24">
        <v>-18</v>
      </c>
      <c r="G45" s="2">
        <f>SUM(C45:F45)</f>
        <v>-41</v>
      </c>
      <c r="H45" s="24">
        <v>0</v>
      </c>
      <c r="I45" s="24">
        <v>-19</v>
      </c>
      <c r="J45" s="26">
        <f>AVERAGE(E45,H45)</f>
        <v>0</v>
      </c>
      <c r="K45" s="14" t="s">
        <v>372</v>
      </c>
    </row>
    <row r="46" ht="14.624267578125">
      <c r="A46" s="1"/>
      <c r="B46" s="13" t="s">
        <v>373</v>
      </c>
      <c r="C46" s="24">
        <v>-232</v>
      </c>
      <c r="D46" s="24">
        <v>-252</v>
      </c>
      <c r="E46" s="24">
        <v>-255</v>
      </c>
      <c r="F46" s="24">
        <v>-258</v>
      </c>
      <c r="G46" s="2">
        <f>SUM(C46:F46)</f>
        <v>-997</v>
      </c>
      <c r="H46" s="24">
        <v>-244</v>
      </c>
      <c r="I46" s="24">
        <v>-243</v>
      </c>
      <c r="J46" s="26">
        <f>AVERAGE(H46,I46)</f>
        <v>-243.5</v>
      </c>
      <c r="K46" s="14" t="s">
        <v>353</v>
      </c>
    </row>
    <row r="47" ht="23.24853515625">
      <c r="A47" s="1"/>
      <c r="B47" s="46" t="s">
        <v>374</v>
      </c>
      <c r="C47" s="16">
        <f>C42+C45+C46</f>
        <v>1864</v>
      </c>
      <c r="D47" s="16">
        <f>D42+D45+D46</f>
        <v>1659</v>
      </c>
      <c r="E47" s="16">
        <f>E42+E45+E46</f>
        <v>1457</v>
      </c>
      <c r="F47" s="16">
        <f>F42+F45+F46</f>
        <v>1195</v>
      </c>
      <c r="G47" s="16">
        <f>G42+G45+G46</f>
        <v>6175</v>
      </c>
      <c r="H47" s="16">
        <f>H42+H45+H46</f>
        <v>1932</v>
      </c>
      <c r="I47" s="16">
        <f>I42+I45+I46</f>
        <v>2259</v>
      </c>
      <c r="J47" s="65">
        <f>J42+J45+J46</f>
        <v>1628.7407420783547</v>
      </c>
      <c r="K47" s="14"/>
    </row>
    <row r="48">
      <c r="A48" s="1"/>
      <c r="B48" s="37" t="s">
        <v>63</v>
      </c>
      <c r="C48" s="25" t="s">
        <v>64</v>
      </c>
      <c r="D48" s="25" t="s">
        <v>64</v>
      </c>
      <c r="E48" s="25" t="s">
        <v>64</v>
      </c>
      <c r="F48" s="25" t="s">
        <v>64</v>
      </c>
      <c r="G48" s="25" t="s">
        <v>64</v>
      </c>
      <c r="H48" s="25">
        <f>IFERROR(H47/C47-1,"n.a.")</f>
        <v>0.03648068669527893</v>
      </c>
      <c r="I48" s="25">
        <f>IFERROR(I47/D47-1,"n.a.")</f>
        <v>0.36166365280289337</v>
      </c>
      <c r="J48" s="51">
        <f>IFERROR(J47/E47-1,"n.a.")</f>
        <v>0.1178728497449244</v>
      </c>
      <c r="K48" s="14"/>
    </row>
    <row r="49">
      <c r="A49" s="1"/>
      <c r="B49" s="48" t="s">
        <v>78</v>
      </c>
      <c r="C49" s="2" t="s">
        <v>64</v>
      </c>
      <c r="D49" s="2">
        <f>IFERROR(D47-C47,"n.a.")</f>
        <v>-205</v>
      </c>
      <c r="E49" s="2">
        <f>IFERROR(E47-D47,"n.a.")</f>
        <v>-202</v>
      </c>
      <c r="F49" s="2">
        <f>IFERROR(F47-E47,"n.a.")</f>
        <v>-262</v>
      </c>
      <c r="G49" s="2" t="s">
        <v>64</v>
      </c>
      <c r="H49" s="2">
        <f>IFERROR(H47-F47,"n.a.")</f>
        <v>737</v>
      </c>
      <c r="I49" s="2">
        <f>IFERROR(I47-H47,"n.a.")</f>
        <v>327</v>
      </c>
      <c r="J49" s="26">
        <f>IFERROR(J47-I47,"n.a.")</f>
        <v>-630.2592579216453</v>
      </c>
      <c r="K49" s="14"/>
    </row>
    <row r="50" ht="14.624267578125">
      <c r="A50" s="1"/>
      <c r="B50" s="63" t="s">
        <v>375</v>
      </c>
      <c r="C50" s="24">
        <v>1864</v>
      </c>
      <c r="D50" s="24">
        <v>1659</v>
      </c>
      <c r="E50" s="24">
        <v>1457</v>
      </c>
      <c r="F50" s="24">
        <v>1195</v>
      </c>
      <c r="G50" s="132">
        <v>6175</v>
      </c>
      <c r="H50" s="24">
        <v>1932</v>
      </c>
      <c r="I50" s="24">
        <v>2259</v>
      </c>
      <c r="J50" s="26" t="s">
        <v>64</v>
      </c>
      <c r="K50" s="14" t="s">
        <v>376</v>
      </c>
    </row>
    <row r="51" ht="14.624267578125">
      <c r="A51" s="1"/>
      <c r="B51" s="63" t="s">
        <v>377</v>
      </c>
      <c r="C51" s="2">
        <f>C47-C50</f>
        <v>0</v>
      </c>
      <c r="D51" s="2">
        <f>D47-D50</f>
        <v>0</v>
      </c>
      <c r="E51" s="2">
        <f>E47-E50</f>
        <v>0</v>
      </c>
      <c r="F51" s="2">
        <f>F47-F50</f>
        <v>0</v>
      </c>
      <c r="G51" s="2">
        <f>G47-G50</f>
        <v>0</v>
      </c>
      <c r="H51" s="2">
        <f>H47-H50</f>
        <v>0</v>
      </c>
      <c r="I51" s="2">
        <f>I47-I50</f>
        <v>0</v>
      </c>
      <c r="J51" s="26" t="s">
        <v>64</v>
      </c>
      <c r="K51" s="14"/>
    </row>
    <row r="52">
      <c r="A52" s="1"/>
      <c r="B52" s="18"/>
      <c r="C52" s="19"/>
      <c r="D52" s="19"/>
      <c r="E52" s="19"/>
      <c r="F52" s="19"/>
      <c r="G52" s="19"/>
      <c r="H52" s="19"/>
      <c r="I52" s="19"/>
      <c r="J52" s="27"/>
      <c r="K52" s="14"/>
    </row>
    <row r="53">
      <c r="A53" s="1"/>
      <c r="B53" s="20" t="s">
        <v>378</v>
      </c>
      <c r="C53" s="32"/>
      <c r="D53" s="32"/>
      <c r="E53" s="32"/>
      <c r="F53" s="32"/>
      <c r="G53" s="32"/>
      <c r="H53" s="32"/>
      <c r="I53" s="32"/>
      <c r="J53" s="28"/>
      <c r="K53" s="14"/>
    </row>
    <row r="54">
      <c r="A54" s="1"/>
      <c r="B54" s="18" t="s">
        <v>379</v>
      </c>
      <c r="C54" s="4">
        <f>'Share Count'!C13</f>
        <v>14314</v>
      </c>
      <c r="D54" s="4">
        <f>'Share Count'!D13</f>
        <v>14211</v>
      </c>
      <c r="E54" s="4">
        <f>'Share Count'!E13</f>
        <v>14045</v>
      </c>
      <c r="F54" s="4">
        <f>'Share Count'!F13</f>
        <v>13883</v>
      </c>
      <c r="G54" s="4">
        <f>'Share Count'!G13</f>
        <v>14112</v>
      </c>
      <c r="H54" s="4">
        <f>'Share Count'!H13</f>
        <v>13727</v>
      </c>
      <c r="I54" s="4">
        <f>'Share Count'!I13</f>
        <v>13565</v>
      </c>
      <c r="J54" s="87">
        <f>'Share Count'!J13</f>
        <v>13438.1521969</v>
      </c>
      <c r="K54" s="14" t="s">
        <v>380</v>
      </c>
    </row>
    <row r="55" ht="14.624267578125">
      <c r="A55" s="1"/>
      <c r="B55" s="13" t="s">
        <v>381</v>
      </c>
      <c r="C55" s="4">
        <f>'Share Count'!C25</f>
        <v>14854.52100840336</v>
      </c>
      <c r="D55" s="4">
        <f>'Share Count'!D25</f>
        <v>14751.52100840336</v>
      </c>
      <c r="E55" s="4">
        <f>'Share Count'!E25</f>
        <v>14489.270094994521</v>
      </c>
      <c r="F55" s="4">
        <f>'Share Count'!F25</f>
        <v>14327.270094994521</v>
      </c>
      <c r="G55" s="4">
        <f>'Share Count'!G25</f>
        <v>14604</v>
      </c>
      <c r="H55" s="4">
        <f>'Share Count'!H25</f>
        <v>14145.758389261746</v>
      </c>
      <c r="I55" s="4">
        <f>'Share Count'!I25</f>
        <v>13983.758389261746</v>
      </c>
      <c r="J55" s="87">
        <f>'Share Count'!J25</f>
        <v>13856.910586161746</v>
      </c>
      <c r="K55" s="14" t="s">
        <v>380</v>
      </c>
    </row>
    <row r="56">
      <c r="A56" s="1"/>
      <c r="B56" s="20" t="s">
        <v>382</v>
      </c>
      <c r="C56" s="93">
        <f>C47/C54</f>
        <v>0.13022216012295654</v>
      </c>
      <c r="D56" s="93">
        <f>D47/D54</f>
        <v>0.11674055309267468</v>
      </c>
      <c r="E56" s="93">
        <f>E47/E54</f>
        <v>0.10373798504805981</v>
      </c>
      <c r="F56" s="93">
        <f>F47/F54</f>
        <v>0.08607649643448823</v>
      </c>
      <c r="G56" s="93">
        <f>G47/G54</f>
        <v>0.4375708616780045</v>
      </c>
      <c r="H56" s="93">
        <f>H47/H54</f>
        <v>0.14074451810300867</v>
      </c>
      <c r="I56" s="93">
        <f>I47/I54</f>
        <v>0.16653151492812385</v>
      </c>
      <c r="J56" s="96">
        <f>J47/J54</f>
        <v>0.12120273071874295</v>
      </c>
      <c r="K56" s="14"/>
    </row>
    <row r="57">
      <c r="A57" s="1"/>
      <c r="B57" s="37" t="s">
        <v>63</v>
      </c>
      <c r="C57" s="25" t="s">
        <v>64</v>
      </c>
      <c r="D57" s="25" t="s">
        <v>64</v>
      </c>
      <c r="E57" s="25" t="s">
        <v>64</v>
      </c>
      <c r="F57" s="25" t="s">
        <v>64</v>
      </c>
      <c r="G57" s="25" t="s">
        <v>64</v>
      </c>
      <c r="H57" s="25">
        <f>IFERROR(H56/C56-1,"n.a.")</f>
        <v>0.08080312882321161</v>
      </c>
      <c r="I57" s="25">
        <f>IFERROR(I56/D56-1,"n.a.")</f>
        <v>0.4265095591582688</v>
      </c>
      <c r="J57" s="51">
        <f>IFERROR(J56/E56-1,"n.a.")</f>
        <v>0.1683543946086099</v>
      </c>
      <c r="K57" s="14"/>
    </row>
    <row r="58">
      <c r="A58" s="1"/>
      <c r="B58" s="48" t="s">
        <v>78</v>
      </c>
      <c r="C58" s="41" t="s">
        <v>64</v>
      </c>
      <c r="D58" s="41">
        <f>IFERROR(D56-C56,"n.a.")</f>
        <v>-0.013481607030281853</v>
      </c>
      <c r="E58" s="41">
        <f>IFERROR(E56-D56,"n.a.")</f>
        <v>-0.013002568044614873</v>
      </c>
      <c r="F58" s="41">
        <f>IFERROR(F56-E56,"n.a.")</f>
        <v>-0.017661488613571585</v>
      </c>
      <c r="G58" s="41" t="s">
        <v>64</v>
      </c>
      <c r="H58" s="41">
        <f>IFERROR(H56-F56,"n.a.")</f>
        <v>0.054668021668520445</v>
      </c>
      <c r="I58" s="41">
        <f>IFERROR(I56-H56,"n.a.")</f>
        <v>0.025786996825115177</v>
      </c>
      <c r="J58" s="94">
        <f>IFERROR(J56-I56,"n.a.")</f>
        <v>-0.0453287842093809</v>
      </c>
      <c r="K58" s="14"/>
    </row>
    <row r="59" ht="14.624267578125">
      <c r="A59" s="1"/>
      <c r="B59" s="46" t="s">
        <v>383</v>
      </c>
      <c r="C59" s="93">
        <f>C47/C55</f>
        <v>0.12548368264082801</v>
      </c>
      <c r="D59" s="93">
        <f>D47/D55</f>
        <v>0.11246297917719353</v>
      </c>
      <c r="E59" s="93">
        <f>E47/E55</f>
        <v>0.10055717026790306</v>
      </c>
      <c r="F59" s="93">
        <f>F47/F55</f>
        <v>0.08340737573011162</v>
      </c>
      <c r="G59" s="93">
        <f>G47/G55</f>
        <v>0.4228293618186798</v>
      </c>
      <c r="H59" s="93">
        <f>H47/H55</f>
        <v>0.1365780431727584</v>
      </c>
      <c r="I59" s="93">
        <f>I47/I55</f>
        <v>0.16154455312491</v>
      </c>
      <c r="J59" s="96">
        <f>J47/J55</f>
        <v>0.11753996188045715</v>
      </c>
      <c r="K59" s="14" t="s">
        <v>384</v>
      </c>
    </row>
    <row r="60">
      <c r="A60" s="1"/>
      <c r="B60" s="37" t="s">
        <v>63</v>
      </c>
      <c r="C60" s="25" t="s">
        <v>64</v>
      </c>
      <c r="D60" s="25" t="s">
        <v>64</v>
      </c>
      <c r="E60" s="25" t="s">
        <v>64</v>
      </c>
      <c r="F60" s="25" t="s">
        <v>64</v>
      </c>
      <c r="G60" s="25" t="s">
        <v>64</v>
      </c>
      <c r="H60" s="25">
        <f>IFERROR(H59/C59-1,"n.a.")</f>
        <v>0.08841277446156703</v>
      </c>
      <c r="I60" s="25">
        <f>IFERROR(I59/D59-1,"n.a.")</f>
        <v>0.43642427318580035</v>
      </c>
      <c r="J60" s="51">
        <f>IFERROR(J59/E59-1,"n.a.")</f>
        <v>0.16888692837426467</v>
      </c>
      <c r="K60" s="14"/>
    </row>
    <row r="61">
      <c r="A61" s="1"/>
      <c r="B61" s="48" t="s">
        <v>78</v>
      </c>
      <c r="C61" s="41" t="s">
        <v>64</v>
      </c>
      <c r="D61" s="41">
        <f>IFERROR(D59-C59,"n.a.")</f>
        <v>-0.013020703463634486</v>
      </c>
      <c r="E61" s="41">
        <f>IFERROR(E59-D59,"n.a.")</f>
        <v>-0.011905808909290466</v>
      </c>
      <c r="F61" s="41">
        <f>IFERROR(F59-E59,"n.a.")</f>
        <v>-0.017149794537791446</v>
      </c>
      <c r="G61" s="41" t="s">
        <v>64</v>
      </c>
      <c r="H61" s="41">
        <f>IFERROR(H59-F59,"n.a.")</f>
        <v>0.053170667442646785</v>
      </c>
      <c r="I61" s="41">
        <f>IFERROR(I59-H59,"n.a.")</f>
        <v>0.024966509952151605</v>
      </c>
      <c r="J61" s="94">
        <f>IFERROR(J59-I59,"n.a.")</f>
        <v>-0.044004591244452856</v>
      </c>
      <c r="K61" s="14"/>
    </row>
    <row r="62">
      <c r="A62" s="1"/>
      <c r="B62" s="79" t="s">
        <v>385</v>
      </c>
      <c r="C62" s="17">
        <v>13</v>
      </c>
      <c r="D62" s="17">
        <v>11.7</v>
      </c>
      <c r="E62" s="17">
        <v>10.4</v>
      </c>
      <c r="F62" s="17">
        <v>8.6</v>
      </c>
      <c r="G62" s="17">
        <v>43.8</v>
      </c>
      <c r="H62" s="17">
        <v>14.1</v>
      </c>
      <c r="I62" s="17">
        <v>16.7</v>
      </c>
      <c r="J62" s="53" t="s">
        <v>64</v>
      </c>
      <c r="K62" s="14" t="s">
        <v>386</v>
      </c>
    </row>
    <row r="63" ht="23.24853515625">
      <c r="A63" s="1"/>
      <c r="B63" s="63" t="s">
        <v>387</v>
      </c>
      <c r="C63" s="41">
        <f>ROUND(C56-C62/100,3)</f>
        <v>0</v>
      </c>
      <c r="D63" s="41">
        <f>ROUND(D56-D62/100,3)</f>
        <v>0</v>
      </c>
      <c r="E63" s="41">
        <f>ROUND(E56-E62/100,3)</f>
        <v>0</v>
      </c>
      <c r="F63" s="41">
        <f>ROUND(F56-F62/100,3)</f>
        <v>0</v>
      </c>
      <c r="G63" s="41">
        <f>ROUND(G56-G62/100,3)</f>
        <v>0</v>
      </c>
      <c r="H63" s="41">
        <f>ROUND(H56-H62/100,3)</f>
        <v>0</v>
      </c>
      <c r="I63" s="41">
        <f>ROUND(I56-I62/100,3)</f>
        <v>0</v>
      </c>
      <c r="J63" s="94" t="s">
        <v>64</v>
      </c>
      <c r="K63" s="14"/>
    </row>
    <row r="64" ht="23.24853515625">
      <c r="A64" s="1"/>
      <c r="B64" s="63" t="s">
        <v>388</v>
      </c>
      <c r="C64" s="41">
        <f>C59-C47/C55</f>
        <v>0</v>
      </c>
      <c r="D64" s="41">
        <f>D59-D47/D55</f>
        <v>0</v>
      </c>
      <c r="E64" s="41">
        <f>E59-E47/E55</f>
        <v>0</v>
      </c>
      <c r="F64" s="41">
        <f>F59-F47/F55</f>
        <v>0</v>
      </c>
      <c r="G64" s="41">
        <f>G59-G47/G55</f>
        <v>0</v>
      </c>
      <c r="H64" s="41">
        <f>H59-H47/H55</f>
        <v>0</v>
      </c>
      <c r="I64" s="41">
        <f>I59-I47/I55</f>
        <v>0</v>
      </c>
      <c r="J64" s="94">
        <f>J59-J47/J55</f>
        <v>0</v>
      </c>
      <c r="K64" s="14" t="s">
        <v>389</v>
      </c>
    </row>
    <row r="65">
      <c r="A65" s="1"/>
      <c r="B65" s="18"/>
      <c r="C65" s="19"/>
      <c r="D65" s="19"/>
      <c r="E65" s="19"/>
      <c r="F65" s="19"/>
      <c r="G65" s="19"/>
      <c r="H65" s="19"/>
      <c r="I65" s="19"/>
      <c r="J65" s="27"/>
      <c r="K65" s="14"/>
    </row>
    <row r="66">
      <c r="A66" s="1"/>
      <c r="B66" s="20" t="s">
        <v>390</v>
      </c>
      <c r="C66" s="32"/>
      <c r="D66" s="32"/>
      <c r="E66" s="32"/>
      <c r="F66" s="32"/>
      <c r="G66" s="32"/>
      <c r="H66" s="32"/>
      <c r="I66" s="32"/>
      <c r="J66" s="28"/>
      <c r="K66" s="14"/>
    </row>
    <row r="67">
      <c r="A67" s="1"/>
      <c r="B67" s="18" t="s">
        <v>391</v>
      </c>
      <c r="C67" s="2">
        <f>C47</f>
        <v>1864</v>
      </c>
      <c r="D67" s="2">
        <f>D47</f>
        <v>1659</v>
      </c>
      <c r="E67" s="2">
        <f>E47</f>
        <v>1457</v>
      </c>
      <c r="F67" s="2">
        <f>F47</f>
        <v>1195</v>
      </c>
      <c r="G67" s="2">
        <f>G47</f>
        <v>6175</v>
      </c>
      <c r="H67" s="2">
        <f>H47</f>
        <v>1932</v>
      </c>
      <c r="I67" s="2">
        <f>I47</f>
        <v>2259</v>
      </c>
      <c r="J67" s="26">
        <f>J47</f>
        <v>1628.7407420783547</v>
      </c>
      <c r="K67" s="14"/>
    </row>
    <row r="68" ht="14.624267578125">
      <c r="A68" s="1"/>
      <c r="B68" s="63" t="s">
        <v>392</v>
      </c>
      <c r="C68" s="24">
        <v>0</v>
      </c>
      <c r="D68" s="24">
        <v>0</v>
      </c>
      <c r="E68" s="24">
        <v>0</v>
      </c>
      <c r="F68" s="24">
        <v>0</v>
      </c>
      <c r="G68" s="2">
        <f>SUM(C68:F68)</f>
        <v>0</v>
      </c>
      <c r="H68" s="24">
        <v>0</v>
      </c>
      <c r="I68" s="24">
        <v>0</v>
      </c>
      <c r="J68" s="39">
        <v>0</v>
      </c>
      <c r="K68" s="14" t="s">
        <v>393</v>
      </c>
    </row>
    <row r="69" ht="23.24853515625">
      <c r="A69" s="1"/>
      <c r="B69" s="63" t="s">
        <v>394</v>
      </c>
      <c r="C69" s="24">
        <v>0</v>
      </c>
      <c r="D69" s="24">
        <v>0</v>
      </c>
      <c r="E69" s="24">
        <v>0</v>
      </c>
      <c r="F69" s="24">
        <v>0</v>
      </c>
      <c r="G69" s="2">
        <f>SUM(C69:F69)</f>
        <v>0</v>
      </c>
      <c r="H69" s="24">
        <v>0</v>
      </c>
      <c r="I69" s="24">
        <v>0</v>
      </c>
      <c r="J69" s="39">
        <v>0</v>
      </c>
      <c r="K69" s="14" t="s">
        <v>395</v>
      </c>
    </row>
    <row r="70" ht="14.624267578125">
      <c r="A70" s="1"/>
      <c r="B70" s="63" t="s">
        <v>396</v>
      </c>
      <c r="C70" s="24">
        <v>0</v>
      </c>
      <c r="D70" s="24">
        <v>0</v>
      </c>
      <c r="E70" s="24">
        <v>0</v>
      </c>
      <c r="F70" s="24">
        <v>0</v>
      </c>
      <c r="G70" s="2">
        <f>SUM(C70:F70)</f>
        <v>0</v>
      </c>
      <c r="H70" s="24">
        <v>0</v>
      </c>
      <c r="I70" s="24">
        <v>0</v>
      </c>
      <c r="J70" s="39">
        <v>0</v>
      </c>
      <c r="K70" s="14" t="s">
        <v>397</v>
      </c>
    </row>
    <row r="71">
      <c r="A71" s="1"/>
      <c r="B71" s="79" t="s">
        <v>398</v>
      </c>
      <c r="C71" s="24">
        <v>0</v>
      </c>
      <c r="D71" s="24">
        <v>0</v>
      </c>
      <c r="E71" s="24">
        <v>0</v>
      </c>
      <c r="F71" s="24">
        <v>0</v>
      </c>
      <c r="G71" s="2">
        <f>SUM(C71:F71)</f>
        <v>0</v>
      </c>
      <c r="H71" s="24">
        <v>0</v>
      </c>
      <c r="I71" s="24">
        <v>0</v>
      </c>
      <c r="J71" s="39">
        <v>0</v>
      </c>
      <c r="K71" s="14" t="s">
        <v>399</v>
      </c>
    </row>
    <row r="72" ht="14.624267578125">
      <c r="A72" s="1"/>
      <c r="B72" s="46" t="s">
        <v>400</v>
      </c>
      <c r="C72" s="16">
        <f>C67+C68+C69+C70+C71</f>
        <v>1864</v>
      </c>
      <c r="D72" s="16">
        <f>D67+D68+D69+D70+D71</f>
        <v>1659</v>
      </c>
      <c r="E72" s="16">
        <f>E67+E68+E69+E70+E71</f>
        <v>1457</v>
      </c>
      <c r="F72" s="16">
        <f>F67+F68+F69+F70+F71</f>
        <v>1195</v>
      </c>
      <c r="G72" s="16">
        <f>G67+G68+G69+G70+G71</f>
        <v>6175</v>
      </c>
      <c r="H72" s="16">
        <f>H67+H68+H69+H70+H71</f>
        <v>1932</v>
      </c>
      <c r="I72" s="16">
        <f>I67+I68+I69+I70+I71</f>
        <v>2259</v>
      </c>
      <c r="J72" s="65">
        <f>J67+J68+J69+J70+J71</f>
        <v>1628.7407420783547</v>
      </c>
      <c r="K72" s="14" t="s">
        <v>401</v>
      </c>
    </row>
    <row r="73" ht="23.24853515625">
      <c r="A73" s="1"/>
      <c r="B73" s="46" t="s">
        <v>402</v>
      </c>
      <c r="C73" s="93">
        <f>C72/C54</f>
        <v>0.13022216012295654</v>
      </c>
      <c r="D73" s="93">
        <f>D72/D54</f>
        <v>0.11674055309267468</v>
      </c>
      <c r="E73" s="93">
        <f>E72/E54</f>
        <v>0.10373798504805981</v>
      </c>
      <c r="F73" s="93">
        <f>F72/F54</f>
        <v>0.08607649643448823</v>
      </c>
      <c r="G73" s="93">
        <f>G72/G54</f>
        <v>0.4375708616780045</v>
      </c>
      <c r="H73" s="93">
        <f>H72/H54</f>
        <v>0.14074451810300867</v>
      </c>
      <c r="I73" s="93">
        <f>I72/I54</f>
        <v>0.16653151492812385</v>
      </c>
      <c r="J73" s="96">
        <f>J72/J54</f>
        <v>0.12120273071874295</v>
      </c>
      <c r="K73" s="14" t="s">
        <v>403</v>
      </c>
    </row>
    <row r="74">
      <c r="A74" s="1"/>
      <c r="B74" s="79" t="s">
        <v>404</v>
      </c>
      <c r="C74" s="41">
        <f>C73</f>
        <v>0.13022216012295654</v>
      </c>
      <c r="D74" s="41">
        <f>D73</f>
        <v>0.11674055309267468</v>
      </c>
      <c r="E74" s="41">
        <f>E73</f>
        <v>0.10373798504805981</v>
      </c>
      <c r="F74" s="41">
        <f>F73</f>
        <v>0.08607649643448823</v>
      </c>
      <c r="G74" s="41">
        <f>G73</f>
        <v>0.4375708616780045</v>
      </c>
      <c r="H74" s="41">
        <f>H73</f>
        <v>0.14074451810300867</v>
      </c>
      <c r="I74" s="41">
        <f>I73</f>
        <v>0.16653151492812385</v>
      </c>
      <c r="J74" s="94">
        <f>J73</f>
        <v>0.12120273071874295</v>
      </c>
      <c r="K74" s="14"/>
    </row>
    <row r="75" ht="14.624267578125">
      <c r="A75" s="1"/>
      <c r="B75" s="63" t="s">
        <v>405</v>
      </c>
      <c r="C75" s="44">
        <f>Inputs!E105</f>
        <v>0.13</v>
      </c>
      <c r="D75" s="44">
        <f>Inputs!E106</f>
        <v>0.12</v>
      </c>
      <c r="E75" s="44">
        <f>Inputs!E107</f>
        <v>0.1</v>
      </c>
      <c r="F75" s="44">
        <f>Inputs!E108</f>
        <v>0.09</v>
      </c>
      <c r="G75" s="31" t="s">
        <v>64</v>
      </c>
      <c r="H75" s="44">
        <f>Inputs!E109</f>
        <v>0.14</v>
      </c>
      <c r="I75" s="44">
        <f>Inputs!E110</f>
        <v>0.17</v>
      </c>
      <c r="J75" s="97" t="s">
        <v>64</v>
      </c>
      <c r="K75" s="14" t="s">
        <v>406</v>
      </c>
    </row>
    <row r="76" ht="23.24853515625">
      <c r="A76" s="1"/>
      <c r="B76" s="63" t="s">
        <v>407</v>
      </c>
      <c r="C76" s="31">
        <f>ROUND(C73,2)-C75</f>
        <v>0</v>
      </c>
      <c r="D76" s="31">
        <f>ROUND(D73,2)-D75</f>
        <v>0</v>
      </c>
      <c r="E76" s="31">
        <f>ROUND(E73,2)-E75</f>
        <v>0</v>
      </c>
      <c r="F76" s="31">
        <f>ROUND(F73,2)-F75</f>
        <v>0</v>
      </c>
      <c r="G76" s="31" t="s">
        <v>64</v>
      </c>
      <c r="H76" s="31">
        <f>ROUND(H73,2)-H75</f>
        <v>0</v>
      </c>
      <c r="I76" s="31">
        <f>ROUND(I73,2)-I75</f>
        <v>0</v>
      </c>
      <c r="J76" s="97" t="s">
        <v>64</v>
      </c>
      <c r="K76" s="14"/>
    </row>
    <row r="77">
      <c r="A77" s="1"/>
      <c r="B77" s="18"/>
      <c r="C77" s="19"/>
      <c r="D77" s="19"/>
      <c r="E77" s="19"/>
      <c r="F77" s="19"/>
      <c r="G77" s="19"/>
      <c r="H77" s="19"/>
      <c r="I77" s="19"/>
      <c r="J77" s="27"/>
      <c r="K77" s="14"/>
    </row>
    <row r="78">
      <c r="A78" s="1"/>
      <c r="B78" s="20" t="s">
        <v>408</v>
      </c>
      <c r="C78" s="32"/>
      <c r="D78" s="32"/>
      <c r="E78" s="32"/>
      <c r="F78" s="32"/>
      <c r="G78" s="32"/>
      <c r="H78" s="32"/>
      <c r="I78" s="32"/>
      <c r="J78" s="28"/>
      <c r="K78" s="14"/>
    </row>
    <row r="79">
      <c r="A79" s="1"/>
      <c r="B79" s="18" t="s">
        <v>409</v>
      </c>
      <c r="C79" s="10">
        <f>-C26/C16</f>
        <v>0.5662212997794785</v>
      </c>
      <c r="D79" s="10">
        <f>-D26/D16</f>
        <v>0.5878669820509252</v>
      </c>
      <c r="E79" s="10">
        <f>-E26/E16</f>
        <v>0.6274591879447468</v>
      </c>
      <c r="F79" s="10">
        <f>-F26/F16</f>
        <v>0.6581884979511092</v>
      </c>
      <c r="G79" s="10">
        <f>-G26/G16</f>
        <v>0.6089567604667124</v>
      </c>
      <c r="H79" s="10">
        <f>-H26/H16</f>
        <v>0.5570256033321083</v>
      </c>
      <c r="I79" s="10">
        <f>-I26/I16</f>
        <v>0.5418565603262173</v>
      </c>
      <c r="J79" s="81">
        <f>-J26/J16</f>
        <v>0.6120978488631572</v>
      </c>
      <c r="K79" s="14"/>
    </row>
    <row r="80">
      <c r="A80" s="1"/>
      <c r="B80" s="48" t="s">
        <v>94</v>
      </c>
      <c r="C80" s="71" t="s">
        <v>64</v>
      </c>
      <c r="D80" s="71" t="s">
        <v>64</v>
      </c>
      <c r="E80" s="71" t="s">
        <v>64</v>
      </c>
      <c r="F80" s="71" t="s">
        <v>64</v>
      </c>
      <c r="G80" s="71" t="s">
        <v>64</v>
      </c>
      <c r="H80" s="71">
        <f>IFERROR((H79-C79)*10000,"n.a.")</f>
        <v>-91.95696447370283</v>
      </c>
      <c r="I80" s="71">
        <f>IFERROR((I79-D79)*10000,"n.a.")</f>
        <v>-460.1042172470793</v>
      </c>
      <c r="J80" s="72">
        <f>IFERROR((J79-E79)*10000,"n.a.")</f>
        <v>-153.61339081589543</v>
      </c>
      <c r="K80" s="14"/>
    </row>
    <row r="81">
      <c r="A81" s="1"/>
      <c r="B81" s="48" t="s">
        <v>95</v>
      </c>
      <c r="C81" s="71" t="s">
        <v>64</v>
      </c>
      <c r="D81" s="71">
        <f>IFERROR((D79-C79)*10000,"n.a.")</f>
        <v>216.45682271446697</v>
      </c>
      <c r="E81" s="71">
        <f>IFERROR((E79-D79)*10000,"n.a.")</f>
        <v>395.92205893821506</v>
      </c>
      <c r="F81" s="71">
        <f>IFERROR((F79-E79)*10000,"n.a.")</f>
        <v>307.29310006362476</v>
      </c>
      <c r="G81" s="71" t="s">
        <v>64</v>
      </c>
      <c r="H81" s="71">
        <f>IFERROR((H79-F79)*10000,"n.a.")</f>
        <v>-1011.6289461900096</v>
      </c>
      <c r="I81" s="71">
        <f>IFERROR((I79-H79)*10000,"n.a.")</f>
        <v>-151.69043005890947</v>
      </c>
      <c r="J81" s="72">
        <f>IFERROR((J79-I79)*10000,"n.a.")</f>
        <v>702.412885369399</v>
      </c>
      <c r="K81" s="14"/>
    </row>
    <row r="82" ht="14.624267578125">
      <c r="A82" s="1"/>
      <c r="B82" s="13" t="s">
        <v>410</v>
      </c>
      <c r="C82" s="10">
        <f>C36/C16</f>
        <v>0.3527046309508367</v>
      </c>
      <c r="D82" s="10">
        <f>D36/D16</f>
        <v>0.3456240434117156</v>
      </c>
      <c r="E82" s="10">
        <f>E36/E16</f>
        <v>0.2898004743965397</v>
      </c>
      <c r="F82" s="10">
        <f>F36/F16</f>
        <v>0.2626819273703547</v>
      </c>
      <c r="G82" s="10">
        <f>G36/G16</f>
        <v>0.3136238846945779</v>
      </c>
      <c r="H82" s="10">
        <f>H36/H16</f>
        <v>0.34472620360161704</v>
      </c>
      <c r="I82" s="10">
        <f>I36/I16</f>
        <v>0.39002158791076996</v>
      </c>
      <c r="J82" s="81">
        <f>J36/J16</f>
        <v>0.31193270370301107</v>
      </c>
      <c r="K82" s="14"/>
    </row>
    <row r="83">
      <c r="A83" s="1"/>
      <c r="B83" s="48" t="s">
        <v>94</v>
      </c>
      <c r="C83" s="71" t="s">
        <v>64</v>
      </c>
      <c r="D83" s="71" t="s">
        <v>64</v>
      </c>
      <c r="E83" s="71" t="s">
        <v>64</v>
      </c>
      <c r="F83" s="71" t="s">
        <v>64</v>
      </c>
      <c r="G83" s="71" t="s">
        <v>64</v>
      </c>
      <c r="H83" s="71">
        <f>IFERROR((H82-C82)*10000,"n.a.")</f>
        <v>-79.78427349219663</v>
      </c>
      <c r="I83" s="71">
        <f>IFERROR((I82-D82)*10000,"n.a.")</f>
        <v>443.9754449905436</v>
      </c>
      <c r="J83" s="72">
        <f>IFERROR((J82-E82)*10000,"n.a.")</f>
        <v>221.3222930647135</v>
      </c>
      <c r="K83" s="14"/>
    </row>
    <row r="84">
      <c r="A84" s="1"/>
      <c r="B84" s="48" t="s">
        <v>95</v>
      </c>
      <c r="C84" s="71" t="s">
        <v>64</v>
      </c>
      <c r="D84" s="71">
        <f>IFERROR((D82-C82)*10000,"n.a.")</f>
        <v>-70.80587539121109</v>
      </c>
      <c r="E84" s="71">
        <f>IFERROR((E82-D82)*10000,"n.a.")</f>
        <v>-558.2356901517588</v>
      </c>
      <c r="F84" s="71">
        <f>IFERROR((F82-E82)*10000,"n.a.")</f>
        <v>-271.18547026185047</v>
      </c>
      <c r="G84" s="71" t="s">
        <v>64</v>
      </c>
      <c r="H84" s="71">
        <f>IFERROR((H82-F82)*10000,"n.a.")</f>
        <v>820.4427623126237</v>
      </c>
      <c r="I84" s="71">
        <f>IFERROR((I82-H82)*10000,"n.a.")</f>
        <v>452.9538430915292</v>
      </c>
      <c r="J84" s="72">
        <f>IFERROR((J82-I82)*10000,"n.a.")</f>
        <v>-780.888842077589</v>
      </c>
      <c r="K84" s="14"/>
    </row>
    <row r="85" ht="14.624267578125">
      <c r="A85" s="1"/>
      <c r="B85" s="13" t="s">
        <v>411</v>
      </c>
      <c r="C85" s="10">
        <f>C47/C16</f>
        <v>0.2417953041899079</v>
      </c>
      <c r="D85" s="10">
        <f>D47/D16</f>
        <v>0.23083344928342842</v>
      </c>
      <c r="E85" s="10">
        <f>E47/E16</f>
        <v>0.20329287009906516</v>
      </c>
      <c r="F85" s="10">
        <f>F47/F16</f>
        <v>0.168856860251519</v>
      </c>
      <c r="G85" s="10">
        <f>G47/G16</f>
        <v>0.21190803019903912</v>
      </c>
      <c r="H85" s="10">
        <f>H47/H16</f>
        <v>0.2366776920249908</v>
      </c>
      <c r="I85" s="10">
        <f>I47/I16</f>
        <v>0.27092828016310866</v>
      </c>
      <c r="J85" s="81">
        <f>J47/J16</f>
        <v>0.21437703955078488</v>
      </c>
      <c r="K85" s="14"/>
    </row>
    <row r="86">
      <c r="A86" s="1"/>
      <c r="B86" s="48" t="s">
        <v>94</v>
      </c>
      <c r="C86" s="71" t="s">
        <v>64</v>
      </c>
      <c r="D86" s="71" t="s">
        <v>64</v>
      </c>
      <c r="E86" s="71" t="s">
        <v>64</v>
      </c>
      <c r="F86" s="71" t="s">
        <v>64</v>
      </c>
      <c r="G86" s="71" t="s">
        <v>64</v>
      </c>
      <c r="H86" s="71">
        <f>IFERROR((H85-C85)*10000,"n.a.")</f>
        <v>-51.176121649171016</v>
      </c>
      <c r="I86" s="71">
        <f>IFERROR((I85-D85)*10000,"n.a.")</f>
        <v>400.94830879680245</v>
      </c>
      <c r="J86" s="72">
        <f>IFERROR((J85-E85)*10000,"n.a.")</f>
        <v>110.84169451719723</v>
      </c>
      <c r="K86" s="14"/>
    </row>
    <row r="87">
      <c r="A87" s="1"/>
      <c r="B87" s="48" t="s">
        <v>95</v>
      </c>
      <c r="C87" s="71" t="s">
        <v>64</v>
      </c>
      <c r="D87" s="71">
        <f>IFERROR((D85-C85)*10000,"n.a.")</f>
        <v>-109.61854906479496</v>
      </c>
      <c r="E87" s="71">
        <f>IFERROR((E85-D85)*10000,"n.a.")</f>
        <v>-275.4057918436326</v>
      </c>
      <c r="F87" s="71">
        <f>IFERROR((F85-E85)*10000,"n.a.")</f>
        <v>-344.3600984754616</v>
      </c>
      <c r="G87" s="71" t="s">
        <v>64</v>
      </c>
      <c r="H87" s="71">
        <f>IFERROR((H85-F85)*10000,"n.a.")</f>
        <v>678.2083177347181</v>
      </c>
      <c r="I87" s="71">
        <f>IFERROR((I85-H85)*10000,"n.a.")</f>
        <v>342.5058813811785</v>
      </c>
      <c r="J87" s="72">
        <f>IFERROR((J85-I85)*10000,"n.a.")</f>
        <v>-565.5124061232377</v>
      </c>
      <c r="K87" s="14"/>
    </row>
    <row r="88">
      <c r="A88" s="1"/>
      <c r="B88" s="18" t="s">
        <v>412</v>
      </c>
      <c r="C88" s="10">
        <f>-C41/C36</f>
        <v>0.22839279146745126</v>
      </c>
      <c r="D88" s="10">
        <f>-D41/D36</f>
        <v>0.2222222222222222</v>
      </c>
      <c r="E88" s="10">
        <f>-E41/E36</f>
        <v>0.17573423206547906</v>
      </c>
      <c r="F88" s="10">
        <f>-F41/F36</f>
        <v>0.2087143625605164</v>
      </c>
      <c r="G88" s="10">
        <f>-G41/G36</f>
        <v>0.21074515811357916</v>
      </c>
      <c r="H88" s="10">
        <f>-H41/H36</f>
        <v>0.2267235252309879</v>
      </c>
      <c r="I88" s="10">
        <f>-I41/I36</f>
        <v>0.22478474784747848</v>
      </c>
      <c r="J88" s="81">
        <f>-J41/J36</f>
        <v>0.21</v>
      </c>
      <c r="K88" s="14"/>
    </row>
    <row r="89">
      <c r="A89" s="1"/>
      <c r="B89" s="48" t="s">
        <v>94</v>
      </c>
      <c r="C89" s="71" t="s">
        <v>64</v>
      </c>
      <c r="D89" s="71" t="s">
        <v>64</v>
      </c>
      <c r="E89" s="71" t="s">
        <v>64</v>
      </c>
      <c r="F89" s="71" t="s">
        <v>64</v>
      </c>
      <c r="G89" s="71" t="s">
        <v>64</v>
      </c>
      <c r="H89" s="71">
        <f>IFERROR((H88-C88)*10000,"n.a.")</f>
        <v>-16.692662364633513</v>
      </c>
      <c r="I89" s="71">
        <f>IFERROR((I88-D88)*10000,"n.a.")</f>
        <v>25.625256252562735</v>
      </c>
      <c r="J89" s="72">
        <f>IFERROR((J88-E88)*10000,"n.a.")</f>
        <v>342.6576793452094</v>
      </c>
      <c r="K89" s="14"/>
    </row>
    <row r="90">
      <c r="A90" s="1"/>
      <c r="B90" s="48" t="s">
        <v>95</v>
      </c>
      <c r="C90" s="71" t="s">
        <v>64</v>
      </c>
      <c r="D90" s="71">
        <f>IFERROR((D88-C88)*10000,"n.a.")</f>
        <v>-61.705692452290464</v>
      </c>
      <c r="E90" s="71">
        <f>IFERROR((E88-D88)*10000,"n.a.")</f>
        <v>-464.87990156743155</v>
      </c>
      <c r="F90" s="71">
        <f>IFERROR((F88-E88)*10000,"n.a.")</f>
        <v>329.80130495037344</v>
      </c>
      <c r="G90" s="71" t="s">
        <v>64</v>
      </c>
      <c r="H90" s="71">
        <f>IFERROR((H88-F88)*10000,"n.a.")</f>
        <v>180.09162670471508</v>
      </c>
      <c r="I90" s="71">
        <f>IFERROR((I88-H88)*10000,"n.a.")</f>
        <v>-19.38777383509421</v>
      </c>
      <c r="J90" s="72">
        <f>IFERROR((J88-I88)*10000,"n.a.")</f>
        <v>-147.8474784747849</v>
      </c>
      <c r="K90" s="14"/>
    </row>
    <row r="91" ht="23.24853515625">
      <c r="A91" s="1"/>
      <c r="B91" s="13" t="s">
        <v>413</v>
      </c>
      <c r="C91" s="30">
        <v>0.14</v>
      </c>
      <c r="D91" s="30">
        <v>0.123</v>
      </c>
      <c r="E91" s="30">
        <v>0.106</v>
      </c>
      <c r="F91" s="30">
        <v>0.085</v>
      </c>
      <c r="G91" s="138">
        <f>Guidance!H13</f>
        <v>0.113</v>
      </c>
      <c r="H91" s="30">
        <v>0.135</v>
      </c>
      <c r="I91" s="30">
        <v>0.161</v>
      </c>
      <c r="J91" s="81" t="s">
        <v>64</v>
      </c>
      <c r="K91" s="14" t="s">
        <v>369</v>
      </c>
    </row>
    <row r="92">
      <c r="A92" s="1"/>
      <c r="B92" s="48" t="s">
        <v>94</v>
      </c>
      <c r="C92" s="71" t="s">
        <v>64</v>
      </c>
      <c r="D92" s="71" t="s">
        <v>64</v>
      </c>
      <c r="E92" s="71" t="s">
        <v>64</v>
      </c>
      <c r="F92" s="71" t="s">
        <v>64</v>
      </c>
      <c r="G92" s="71" t="s">
        <v>64</v>
      </c>
      <c r="H92" s="71">
        <f>IFERROR((H91-C91)*10000,"n.a.")</f>
        <v>-50.00000000000004</v>
      </c>
      <c r="I92" s="71">
        <f>IFERROR((I91-D91)*10000,"n.a.")</f>
        <v>380.00000000000006</v>
      </c>
      <c r="J92" s="72" t="str">
        <f>IFERROR((J91-E91)*10000,"n.a.")</f>
        <v>n.a.</v>
      </c>
      <c r="K92" s="14"/>
    </row>
    <row r="93">
      <c r="A93" s="1"/>
      <c r="B93" s="48" t="s">
        <v>95</v>
      </c>
      <c r="C93" s="71" t="s">
        <v>64</v>
      </c>
      <c r="D93" s="71">
        <f>IFERROR((D91-C91)*10000,"n.a.")</f>
        <v>-170.00000000000014</v>
      </c>
      <c r="E93" s="71">
        <f>IFERROR((E91-D91)*10000,"n.a.")</f>
        <v>-170</v>
      </c>
      <c r="F93" s="71">
        <f>IFERROR((F91-E91)*10000,"n.a.")</f>
        <v>-209.99999999999991</v>
      </c>
      <c r="G93" s="71" t="s">
        <v>64</v>
      </c>
      <c r="H93" s="71">
        <f>IFERROR((H91-F91)*10000,"n.a.")</f>
        <v>500</v>
      </c>
      <c r="I93" s="71">
        <f>IFERROR((I91-H91)*10000,"n.a.")</f>
        <v>259.99999999999994</v>
      </c>
      <c r="J93" s="72" t="str">
        <f>IFERROR((J91-I91)*10000,"n.a.")</f>
        <v>n.a.</v>
      </c>
      <c r="K93" s="14"/>
    </row>
    <row r="94">
      <c r="A94" s="1"/>
      <c r="B94" s="18" t="s">
        <v>197</v>
      </c>
      <c r="C94" s="49">
        <v>0.0061</v>
      </c>
      <c r="D94" s="49">
        <v>0.0044</v>
      </c>
      <c r="E94" s="49">
        <v>0.0057</v>
      </c>
      <c r="F94" s="49">
        <v>0.0048</v>
      </c>
      <c r="G94" s="45" t="s">
        <v>64</v>
      </c>
      <c r="H94" s="49">
        <v>0.0074</v>
      </c>
      <c r="I94" s="49">
        <v>0.0051</v>
      </c>
      <c r="J94" s="89" t="s">
        <v>64</v>
      </c>
      <c r="K94" s="14" t="s">
        <v>414</v>
      </c>
    </row>
    <row r="95">
      <c r="A95" s="1"/>
      <c r="B95" s="48" t="s">
        <v>94</v>
      </c>
      <c r="C95" s="71" t="s">
        <v>64</v>
      </c>
      <c r="D95" s="71" t="s">
        <v>64</v>
      </c>
      <c r="E95" s="71" t="s">
        <v>64</v>
      </c>
      <c r="F95" s="71" t="s">
        <v>64</v>
      </c>
      <c r="G95" s="71" t="s">
        <v>64</v>
      </c>
      <c r="H95" s="71">
        <f>IFERROR((H94-C94)*10000,"n.a.")</f>
        <v>13</v>
      </c>
      <c r="I95" s="71">
        <f>IFERROR((I94-D94)*10000,"n.a.")</f>
        <v>7.000000000000001</v>
      </c>
      <c r="J95" s="72" t="str">
        <f>IFERROR((J94-E94)*10000,"n.a.")</f>
        <v>n.a.</v>
      </c>
      <c r="K95" s="14"/>
    </row>
    <row r="96">
      <c r="A96" s="1"/>
      <c r="B96" s="48" t="s">
        <v>95</v>
      </c>
      <c r="C96" s="71" t="s">
        <v>64</v>
      </c>
      <c r="D96" s="71">
        <f>IFERROR((D94-C94)*10000,"n.a.")</f>
        <v>-17</v>
      </c>
      <c r="E96" s="71">
        <f>IFERROR((E94-D94)*10000,"n.a.")</f>
        <v>13</v>
      </c>
      <c r="F96" s="71">
        <f>IFERROR((F94-E94)*10000,"n.a.")</f>
        <v>-9.000000000000007</v>
      </c>
      <c r="G96" s="71" t="s">
        <v>64</v>
      </c>
      <c r="H96" s="71">
        <f>IFERROR((H94-F94)*10000,"n.a.")</f>
        <v>26.000000000000007</v>
      </c>
      <c r="I96" s="71">
        <f>IFERROR((I94-H94)*10000,"n.a.")</f>
        <v>-23</v>
      </c>
      <c r="J96" s="72" t="str">
        <f>IFERROR((J94-I94)*10000,"n.a.")</f>
        <v>n.a.</v>
      </c>
      <c r="K96" s="14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A1:K83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  <col min="11" max="11" width="9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35" t="s">
        <v>49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9" t="s">
        <v>415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3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6" t="s">
        <v>51</v>
      </c>
      <c r="C5" s="21" t="s">
        <v>52</v>
      </c>
      <c r="D5" s="21" t="s">
        <v>53</v>
      </c>
      <c r="E5" s="21" t="s">
        <v>54</v>
      </c>
      <c r="F5" s="21" t="s">
        <v>55</v>
      </c>
      <c r="G5" s="21" t="s">
        <v>56</v>
      </c>
      <c r="H5" s="21" t="s">
        <v>57</v>
      </c>
      <c r="I5" s="21" t="s">
        <v>58</v>
      </c>
      <c r="J5" s="40" t="s">
        <v>4</v>
      </c>
      <c r="K5" s="6" t="s">
        <v>59</v>
      </c>
    </row>
    <row r="6">
      <c r="A6" s="1"/>
      <c r="B6" s="7" t="s">
        <v>5</v>
      </c>
      <c r="C6" s="29">
        <v>45747</v>
      </c>
      <c r="D6" s="29">
        <v>45838</v>
      </c>
      <c r="E6" s="29">
        <v>45930</v>
      </c>
      <c r="F6" s="29">
        <v>46022</v>
      </c>
      <c r="G6" s="29">
        <v>46022</v>
      </c>
      <c r="H6" s="29">
        <v>46112</v>
      </c>
      <c r="I6" s="29">
        <v>46203</v>
      </c>
      <c r="J6" s="50">
        <v>46295</v>
      </c>
      <c r="K6" s="7"/>
    </row>
    <row r="7">
      <c r="A7" s="1"/>
      <c r="B7" s="12" t="s">
        <v>6</v>
      </c>
      <c r="C7" s="34">
        <f>C6-EOMONTH(C6,-3)</f>
        <v>90</v>
      </c>
      <c r="D7" s="34">
        <f>D6-EOMONTH(D6,-3)</f>
        <v>91</v>
      </c>
      <c r="E7" s="34">
        <f>E6-EOMONTH(E6,-3)</f>
        <v>92</v>
      </c>
      <c r="F7" s="34">
        <f>F6-EOMONTH(F6,-3)</f>
        <v>92</v>
      </c>
      <c r="G7" s="34">
        <f>G6-EOMONTH(G6,-12)</f>
        <v>365</v>
      </c>
      <c r="H7" s="34">
        <f>H6-EOMONTH(H6,-3)</f>
        <v>90</v>
      </c>
      <c r="I7" s="34">
        <f>I6-EOMONTH(I6,-3)</f>
        <v>91</v>
      </c>
      <c r="J7" s="43">
        <f>J6-EOMONTH(J6,-3)</f>
        <v>92</v>
      </c>
      <c r="K7" s="12"/>
    </row>
    <row r="8">
      <c r="A8" s="1"/>
      <c r="B8" s="1"/>
      <c r="C8" s="1"/>
      <c r="D8" s="1"/>
      <c r="E8" s="1"/>
      <c r="F8" s="1"/>
      <c r="G8" s="1"/>
      <c r="H8" s="1"/>
      <c r="I8" s="1"/>
      <c r="J8" s="54"/>
      <c r="K8" s="1"/>
    </row>
    <row r="9">
      <c r="A9" s="1"/>
      <c r="B9" s="20" t="s">
        <v>416</v>
      </c>
      <c r="C9" s="32"/>
      <c r="D9" s="32"/>
      <c r="E9" s="32"/>
      <c r="F9" s="32"/>
      <c r="G9" s="32"/>
      <c r="H9" s="32"/>
      <c r="I9" s="32"/>
      <c r="J9" s="28"/>
      <c r="K9" s="14"/>
    </row>
    <row r="10">
      <c r="A10" s="1"/>
      <c r="B10" s="18" t="s">
        <v>417</v>
      </c>
      <c r="C10" s="24">
        <v>239481</v>
      </c>
      <c r="D10" s="24">
        <v>225723</v>
      </c>
      <c r="E10" s="24">
        <v>237412</v>
      </c>
      <c r="F10" s="24">
        <v>229752</v>
      </c>
      <c r="G10" s="2">
        <f>F10</f>
        <v>229752</v>
      </c>
      <c r="H10" s="24">
        <v>235350</v>
      </c>
      <c r="I10" s="24">
        <v>245859</v>
      </c>
      <c r="J10" s="26">
        <f>J52+J68-(J11+J12+J13+J14+J15+J16+J17+J18+J19+J20+J21+J22+J23+J24+J25)</f>
        <v>246405.42471059738</v>
      </c>
      <c r="K10" s="14" t="s">
        <v>418</v>
      </c>
    </row>
    <row r="11" ht="14.624267578125">
      <c r="A11" s="1"/>
      <c r="B11" s="13" t="s">
        <v>323</v>
      </c>
      <c r="C11" s="24">
        <v>158754</v>
      </c>
      <c r="D11" s="24">
        <v>152316</v>
      </c>
      <c r="E11" s="24">
        <v>159145</v>
      </c>
      <c r="F11" s="24">
        <v>130532</v>
      </c>
      <c r="G11" s="2">
        <f>F11</f>
        <v>130532</v>
      </c>
      <c r="H11" s="24">
        <v>197420</v>
      </c>
      <c r="I11" s="24">
        <v>189461</v>
      </c>
      <c r="J11" s="26">
        <f>I11</f>
        <v>189461</v>
      </c>
      <c r="K11" s="14"/>
    </row>
    <row r="12">
      <c r="A12" s="1"/>
      <c r="B12" s="18" t="s">
        <v>314</v>
      </c>
      <c r="C12" s="24">
        <v>71369</v>
      </c>
      <c r="D12" s="24">
        <v>69936</v>
      </c>
      <c r="E12" s="24">
        <v>70669</v>
      </c>
      <c r="F12" s="24">
        <v>68475</v>
      </c>
      <c r="G12" s="2">
        <f>F12</f>
        <v>68475</v>
      </c>
      <c r="H12" s="24">
        <v>68325</v>
      </c>
      <c r="I12" s="24">
        <v>73519</v>
      </c>
      <c r="J12" s="26">
        <f>I12</f>
        <v>73519</v>
      </c>
      <c r="K12" s="14"/>
    </row>
    <row r="13" ht="14.624267578125">
      <c r="A13" s="1"/>
      <c r="B13" s="13" t="s">
        <v>419</v>
      </c>
      <c r="C13" s="24">
        <v>9409</v>
      </c>
      <c r="D13" s="24">
        <v>8697</v>
      </c>
      <c r="E13" s="24">
        <v>9428</v>
      </c>
      <c r="F13" s="24">
        <v>8638</v>
      </c>
      <c r="G13" s="2">
        <f>F13</f>
        <v>8638</v>
      </c>
      <c r="H13" s="24">
        <v>11996</v>
      </c>
      <c r="I13" s="24">
        <v>11978</v>
      </c>
      <c r="J13" s="26">
        <f>I13</f>
        <v>11978</v>
      </c>
      <c r="K13" s="14"/>
    </row>
    <row r="14" ht="23.24853515625">
      <c r="A14" s="1"/>
      <c r="B14" s="13" t="s">
        <v>420</v>
      </c>
      <c r="C14" s="24">
        <v>338639</v>
      </c>
      <c r="D14" s="24">
        <v>339131</v>
      </c>
      <c r="E14" s="24">
        <v>346377</v>
      </c>
      <c r="F14" s="24">
        <v>352885</v>
      </c>
      <c r="G14" s="2">
        <f>F14</f>
        <v>352885</v>
      </c>
      <c r="H14" s="24">
        <v>358306</v>
      </c>
      <c r="I14" s="24">
        <v>359323</v>
      </c>
      <c r="J14" s="87">
        <f>I14+1000*(('Segment - Barclays UK'!J90-'Segment - Barclays UK'!I90)+('Segment - UK Corporate Bank'!J78-'Segment - UK Corporate Bank'!I78)+('Segment - Private Bank &amp; WM'!J67-'Segment - Private Bank &amp; WM'!I67)+('Segment - Investment Bank'!J125-'Segment - Investment Bank'!I125)+('Segment - US Consumer Bank'!J74-'Segment - US Consumer Bank'!I74))</f>
        <v>362785.7</v>
      </c>
      <c r="K14" s="14" t="s">
        <v>421</v>
      </c>
    </row>
    <row r="15" ht="23.24853515625">
      <c r="A15" s="1"/>
      <c r="B15" s="13" t="s">
        <v>422</v>
      </c>
      <c r="C15" s="24">
        <v>8084</v>
      </c>
      <c r="D15" s="24">
        <v>7917</v>
      </c>
      <c r="E15" s="24">
        <v>13430</v>
      </c>
      <c r="F15" s="24">
        <v>17622</v>
      </c>
      <c r="G15" s="2">
        <f>F15</f>
        <v>17622</v>
      </c>
      <c r="H15" s="24">
        <v>11556</v>
      </c>
      <c r="I15" s="24">
        <v>12100</v>
      </c>
      <c r="J15" s="26">
        <f>I15</f>
        <v>12100</v>
      </c>
      <c r="K15" s="14"/>
    </row>
    <row r="16">
      <c r="A16" s="1"/>
      <c r="B16" s="18" t="s">
        <v>319</v>
      </c>
      <c r="C16" s="24">
        <v>186701</v>
      </c>
      <c r="D16" s="24">
        <v>187223</v>
      </c>
      <c r="E16" s="24">
        <v>192732</v>
      </c>
      <c r="F16" s="24">
        <v>190061</v>
      </c>
      <c r="G16" s="2">
        <f>F16</f>
        <v>190061</v>
      </c>
      <c r="H16" s="24">
        <v>191053</v>
      </c>
      <c r="I16" s="24">
        <v>210102</v>
      </c>
      <c r="J16" s="26">
        <f>I16</f>
        <v>210102</v>
      </c>
      <c r="K16" s="14"/>
    </row>
    <row r="17" ht="23.24853515625">
      <c r="A17" s="1"/>
      <c r="B17" s="13" t="s">
        <v>423</v>
      </c>
      <c r="C17" s="24">
        <v>212967</v>
      </c>
      <c r="D17" s="24">
        <v>218552</v>
      </c>
      <c r="E17" s="24">
        <v>225919</v>
      </c>
      <c r="F17" s="24">
        <v>186857</v>
      </c>
      <c r="G17" s="2">
        <f>F17</f>
        <v>186857</v>
      </c>
      <c r="H17" s="24">
        <v>218729</v>
      </c>
      <c r="I17" s="24">
        <v>213100</v>
      </c>
      <c r="J17" s="26">
        <f>I17</f>
        <v>213100</v>
      </c>
      <c r="K17" s="14"/>
    </row>
    <row r="18">
      <c r="A18" s="1"/>
      <c r="B18" s="18" t="s">
        <v>424</v>
      </c>
      <c r="C18" s="24">
        <v>255062</v>
      </c>
      <c r="D18" s="24">
        <v>280194</v>
      </c>
      <c r="E18" s="24">
        <v>264825</v>
      </c>
      <c r="F18" s="24">
        <v>252459</v>
      </c>
      <c r="G18" s="2">
        <f>F18</f>
        <v>252459</v>
      </c>
      <c r="H18" s="24">
        <v>286388</v>
      </c>
      <c r="I18" s="24">
        <v>303602</v>
      </c>
      <c r="J18" s="26">
        <f>I18</f>
        <v>303602</v>
      </c>
      <c r="K18" s="14"/>
    </row>
    <row r="19">
      <c r="A19" s="1"/>
      <c r="B19" s="18" t="s">
        <v>425</v>
      </c>
      <c r="C19" s="24">
        <v>80279</v>
      </c>
      <c r="D19" s="24">
        <v>77311</v>
      </c>
      <c r="E19" s="24">
        <v>76760</v>
      </c>
      <c r="F19" s="24">
        <v>74394</v>
      </c>
      <c r="G19" s="2">
        <f>F19</f>
        <v>74394</v>
      </c>
      <c r="H19" s="24">
        <v>83095</v>
      </c>
      <c r="I19" s="24">
        <v>83012</v>
      </c>
      <c r="J19" s="26">
        <f>I19</f>
        <v>83012</v>
      </c>
      <c r="K19" s="14"/>
    </row>
    <row r="20" ht="14.624267578125">
      <c r="A20" s="1"/>
      <c r="B20" s="13" t="s">
        <v>426</v>
      </c>
      <c r="C20" s="24">
        <v>923</v>
      </c>
      <c r="D20" s="24">
        <v>913</v>
      </c>
      <c r="E20" s="24">
        <v>741</v>
      </c>
      <c r="F20" s="24">
        <v>739</v>
      </c>
      <c r="G20" s="2">
        <f>F20</f>
        <v>739</v>
      </c>
      <c r="H20" s="24">
        <v>760</v>
      </c>
      <c r="I20" s="24">
        <v>732</v>
      </c>
      <c r="J20" s="26">
        <f>I20</f>
        <v>732</v>
      </c>
      <c r="K20" s="14"/>
    </row>
    <row r="21">
      <c r="A21" s="1"/>
      <c r="B21" s="18" t="s">
        <v>427</v>
      </c>
      <c r="C21" s="24">
        <v>8250</v>
      </c>
      <c r="D21" s="24">
        <v>8186</v>
      </c>
      <c r="E21" s="24">
        <v>8255</v>
      </c>
      <c r="F21" s="24">
        <v>8284</v>
      </c>
      <c r="G21" s="2">
        <f>F21</f>
        <v>8284</v>
      </c>
      <c r="H21" s="24">
        <v>8357</v>
      </c>
      <c r="I21" s="24">
        <v>8912</v>
      </c>
      <c r="J21" s="26">
        <f>I21</f>
        <v>8912</v>
      </c>
      <c r="K21" s="14"/>
    </row>
    <row r="22">
      <c r="A22" s="1"/>
      <c r="B22" s="18" t="s">
        <v>428</v>
      </c>
      <c r="C22" s="24">
        <v>196</v>
      </c>
      <c r="D22" s="24">
        <v>174</v>
      </c>
      <c r="E22" s="24">
        <v>220</v>
      </c>
      <c r="F22" s="24">
        <v>276</v>
      </c>
      <c r="G22" s="2">
        <f>F22</f>
        <v>276</v>
      </c>
      <c r="H22" s="24">
        <v>228</v>
      </c>
      <c r="I22" s="24">
        <v>222</v>
      </c>
      <c r="J22" s="26">
        <f>I22</f>
        <v>222</v>
      </c>
      <c r="K22" s="14"/>
    </row>
    <row r="23">
      <c r="A23" s="1"/>
      <c r="B23" s="18" t="s">
        <v>429</v>
      </c>
      <c r="C23" s="24">
        <v>5917</v>
      </c>
      <c r="D23" s="24">
        <v>5241</v>
      </c>
      <c r="E23" s="24">
        <v>5350</v>
      </c>
      <c r="F23" s="24">
        <v>4992</v>
      </c>
      <c r="G23" s="2">
        <f>F23</f>
        <v>4992</v>
      </c>
      <c r="H23" s="24">
        <v>5412</v>
      </c>
      <c r="I23" s="24">
        <v>4987</v>
      </c>
      <c r="J23" s="26">
        <f>I23</f>
        <v>4987</v>
      </c>
      <c r="K23" s="14"/>
    </row>
    <row r="24" ht="14.624267578125">
      <c r="A24" s="1"/>
      <c r="B24" s="13" t="s">
        <v>430</v>
      </c>
      <c r="C24" s="24">
        <v>5739</v>
      </c>
      <c r="D24" s="24">
        <v>5585</v>
      </c>
      <c r="E24" s="24">
        <v>5935</v>
      </c>
      <c r="F24" s="24">
        <v>5932</v>
      </c>
      <c r="G24" s="2">
        <f>F24</f>
        <v>5932</v>
      </c>
      <c r="H24" s="24">
        <v>5555</v>
      </c>
      <c r="I24" s="24">
        <v>0</v>
      </c>
      <c r="J24" s="26">
        <f>I24</f>
        <v>0</v>
      </c>
      <c r="K24" s="14"/>
    </row>
    <row r="25" ht="23.24853515625">
      <c r="A25" s="1"/>
      <c r="B25" s="13" t="s">
        <v>431</v>
      </c>
      <c r="C25" s="24">
        <v>11719</v>
      </c>
      <c r="D25" s="2">
        <f>D26+D27+D28</f>
        <v>11601</v>
      </c>
      <c r="E25" s="24">
        <v>11955</v>
      </c>
      <c r="F25" s="2">
        <f>F26+F27+F28</f>
        <v>12267</v>
      </c>
      <c r="G25" s="2">
        <f>F25</f>
        <v>12267</v>
      </c>
      <c r="H25" s="24">
        <v>12256</v>
      </c>
      <c r="I25" s="2">
        <f>I26+I27+I28</f>
        <v>13449</v>
      </c>
      <c r="J25" s="26">
        <f>I25</f>
        <v>13449</v>
      </c>
      <c r="K25" s="14" t="s">
        <v>432</v>
      </c>
    </row>
    <row r="26" ht="14.624267578125">
      <c r="A26" s="1"/>
      <c r="B26" s="82" t="s">
        <v>433</v>
      </c>
      <c r="C26" s="2" t="s">
        <v>101</v>
      </c>
      <c r="D26" s="24">
        <v>3504</v>
      </c>
      <c r="E26" s="2" t="s">
        <v>101</v>
      </c>
      <c r="F26" s="24">
        <v>3720</v>
      </c>
      <c r="G26" s="2">
        <f>F26</f>
        <v>3720</v>
      </c>
      <c r="H26" s="2" t="s">
        <v>101</v>
      </c>
      <c r="I26" s="24">
        <v>4226</v>
      </c>
      <c r="J26" s="26" t="s">
        <v>169</v>
      </c>
      <c r="K26" s="14" t="s">
        <v>434</v>
      </c>
    </row>
    <row r="27" ht="14.624267578125">
      <c r="A27" s="1"/>
      <c r="B27" s="82" t="s">
        <v>435</v>
      </c>
      <c r="C27" s="2" t="s">
        <v>101</v>
      </c>
      <c r="D27" s="24">
        <v>2997</v>
      </c>
      <c r="E27" s="2" t="s">
        <v>101</v>
      </c>
      <c r="F27" s="24">
        <v>3308</v>
      </c>
      <c r="G27" s="2">
        <f>F27</f>
        <v>3308</v>
      </c>
      <c r="H27" s="2" t="s">
        <v>101</v>
      </c>
      <c r="I27" s="24">
        <v>3316</v>
      </c>
      <c r="J27" s="26" t="s">
        <v>169</v>
      </c>
      <c r="K27" s="14"/>
    </row>
    <row r="28">
      <c r="A28" s="1"/>
      <c r="B28" s="48" t="s">
        <v>436</v>
      </c>
      <c r="C28" s="2" t="s">
        <v>101</v>
      </c>
      <c r="D28" s="24">
        <v>5100</v>
      </c>
      <c r="E28" s="2" t="s">
        <v>101</v>
      </c>
      <c r="F28" s="24">
        <v>5239</v>
      </c>
      <c r="G28" s="2">
        <f>F28</f>
        <v>5239</v>
      </c>
      <c r="H28" s="2" t="s">
        <v>101</v>
      </c>
      <c r="I28" s="24">
        <v>5907</v>
      </c>
      <c r="J28" s="26" t="s">
        <v>169</v>
      </c>
      <c r="K28" s="14"/>
    </row>
    <row r="29">
      <c r="A29" s="1"/>
      <c r="B29" s="20" t="s">
        <v>437</v>
      </c>
      <c r="C29" s="16">
        <f>C10+C11+C12+C13+C14+C15+C16+C17+C18+C19+C20+C21+C22+C23+C24+C25</f>
        <v>1593489</v>
      </c>
      <c r="D29" s="16">
        <f>D10+D11+D12+D13+D14+D15+D16+D17+D18+D19+D20+D21+D22+D23+D24+D25</f>
        <v>1598700</v>
      </c>
      <c r="E29" s="16">
        <f>E10+E11+E12+E13+E14+E15+E16+E17+E18+E19+E20+E21+E22+E23+E24+E25</f>
        <v>1629153</v>
      </c>
      <c r="F29" s="16">
        <f>F10+F11+F12+F13+F14+F15+F16+F17+F18+F19+F20+F21+F22+F23+F24+F25</f>
        <v>1544165</v>
      </c>
      <c r="G29" s="16">
        <f>G10+G11+G12+G13+G14+G15+G16+G17+G18+G19+G20+G21+G22+G23+G24+G25</f>
        <v>1544165</v>
      </c>
      <c r="H29" s="16">
        <f>H10+H11+H12+H13+H14+H15+H16+H17+H18+H19+H20+H21+H22+H23+H24+H25</f>
        <v>1694786</v>
      </c>
      <c r="I29" s="16">
        <f>I10+I11+I12+I13+I14+I15+I16+I17+I18+I19+I20+I21+I22+I23+I24+I25</f>
        <v>1730358</v>
      </c>
      <c r="J29" s="65">
        <f>J10+J11+J12+J13+J14+J15+J16+J17+J18+J19+J20+J21+J22+J23+J24+J25</f>
        <v>1734367.1247105973</v>
      </c>
      <c r="K29" s="14"/>
    </row>
    <row r="30">
      <c r="A30" s="1"/>
      <c r="B30" s="37" t="s">
        <v>63</v>
      </c>
      <c r="C30" s="25" t="s">
        <v>64</v>
      </c>
      <c r="D30" s="25" t="s">
        <v>64</v>
      </c>
      <c r="E30" s="25" t="s">
        <v>64</v>
      </c>
      <c r="F30" s="25" t="s">
        <v>64</v>
      </c>
      <c r="G30" s="25" t="s">
        <v>64</v>
      </c>
      <c r="H30" s="25">
        <f>IFERROR(H29/C29-1,"n.a.")</f>
        <v>0.06356931237052788</v>
      </c>
      <c r="I30" s="25">
        <f>IFERROR(I29/D29-1,"n.a.")</f>
        <v>0.0823531619440796</v>
      </c>
      <c r="J30" s="51">
        <f>IFERROR(J29/E29-1,"n.a.")</f>
        <v>0.06458210168756229</v>
      </c>
      <c r="K30" s="14"/>
    </row>
    <row r="31">
      <c r="A31" s="1"/>
      <c r="B31" s="48" t="s">
        <v>78</v>
      </c>
      <c r="C31" s="2" t="s">
        <v>64</v>
      </c>
      <c r="D31" s="2">
        <f>IFERROR(D29-C29,"n.a.")</f>
        <v>5211</v>
      </c>
      <c r="E31" s="2">
        <f>IFERROR(E29-D29,"n.a.")</f>
        <v>30453</v>
      </c>
      <c r="F31" s="2">
        <f>IFERROR(F29-E29,"n.a.")</f>
        <v>-84988</v>
      </c>
      <c r="G31" s="2" t="s">
        <v>64</v>
      </c>
      <c r="H31" s="2">
        <f>IFERROR(H29-F29,"n.a.")</f>
        <v>150621</v>
      </c>
      <c r="I31" s="2">
        <f>IFERROR(I29-H29,"n.a.")</f>
        <v>35572</v>
      </c>
      <c r="J31" s="26">
        <f>IFERROR(J29-I29,"n.a.")</f>
        <v>4009.1247105973307</v>
      </c>
      <c r="K31" s="14"/>
    </row>
    <row r="32" ht="14.624267578125">
      <c r="A32" s="1"/>
      <c r="B32" s="63" t="s">
        <v>438</v>
      </c>
      <c r="C32" s="24">
        <v>1593489</v>
      </c>
      <c r="D32" s="24">
        <v>1598700</v>
      </c>
      <c r="E32" s="24">
        <v>1629153</v>
      </c>
      <c r="F32" s="24">
        <v>1544165</v>
      </c>
      <c r="G32" s="2">
        <f>F32</f>
        <v>1544165</v>
      </c>
      <c r="H32" s="24">
        <v>1694786</v>
      </c>
      <c r="I32" s="24">
        <v>1730358</v>
      </c>
      <c r="J32" s="26" t="s">
        <v>64</v>
      </c>
      <c r="K32" s="14"/>
    </row>
    <row r="33" ht="14.624267578125">
      <c r="A33" s="1"/>
      <c r="B33" s="63" t="s">
        <v>439</v>
      </c>
      <c r="C33" s="2">
        <f>C29-C32</f>
        <v>0</v>
      </c>
      <c r="D33" s="2">
        <f>D29-D32</f>
        <v>0</v>
      </c>
      <c r="E33" s="2">
        <f>E29-E32</f>
        <v>0</v>
      </c>
      <c r="F33" s="2">
        <f>F29-F32</f>
        <v>0</v>
      </c>
      <c r="G33" s="2">
        <f>G29-G32</f>
        <v>0</v>
      </c>
      <c r="H33" s="2">
        <f>H29-H32</f>
        <v>0</v>
      </c>
      <c r="I33" s="2">
        <f>I29-I32</f>
        <v>0</v>
      </c>
      <c r="J33" s="26" t="s">
        <v>64</v>
      </c>
      <c r="K33" s="14"/>
    </row>
    <row r="34">
      <c r="A34" s="1"/>
      <c r="B34" s="18"/>
      <c r="C34" s="19"/>
      <c r="D34" s="19"/>
      <c r="E34" s="19"/>
      <c r="F34" s="19"/>
      <c r="G34" s="19"/>
      <c r="H34" s="19"/>
      <c r="I34" s="19"/>
      <c r="J34" s="27"/>
      <c r="K34" s="14"/>
    </row>
    <row r="35">
      <c r="A35" s="1"/>
      <c r="B35" s="20" t="s">
        <v>440</v>
      </c>
      <c r="C35" s="32"/>
      <c r="D35" s="32"/>
      <c r="E35" s="32"/>
      <c r="F35" s="32"/>
      <c r="G35" s="32"/>
      <c r="H35" s="32"/>
      <c r="I35" s="32"/>
      <c r="J35" s="28"/>
      <c r="K35" s="14"/>
    </row>
    <row r="36" ht="14.624267578125">
      <c r="A36" s="1"/>
      <c r="B36" s="13" t="s">
        <v>441</v>
      </c>
      <c r="C36" s="24">
        <v>18249</v>
      </c>
      <c r="D36" s="24">
        <v>19348</v>
      </c>
      <c r="E36" s="24">
        <v>20769</v>
      </c>
      <c r="F36" s="24">
        <v>20413</v>
      </c>
      <c r="G36" s="2">
        <f>F36</f>
        <v>20413</v>
      </c>
      <c r="H36" s="24">
        <v>19739</v>
      </c>
      <c r="I36" s="24">
        <v>19921</v>
      </c>
      <c r="J36" s="26">
        <f>I36</f>
        <v>19921</v>
      </c>
      <c r="K36" s="14"/>
    </row>
    <row r="37" ht="14.624267578125">
      <c r="A37" s="1"/>
      <c r="B37" s="13" t="s">
        <v>442</v>
      </c>
      <c r="C37" s="24">
        <v>556060</v>
      </c>
      <c r="D37" s="24">
        <v>545187</v>
      </c>
      <c r="E37" s="24">
        <v>554559</v>
      </c>
      <c r="F37" s="24">
        <v>565200</v>
      </c>
      <c r="G37" s="2">
        <f>F37</f>
        <v>565200</v>
      </c>
      <c r="H37" s="24">
        <v>567855</v>
      </c>
      <c r="I37" s="24">
        <v>574436</v>
      </c>
      <c r="J37" s="87">
        <f>I37+1000*(('Segment - Barclays UK'!J101-'Segment - Barclays UK'!I101)+('Segment - UK Corporate Bank'!J85-'Segment - UK Corporate Bank'!I85)+('Segment - Private Bank &amp; WM'!J74-'Segment - Private Bank &amp; WM'!I74)+('Segment - Investment Bank'!J158-'Segment - Investment Bank'!I158)+('Segment - US Consumer Bank'!J81-'Segment - US Consumer Bank'!I81))</f>
        <v>578286</v>
      </c>
      <c r="K37" s="14" t="s">
        <v>443</v>
      </c>
    </row>
    <row r="38" ht="14.624267578125">
      <c r="A38" s="1"/>
      <c r="B38" s="13" t="s">
        <v>323</v>
      </c>
      <c r="C38" s="24">
        <v>145439</v>
      </c>
      <c r="D38" s="24">
        <v>140011</v>
      </c>
      <c r="E38" s="24">
        <v>148837</v>
      </c>
      <c r="F38" s="24">
        <v>117583</v>
      </c>
      <c r="G38" s="2">
        <f>F38</f>
        <v>117583</v>
      </c>
      <c r="H38" s="24">
        <v>174566</v>
      </c>
      <c r="I38" s="24">
        <v>182142</v>
      </c>
      <c r="J38" s="26">
        <f>I38</f>
        <v>182142</v>
      </c>
      <c r="K38" s="14"/>
    </row>
    <row r="39" ht="14.624267578125">
      <c r="A39" s="1"/>
      <c r="B39" s="13" t="s">
        <v>444</v>
      </c>
      <c r="C39" s="24">
        <v>34262</v>
      </c>
      <c r="D39" s="24">
        <v>35469</v>
      </c>
      <c r="E39" s="24">
        <v>35395</v>
      </c>
      <c r="F39" s="24">
        <v>25170</v>
      </c>
      <c r="G39" s="2">
        <f>F39</f>
        <v>25170</v>
      </c>
      <c r="H39" s="24">
        <v>27874</v>
      </c>
      <c r="I39" s="24">
        <v>30704</v>
      </c>
      <c r="J39" s="26">
        <f>I39</f>
        <v>30704</v>
      </c>
      <c r="K39" s="14"/>
    </row>
    <row r="40">
      <c r="A40" s="1"/>
      <c r="B40" s="18" t="s">
        <v>445</v>
      </c>
      <c r="C40" s="24">
        <v>97525</v>
      </c>
      <c r="D40" s="24">
        <v>104910</v>
      </c>
      <c r="E40" s="24">
        <v>108589</v>
      </c>
      <c r="F40" s="24">
        <v>119033</v>
      </c>
      <c r="G40" s="2">
        <f>F40</f>
        <v>119033</v>
      </c>
      <c r="H40" s="24">
        <v>124647</v>
      </c>
      <c r="I40" s="24">
        <v>126837</v>
      </c>
      <c r="J40" s="26">
        <f>I40</f>
        <v>126837</v>
      </c>
      <c r="K40" s="14"/>
    </row>
    <row r="41">
      <c r="A41" s="1"/>
      <c r="B41" s="18" t="s">
        <v>446</v>
      </c>
      <c r="C41" s="24">
        <v>13001</v>
      </c>
      <c r="D41" s="24">
        <v>12529</v>
      </c>
      <c r="E41" s="24">
        <v>12911</v>
      </c>
      <c r="F41" s="24">
        <v>12954</v>
      </c>
      <c r="G41" s="2">
        <f>F41</f>
        <v>12954</v>
      </c>
      <c r="H41" s="24">
        <v>12192</v>
      </c>
      <c r="I41" s="24">
        <v>11098</v>
      </c>
      <c r="J41" s="26">
        <f>I41</f>
        <v>11098</v>
      </c>
      <c r="K41" s="14"/>
    </row>
    <row r="42">
      <c r="A42" s="1"/>
      <c r="B42" s="18" t="s">
        <v>447</v>
      </c>
      <c r="C42" s="24">
        <v>70503</v>
      </c>
      <c r="D42" s="24">
        <v>69305</v>
      </c>
      <c r="E42" s="24">
        <v>71081</v>
      </c>
      <c r="F42" s="24">
        <v>57737</v>
      </c>
      <c r="G42" s="2">
        <f>F42</f>
        <v>57737</v>
      </c>
      <c r="H42" s="24">
        <v>82911</v>
      </c>
      <c r="I42" s="24">
        <v>78405</v>
      </c>
      <c r="J42" s="26">
        <f>I42</f>
        <v>78405</v>
      </c>
      <c r="K42" s="14"/>
    </row>
    <row r="43" ht="14.624267578125">
      <c r="A43" s="1"/>
      <c r="B43" s="13" t="s">
        <v>448</v>
      </c>
      <c r="C43" s="24">
        <v>324156</v>
      </c>
      <c r="D43" s="24">
        <v>317485</v>
      </c>
      <c r="E43" s="24">
        <v>335213</v>
      </c>
      <c r="F43" s="24">
        <v>294108</v>
      </c>
      <c r="G43" s="2">
        <f>F43</f>
        <v>294108</v>
      </c>
      <c r="H43" s="24">
        <v>321632</v>
      </c>
      <c r="I43" s="24">
        <v>321925</v>
      </c>
      <c r="J43" s="26">
        <f>I43</f>
        <v>321925</v>
      </c>
      <c r="K43" s="14"/>
    </row>
    <row r="44">
      <c r="A44" s="1"/>
      <c r="B44" s="18" t="s">
        <v>424</v>
      </c>
      <c r="C44" s="24">
        <v>245386</v>
      </c>
      <c r="D44" s="24">
        <v>265376</v>
      </c>
      <c r="E44" s="24">
        <v>252249</v>
      </c>
      <c r="F44" s="24">
        <v>240808</v>
      </c>
      <c r="G44" s="2">
        <f>F44</f>
        <v>240808</v>
      </c>
      <c r="H44" s="24">
        <v>272778</v>
      </c>
      <c r="I44" s="24">
        <v>291785</v>
      </c>
      <c r="J44" s="26">
        <f>I44</f>
        <v>291785</v>
      </c>
      <c r="K44" s="14"/>
    </row>
    <row r="45">
      <c r="A45" s="1"/>
      <c r="B45" s="18" t="s">
        <v>449</v>
      </c>
      <c r="C45" s="24">
        <v>896</v>
      </c>
      <c r="D45" s="24">
        <v>905</v>
      </c>
      <c r="E45" s="24">
        <v>905</v>
      </c>
      <c r="F45" s="24">
        <v>868</v>
      </c>
      <c r="G45" s="2">
        <f>F45</f>
        <v>868</v>
      </c>
      <c r="H45" s="24">
        <v>1167</v>
      </c>
      <c r="I45" s="24">
        <v>1020</v>
      </c>
      <c r="J45" s="26">
        <f>I45</f>
        <v>1020</v>
      </c>
      <c r="K45" s="14"/>
    </row>
    <row r="46">
      <c r="A46" s="1"/>
      <c r="B46" s="18" t="s">
        <v>450</v>
      </c>
      <c r="C46" s="24">
        <v>18</v>
      </c>
      <c r="D46" s="24">
        <v>18</v>
      </c>
      <c r="E46" s="24">
        <v>18</v>
      </c>
      <c r="F46" s="24">
        <v>13</v>
      </c>
      <c r="G46" s="2">
        <f>F46</f>
        <v>13</v>
      </c>
      <c r="H46" s="24">
        <v>13</v>
      </c>
      <c r="I46" s="24">
        <v>13</v>
      </c>
      <c r="J46" s="26">
        <f>I46</f>
        <v>13</v>
      </c>
      <c r="K46" s="14"/>
    </row>
    <row r="47" ht="14.624267578125">
      <c r="A47" s="1"/>
      <c r="B47" s="13" t="s">
        <v>451</v>
      </c>
      <c r="C47" s="24">
        <v>0</v>
      </c>
      <c r="D47" s="24">
        <v>0</v>
      </c>
      <c r="E47" s="24">
        <v>0</v>
      </c>
      <c r="F47" s="24">
        <v>0</v>
      </c>
      <c r="G47" s="2">
        <f>F47</f>
        <v>0</v>
      </c>
      <c r="H47" s="24">
        <v>0</v>
      </c>
      <c r="I47" s="24">
        <v>0</v>
      </c>
      <c r="J47" s="26">
        <f>I47</f>
        <v>0</v>
      </c>
      <c r="K47" s="14"/>
    </row>
    <row r="48" ht="23.24853515625">
      <c r="A48" s="1"/>
      <c r="B48" s="13" t="s">
        <v>452</v>
      </c>
      <c r="C48" s="24">
        <v>12454</v>
      </c>
      <c r="D48" s="2">
        <f>D49+D50+D51</f>
        <v>11802</v>
      </c>
      <c r="E48" s="24">
        <v>11784</v>
      </c>
      <c r="F48" s="2">
        <f>F49+F50+F51</f>
        <v>12042</v>
      </c>
      <c r="G48" s="2">
        <f>F48</f>
        <v>12042</v>
      </c>
      <c r="H48" s="24">
        <v>12292</v>
      </c>
      <c r="I48" s="2">
        <f>I49+I50+I51</f>
        <v>12261</v>
      </c>
      <c r="J48" s="26">
        <f>I48</f>
        <v>12261</v>
      </c>
      <c r="K48" s="14"/>
    </row>
    <row r="49" ht="14.624267578125">
      <c r="A49" s="1"/>
      <c r="B49" s="82" t="s">
        <v>453</v>
      </c>
      <c r="C49" s="2" t="s">
        <v>101</v>
      </c>
      <c r="D49" s="24">
        <v>244</v>
      </c>
      <c r="E49" s="2" t="s">
        <v>101</v>
      </c>
      <c r="F49" s="24">
        <v>265</v>
      </c>
      <c r="G49" s="2">
        <f>F49</f>
        <v>265</v>
      </c>
      <c r="H49" s="2" t="s">
        <v>101</v>
      </c>
      <c r="I49" s="24">
        <v>266</v>
      </c>
      <c r="J49" s="26" t="s">
        <v>169</v>
      </c>
      <c r="K49" s="14"/>
    </row>
    <row r="50">
      <c r="A50" s="1"/>
      <c r="B50" s="48" t="s">
        <v>454</v>
      </c>
      <c r="C50" s="2" t="s">
        <v>101</v>
      </c>
      <c r="D50" s="24">
        <v>1364</v>
      </c>
      <c r="E50" s="2" t="s">
        <v>101</v>
      </c>
      <c r="F50" s="24">
        <v>1664</v>
      </c>
      <c r="G50" s="2">
        <f>F50</f>
        <v>1664</v>
      </c>
      <c r="H50" s="2" t="s">
        <v>101</v>
      </c>
      <c r="I50" s="24">
        <v>1681</v>
      </c>
      <c r="J50" s="26" t="s">
        <v>169</v>
      </c>
      <c r="K50" s="14" t="s">
        <v>455</v>
      </c>
    </row>
    <row r="51" ht="14.624267578125">
      <c r="A51" s="1"/>
      <c r="B51" s="82" t="s">
        <v>456</v>
      </c>
      <c r="C51" s="2" t="s">
        <v>101</v>
      </c>
      <c r="D51" s="24">
        <v>10194</v>
      </c>
      <c r="E51" s="2" t="s">
        <v>101</v>
      </c>
      <c r="F51" s="24">
        <v>10113</v>
      </c>
      <c r="G51" s="2">
        <f>F51</f>
        <v>10113</v>
      </c>
      <c r="H51" s="2" t="s">
        <v>101</v>
      </c>
      <c r="I51" s="24">
        <v>10314</v>
      </c>
      <c r="J51" s="26" t="s">
        <v>169</v>
      </c>
      <c r="K51" s="14"/>
    </row>
    <row r="52">
      <c r="A52" s="1"/>
      <c r="B52" s="20" t="s">
        <v>457</v>
      </c>
      <c r="C52" s="16">
        <f>C36+C37+C38+C39+C40+C41+C42+C43+C44+C45+C46+C47+C48</f>
        <v>1517949</v>
      </c>
      <c r="D52" s="16">
        <f>D36+D37+D38+D39+D40+D41+D42+D43+D44+D45+D46+D47+D48</f>
        <v>1522345</v>
      </c>
      <c r="E52" s="16">
        <f>E36+E37+E38+E39+E40+E41+E42+E43+E44+E45+E46+E47+E48</f>
        <v>1552310</v>
      </c>
      <c r="F52" s="16">
        <f>F36+F37+F38+F39+F40+F41+F42+F43+F44+F45+F46+F47+F48</f>
        <v>1465929</v>
      </c>
      <c r="G52" s="16">
        <f>G36+G37+G38+G39+G40+G41+G42+G43+G44+G45+G46+G47+G48</f>
        <v>1465929</v>
      </c>
      <c r="H52" s="16">
        <f>H36+H37+H38+H39+H40+H41+H42+H43+H44+H45+H46+H47+H48</f>
        <v>1617666</v>
      </c>
      <c r="I52" s="16">
        <f>I36+I37+I38+I39+I40+I41+I42+I43+I44+I45+I46+I47+I48</f>
        <v>1650547</v>
      </c>
      <c r="J52" s="65">
        <f>J36+J37+J38+J39+J40+J41+J42+J43+J44+J45+J46+J47+J48</f>
        <v>1654397</v>
      </c>
      <c r="K52" s="14"/>
    </row>
    <row r="53">
      <c r="A53" s="1"/>
      <c r="B53" s="37" t="s">
        <v>63</v>
      </c>
      <c r="C53" s="25" t="s">
        <v>64</v>
      </c>
      <c r="D53" s="25" t="s">
        <v>64</v>
      </c>
      <c r="E53" s="25" t="s">
        <v>64</v>
      </c>
      <c r="F53" s="25" t="s">
        <v>64</v>
      </c>
      <c r="G53" s="25" t="s">
        <v>64</v>
      </c>
      <c r="H53" s="25">
        <f>IFERROR(H52/C52-1,"n.a.")</f>
        <v>0.06569193036129661</v>
      </c>
      <c r="I53" s="25">
        <f>IFERROR(I52/D52-1,"n.a.")</f>
        <v>0.08421349956810054</v>
      </c>
      <c r="J53" s="51">
        <f>IFERROR(J52/E52-1,"n.a.")</f>
        <v>0.06576457022115423</v>
      </c>
      <c r="K53" s="14"/>
    </row>
    <row r="54">
      <c r="A54" s="1"/>
      <c r="B54" s="48" t="s">
        <v>78</v>
      </c>
      <c r="C54" s="2" t="s">
        <v>64</v>
      </c>
      <c r="D54" s="2">
        <f>IFERROR(D52-C52,"n.a.")</f>
        <v>4396</v>
      </c>
      <c r="E54" s="2">
        <f>IFERROR(E52-D52,"n.a.")</f>
        <v>29965</v>
      </c>
      <c r="F54" s="2">
        <f>IFERROR(F52-E52,"n.a.")</f>
        <v>-86381</v>
      </c>
      <c r="G54" s="2" t="s">
        <v>64</v>
      </c>
      <c r="H54" s="2">
        <f>IFERROR(H52-F52,"n.a.")</f>
        <v>151737</v>
      </c>
      <c r="I54" s="2">
        <f>IFERROR(I52-H52,"n.a.")</f>
        <v>32881</v>
      </c>
      <c r="J54" s="26">
        <f>IFERROR(J52-I52,"n.a.")</f>
        <v>3850</v>
      </c>
      <c r="K54" s="14"/>
    </row>
    <row r="55" ht="14.624267578125">
      <c r="A55" s="1"/>
      <c r="B55" s="63" t="s">
        <v>458</v>
      </c>
      <c r="C55" s="24">
        <v>1517949</v>
      </c>
      <c r="D55" s="24">
        <v>1522345</v>
      </c>
      <c r="E55" s="24">
        <v>1552310</v>
      </c>
      <c r="F55" s="24">
        <v>1465929</v>
      </c>
      <c r="G55" s="2">
        <f>F55</f>
        <v>1465929</v>
      </c>
      <c r="H55" s="24">
        <v>1617666</v>
      </c>
      <c r="I55" s="24">
        <v>1650547</v>
      </c>
      <c r="J55" s="26" t="s">
        <v>64</v>
      </c>
      <c r="K55" s="14"/>
    </row>
    <row r="56" ht="14.624267578125">
      <c r="A56" s="1"/>
      <c r="B56" s="63" t="s">
        <v>459</v>
      </c>
      <c r="C56" s="2">
        <f>C52-C55</f>
        <v>0</v>
      </c>
      <c r="D56" s="2">
        <f>D52-D55</f>
        <v>0</v>
      </c>
      <c r="E56" s="2">
        <f>E52-E55</f>
        <v>0</v>
      </c>
      <c r="F56" s="2">
        <f>F52-F55</f>
        <v>0</v>
      </c>
      <c r="G56" s="2">
        <f>G52-G55</f>
        <v>0</v>
      </c>
      <c r="H56" s="2">
        <f>H52-H55</f>
        <v>0</v>
      </c>
      <c r="I56" s="2">
        <f>I52-I55</f>
        <v>0</v>
      </c>
      <c r="J56" s="26" t="s">
        <v>64</v>
      </c>
      <c r="K56" s="14"/>
    </row>
    <row r="57">
      <c r="A57" s="1"/>
      <c r="B57" s="18"/>
      <c r="C57" s="19"/>
      <c r="D57" s="19"/>
      <c r="E57" s="19"/>
      <c r="F57" s="19"/>
      <c r="G57" s="19"/>
      <c r="H57" s="19"/>
      <c r="I57" s="19"/>
      <c r="J57" s="27"/>
      <c r="K57" s="14"/>
    </row>
    <row r="58">
      <c r="A58" s="1"/>
      <c r="B58" s="20" t="s">
        <v>460</v>
      </c>
      <c r="C58" s="32"/>
      <c r="D58" s="32"/>
      <c r="E58" s="32"/>
      <c r="F58" s="32"/>
      <c r="G58" s="32"/>
      <c r="H58" s="32"/>
      <c r="I58" s="32"/>
      <c r="J58" s="28"/>
      <c r="K58" s="14"/>
    </row>
    <row r="59" ht="14.624267578125">
      <c r="A59" s="1"/>
      <c r="B59" s="13" t="s">
        <v>461</v>
      </c>
      <c r="C59" s="24">
        <v>4218</v>
      </c>
      <c r="D59" s="24">
        <v>4201</v>
      </c>
      <c r="E59" s="24">
        <v>4168</v>
      </c>
      <c r="F59" s="24">
        <v>4178</v>
      </c>
      <c r="G59" s="2">
        <f>F59</f>
        <v>4178</v>
      </c>
      <c r="H59" s="24">
        <v>4218</v>
      </c>
      <c r="I59" s="24">
        <v>4186</v>
      </c>
      <c r="J59" s="26">
        <f>I59</f>
        <v>4186</v>
      </c>
      <c r="K59" s="14"/>
    </row>
    <row r="60">
      <c r="A60" s="1"/>
      <c r="B60" s="18" t="s">
        <v>462</v>
      </c>
      <c r="C60" s="24">
        <v>-22</v>
      </c>
      <c r="D60" s="24">
        <v>693</v>
      </c>
      <c r="E60" s="24">
        <v>610</v>
      </c>
      <c r="F60" s="24">
        <v>1628</v>
      </c>
      <c r="G60" s="2">
        <f>F60</f>
        <v>1628</v>
      </c>
      <c r="H60" s="24">
        <v>891</v>
      </c>
      <c r="I60" s="24">
        <v>1493</v>
      </c>
      <c r="J60" s="26">
        <f>I60</f>
        <v>1493</v>
      </c>
      <c r="K60" s="14" t="s">
        <v>463</v>
      </c>
    </row>
    <row r="61">
      <c r="A61" s="1"/>
      <c r="B61" s="18" t="s">
        <v>464</v>
      </c>
      <c r="C61" s="24">
        <v>57421</v>
      </c>
      <c r="D61" s="24">
        <v>57746</v>
      </c>
      <c r="E61" s="24">
        <v>58373</v>
      </c>
      <c r="F61" s="24">
        <v>59253</v>
      </c>
      <c r="G61" s="2">
        <f>F61</f>
        <v>59253</v>
      </c>
      <c r="H61" s="24">
        <v>58845</v>
      </c>
      <c r="I61" s="24">
        <v>60404</v>
      </c>
      <c r="J61" s="87">
        <f>I61+'Income Statement'!J47-'Share Count'!J45-'Share Count'!J42</f>
        <v>60563.12471059732</v>
      </c>
      <c r="K61" s="14" t="s">
        <v>465</v>
      </c>
    </row>
    <row r="62" ht="23.24853515625">
      <c r="A62" s="1"/>
      <c r="B62" s="46" t="s">
        <v>466</v>
      </c>
      <c r="C62" s="16">
        <f>C59+C60+C61</f>
        <v>61617</v>
      </c>
      <c r="D62" s="16">
        <f>D59+D60+D61</f>
        <v>62640</v>
      </c>
      <c r="E62" s="16">
        <f>E59+E60+E61</f>
        <v>63151</v>
      </c>
      <c r="F62" s="16">
        <f>F59+F60+F61</f>
        <v>65059</v>
      </c>
      <c r="G62" s="16">
        <f>G59+G60+G61</f>
        <v>65059</v>
      </c>
      <c r="H62" s="16">
        <f>H59+H60+H61</f>
        <v>63954</v>
      </c>
      <c r="I62" s="16">
        <f>I59+I60+I61</f>
        <v>66083</v>
      </c>
      <c r="J62" s="65">
        <f>J59+J60+J61</f>
        <v>66242.12471059733</v>
      </c>
      <c r="K62" s="14"/>
    </row>
    <row r="63">
      <c r="A63" s="1"/>
      <c r="B63" s="37" t="s">
        <v>63</v>
      </c>
      <c r="C63" s="25" t="s">
        <v>64</v>
      </c>
      <c r="D63" s="25" t="s">
        <v>64</v>
      </c>
      <c r="E63" s="25" t="s">
        <v>64</v>
      </c>
      <c r="F63" s="25" t="s">
        <v>64</v>
      </c>
      <c r="G63" s="25" t="s">
        <v>64</v>
      </c>
      <c r="H63" s="25">
        <f>IFERROR(H62/C62-1,"n.a.")</f>
        <v>0.037927844588344195</v>
      </c>
      <c r="I63" s="25">
        <f>IFERROR(I62/D62-1,"n.a.")</f>
        <v>0.05496487867177513</v>
      </c>
      <c r="J63" s="51">
        <f>IFERROR(J62/E62-1,"n.a.")</f>
        <v>0.04894815142432152</v>
      </c>
      <c r="K63" s="14"/>
    </row>
    <row r="64">
      <c r="A64" s="1"/>
      <c r="B64" s="48" t="s">
        <v>78</v>
      </c>
      <c r="C64" s="2" t="s">
        <v>64</v>
      </c>
      <c r="D64" s="2">
        <f>IFERROR(D62-C62,"n.a.")</f>
        <v>1023</v>
      </c>
      <c r="E64" s="2">
        <f>IFERROR(E62-D62,"n.a.")</f>
        <v>511</v>
      </c>
      <c r="F64" s="2">
        <f>IFERROR(F62-E62,"n.a.")</f>
        <v>1908</v>
      </c>
      <c r="G64" s="2" t="s">
        <v>64</v>
      </c>
      <c r="H64" s="2">
        <f>IFERROR(H62-F62,"n.a.")</f>
        <v>-1105</v>
      </c>
      <c r="I64" s="2">
        <f>IFERROR(I62-H62,"n.a.")</f>
        <v>2129</v>
      </c>
      <c r="J64" s="26">
        <f>IFERROR(J62-I62,"n.a.")</f>
        <v>159.1247105973307</v>
      </c>
      <c r="K64" s="14"/>
    </row>
    <row r="65">
      <c r="A65" s="1"/>
      <c r="B65" s="18" t="s">
        <v>467</v>
      </c>
      <c r="C65" s="24">
        <v>13263</v>
      </c>
      <c r="D65" s="24">
        <v>13266</v>
      </c>
      <c r="E65" s="24">
        <v>13243</v>
      </c>
      <c r="F65" s="24">
        <v>12725</v>
      </c>
      <c r="G65" s="2">
        <f>F65</f>
        <v>12725</v>
      </c>
      <c r="H65" s="24">
        <v>12714</v>
      </c>
      <c r="I65" s="24">
        <v>13275</v>
      </c>
      <c r="J65" s="26">
        <f>I65</f>
        <v>13275</v>
      </c>
      <c r="K65" s="14"/>
    </row>
    <row r="66" ht="23.24853515625">
      <c r="A66" s="1"/>
      <c r="B66" s="46" t="s">
        <v>468</v>
      </c>
      <c r="C66" s="16">
        <f>C62+C65</f>
        <v>74880</v>
      </c>
      <c r="D66" s="16">
        <f>D62+D65</f>
        <v>75906</v>
      </c>
      <c r="E66" s="16">
        <f>E62+E65</f>
        <v>76394</v>
      </c>
      <c r="F66" s="16">
        <f>F62+F65</f>
        <v>77784</v>
      </c>
      <c r="G66" s="16">
        <f>G62+G65</f>
        <v>77784</v>
      </c>
      <c r="H66" s="16">
        <f>H62+H65</f>
        <v>76668</v>
      </c>
      <c r="I66" s="16">
        <f>I62+I65</f>
        <v>79358</v>
      </c>
      <c r="J66" s="65">
        <f>J62+J65</f>
        <v>79517.12471059733</v>
      </c>
      <c r="K66" s="14"/>
    </row>
    <row r="67">
      <c r="A67" s="1"/>
      <c r="B67" s="18" t="s">
        <v>371</v>
      </c>
      <c r="C67" s="24">
        <v>660</v>
      </c>
      <c r="D67" s="24">
        <v>449</v>
      </c>
      <c r="E67" s="24">
        <v>449</v>
      </c>
      <c r="F67" s="24">
        <v>452</v>
      </c>
      <c r="G67" s="2">
        <f>F67</f>
        <v>452</v>
      </c>
      <c r="H67" s="24">
        <v>452</v>
      </c>
      <c r="I67" s="24">
        <v>453</v>
      </c>
      <c r="J67" s="26">
        <f>I67</f>
        <v>453</v>
      </c>
      <c r="K67" s="14"/>
    </row>
    <row r="68">
      <c r="A68" s="1"/>
      <c r="B68" s="20" t="s">
        <v>469</v>
      </c>
      <c r="C68" s="16">
        <f>C66+C67</f>
        <v>75540</v>
      </c>
      <c r="D68" s="16">
        <f>D66+D67</f>
        <v>76355</v>
      </c>
      <c r="E68" s="16">
        <f>E66+E67</f>
        <v>76843</v>
      </c>
      <c r="F68" s="16">
        <f>F66+F67</f>
        <v>78236</v>
      </c>
      <c r="G68" s="16">
        <f>G66+G67</f>
        <v>78236</v>
      </c>
      <c r="H68" s="16">
        <f>H66+H67</f>
        <v>77120</v>
      </c>
      <c r="I68" s="16">
        <f>I66+I67</f>
        <v>79811</v>
      </c>
      <c r="J68" s="65">
        <f>J66+J67</f>
        <v>79970.12471059733</v>
      </c>
      <c r="K68" s="14"/>
    </row>
    <row r="69">
      <c r="A69" s="1"/>
      <c r="B69" s="37" t="s">
        <v>63</v>
      </c>
      <c r="C69" s="25" t="s">
        <v>64</v>
      </c>
      <c r="D69" s="25" t="s">
        <v>64</v>
      </c>
      <c r="E69" s="25" t="s">
        <v>64</v>
      </c>
      <c r="F69" s="25" t="s">
        <v>64</v>
      </c>
      <c r="G69" s="25" t="s">
        <v>64</v>
      </c>
      <c r="H69" s="25">
        <f>IFERROR(H68/C68-1,"n.a.")</f>
        <v>0.02091607095578496</v>
      </c>
      <c r="I69" s="25">
        <f>IFERROR(I68/D68-1,"n.a.")</f>
        <v>0.04526226180341819</v>
      </c>
      <c r="J69" s="51">
        <f>IFERROR(J68/E68-1,"n.a.")</f>
        <v>0.04069498471685562</v>
      </c>
      <c r="K69" s="14"/>
    </row>
    <row r="70">
      <c r="A70" s="1"/>
      <c r="B70" s="48" t="s">
        <v>78</v>
      </c>
      <c r="C70" s="2" t="s">
        <v>64</v>
      </c>
      <c r="D70" s="2">
        <f>IFERROR(D68-C68,"n.a.")</f>
        <v>815</v>
      </c>
      <c r="E70" s="2">
        <f>IFERROR(E68-D68,"n.a.")</f>
        <v>488</v>
      </c>
      <c r="F70" s="2">
        <f>IFERROR(F68-E68,"n.a.")</f>
        <v>1393</v>
      </c>
      <c r="G70" s="2" t="s">
        <v>64</v>
      </c>
      <c r="H70" s="2">
        <f>IFERROR(H68-F68,"n.a.")</f>
        <v>-1116</v>
      </c>
      <c r="I70" s="2">
        <f>IFERROR(I68-H68,"n.a.")</f>
        <v>2691</v>
      </c>
      <c r="J70" s="26">
        <f>IFERROR(J68-I68,"n.a.")</f>
        <v>159.1247105973307</v>
      </c>
      <c r="K70" s="14"/>
    </row>
    <row r="71">
      <c r="A71" s="1"/>
      <c r="B71" s="20" t="s">
        <v>470</v>
      </c>
      <c r="C71" s="16">
        <f>C52+C68</f>
        <v>1593489</v>
      </c>
      <c r="D71" s="16">
        <f>D52+D68</f>
        <v>1598700</v>
      </c>
      <c r="E71" s="16">
        <f>E52+E68</f>
        <v>1629153</v>
      </c>
      <c r="F71" s="16">
        <f>F52+F68</f>
        <v>1544165</v>
      </c>
      <c r="G71" s="16">
        <f>G52+G68</f>
        <v>1544165</v>
      </c>
      <c r="H71" s="16">
        <f>H52+H68</f>
        <v>1694786</v>
      </c>
      <c r="I71" s="16">
        <f>I52+I68</f>
        <v>1730358</v>
      </c>
      <c r="J71" s="65">
        <f>J52+J68</f>
        <v>1734367.1247105973</v>
      </c>
      <c r="K71" s="14"/>
    </row>
    <row r="72">
      <c r="A72" s="1"/>
      <c r="B72" s="18"/>
      <c r="C72" s="19"/>
      <c r="D72" s="19"/>
      <c r="E72" s="19"/>
      <c r="F72" s="19"/>
      <c r="G72" s="19"/>
      <c r="H72" s="19"/>
      <c r="I72" s="19"/>
      <c r="J72" s="27"/>
      <c r="K72" s="14"/>
    </row>
    <row r="73" ht="23.24853515625">
      <c r="A73" s="1"/>
      <c r="B73" s="46" t="s">
        <v>471</v>
      </c>
      <c r="C73" s="38">
        <f>C29-C52-C68</f>
        <v>0</v>
      </c>
      <c r="D73" s="38">
        <f>D29-D52-D68</f>
        <v>0</v>
      </c>
      <c r="E73" s="38">
        <f>E29-E52-E68</f>
        <v>0</v>
      </c>
      <c r="F73" s="38">
        <f>F29-F52-F68</f>
        <v>0</v>
      </c>
      <c r="G73" s="38">
        <f>G29-G52-G68</f>
        <v>0</v>
      </c>
      <c r="H73" s="38">
        <f>H29-H52-H68</f>
        <v>0</v>
      </c>
      <c r="I73" s="38">
        <f>I29-I52-I68</f>
        <v>0</v>
      </c>
      <c r="J73" s="23">
        <f>J29-J52-J68</f>
        <v>0</v>
      </c>
      <c r="K73" s="14" t="s">
        <v>472</v>
      </c>
    </row>
    <row r="74">
      <c r="A74" s="1"/>
      <c r="B74" s="74" t="s">
        <v>473</v>
      </c>
      <c r="C74" s="70"/>
      <c r="D74" s="70"/>
      <c r="E74" s="70"/>
      <c r="F74" s="70"/>
      <c r="G74" s="70"/>
      <c r="H74" s="70"/>
      <c r="I74" s="70"/>
      <c r="J74" s="99"/>
      <c r="K74" s="14"/>
    </row>
    <row r="75">
      <c r="A75" s="1"/>
      <c r="B75" s="18"/>
      <c r="C75" s="19"/>
      <c r="D75" s="19"/>
      <c r="E75" s="19"/>
      <c r="F75" s="19"/>
      <c r="G75" s="19"/>
      <c r="H75" s="19"/>
      <c r="I75" s="19"/>
      <c r="J75" s="27"/>
      <c r="K75" s="14"/>
    </row>
    <row r="76">
      <c r="A76" s="1"/>
      <c r="B76" s="20" t="s">
        <v>474</v>
      </c>
      <c r="C76" s="32"/>
      <c r="D76" s="32"/>
      <c r="E76" s="32"/>
      <c r="F76" s="32"/>
      <c r="G76" s="32"/>
      <c r="H76" s="32"/>
      <c r="I76" s="32"/>
      <c r="J76" s="28"/>
      <c r="K76" s="14"/>
    </row>
    <row r="77" ht="14.624267578125">
      <c r="A77" s="1"/>
      <c r="B77" s="13" t="s">
        <v>475</v>
      </c>
      <c r="C77" s="10">
        <f>C14/C37</f>
        <v>0.6089972305146927</v>
      </c>
      <c r="D77" s="10">
        <f>D14/D37</f>
        <v>0.6220452798764461</v>
      </c>
      <c r="E77" s="10">
        <f>E14/E37</f>
        <v>0.6245990056964182</v>
      </c>
      <c r="F77" s="10">
        <f>F14/F37</f>
        <v>0.6243542108987968</v>
      </c>
      <c r="G77" s="10">
        <f>G14/G37</f>
        <v>0.6243542108987968</v>
      </c>
      <c r="H77" s="10">
        <f>H14/H37</f>
        <v>0.6309815005591216</v>
      </c>
      <c r="I77" s="10">
        <f>I14/I37</f>
        <v>0.6255231218099144</v>
      </c>
      <c r="J77" s="81">
        <f>J14/J37</f>
        <v>0.6273465032873008</v>
      </c>
      <c r="K77" s="14"/>
    </row>
    <row r="78">
      <c r="A78" s="1"/>
      <c r="B78" s="48" t="s">
        <v>94</v>
      </c>
      <c r="C78" s="71" t="s">
        <v>64</v>
      </c>
      <c r="D78" s="71" t="s">
        <v>64</v>
      </c>
      <c r="E78" s="71" t="s">
        <v>64</v>
      </c>
      <c r="F78" s="71" t="s">
        <v>64</v>
      </c>
      <c r="G78" s="71" t="s">
        <v>64</v>
      </c>
      <c r="H78" s="71">
        <f>IFERROR((H77-C77)*10000,"n.a.")</f>
        <v>219.84270044428933</v>
      </c>
      <c r="I78" s="71">
        <f>IFERROR((I77-D77)*10000,"n.a.")</f>
        <v>34.7784193346834</v>
      </c>
      <c r="J78" s="72">
        <f>IFERROR((J77-E77)*10000,"n.a.")</f>
        <v>27.474975908825527</v>
      </c>
      <c r="K78" s="14"/>
    </row>
    <row r="79">
      <c r="A79" s="1"/>
      <c r="B79" s="48" t="s">
        <v>95</v>
      </c>
      <c r="C79" s="71" t="s">
        <v>64</v>
      </c>
      <c r="D79" s="71">
        <f>IFERROR((D77-C77)*10000,"n.a.")</f>
        <v>130.4804936175341</v>
      </c>
      <c r="E79" s="71">
        <f>IFERROR((E77-D77)*10000,"n.a.")</f>
        <v>25.537258199721524</v>
      </c>
      <c r="F79" s="71">
        <f>IFERROR((F77-E77)*10000,"n.a.")</f>
        <v>-2.44794797621406</v>
      </c>
      <c r="G79" s="71" t="s">
        <v>64</v>
      </c>
      <c r="H79" s="71">
        <f>IFERROR((H77-F77)*10000,"n.a.")</f>
        <v>66.27289660324776</v>
      </c>
      <c r="I79" s="71">
        <f>IFERROR((I77-H77)*10000,"n.a.")</f>
        <v>-54.58378749207182</v>
      </c>
      <c r="J79" s="72">
        <f>IFERROR((J77-I77)*10000,"n.a.")</f>
        <v>18.233814773863656</v>
      </c>
      <c r="K79" s="14"/>
    </row>
    <row r="80" ht="23.24853515625">
      <c r="A80" s="1"/>
      <c r="B80" s="13" t="s">
        <v>476</v>
      </c>
      <c r="C80" s="2">
        <f>C62-C21</f>
        <v>53367</v>
      </c>
      <c r="D80" s="2">
        <f>D62-D21</f>
        <v>54454</v>
      </c>
      <c r="E80" s="2">
        <f>E62-E21</f>
        <v>54896</v>
      </c>
      <c r="F80" s="2">
        <f>F62-F21</f>
        <v>56775</v>
      </c>
      <c r="G80" s="2">
        <f>G62-G21</f>
        <v>56775</v>
      </c>
      <c r="H80" s="2">
        <f>H62-H21</f>
        <v>55597</v>
      </c>
      <c r="I80" s="2">
        <f>I62-I21</f>
        <v>57171</v>
      </c>
      <c r="J80" s="26">
        <f>J62-J21</f>
        <v>57330.12471059733</v>
      </c>
      <c r="K80" s="14"/>
    </row>
    <row r="81">
      <c r="A81" s="1"/>
      <c r="B81" s="37" t="s">
        <v>63</v>
      </c>
      <c r="C81" s="25" t="s">
        <v>64</v>
      </c>
      <c r="D81" s="25" t="s">
        <v>64</v>
      </c>
      <c r="E81" s="25" t="s">
        <v>64</v>
      </c>
      <c r="F81" s="25" t="s">
        <v>64</v>
      </c>
      <c r="G81" s="25" t="s">
        <v>64</v>
      </c>
      <c r="H81" s="25">
        <f>IFERROR(H80/C80-1,"n.a.")</f>
        <v>0.04178612251016545</v>
      </c>
      <c r="I81" s="25">
        <f>IFERROR(I80/D80-1,"n.a.")</f>
        <v>0.049895324494068305</v>
      </c>
      <c r="J81" s="51">
        <f>IFERROR(J80/E80-1,"n.a.")</f>
        <v>0.04434065707150481</v>
      </c>
      <c r="K81" s="14"/>
    </row>
    <row r="82">
      <c r="A82" s="1"/>
      <c r="B82" s="48" t="s">
        <v>78</v>
      </c>
      <c r="C82" s="2" t="s">
        <v>64</v>
      </c>
      <c r="D82" s="2">
        <f>IFERROR(D80-C80,"n.a.")</f>
        <v>1087</v>
      </c>
      <c r="E82" s="2">
        <f>IFERROR(E80-D80,"n.a.")</f>
        <v>442</v>
      </c>
      <c r="F82" s="2">
        <f>IFERROR(F80-E80,"n.a.")</f>
        <v>1879</v>
      </c>
      <c r="G82" s="2" t="s">
        <v>64</v>
      </c>
      <c r="H82" s="2">
        <f>IFERROR(H80-F80,"n.a.")</f>
        <v>-1178</v>
      </c>
      <c r="I82" s="2">
        <f>IFERROR(I80-H80,"n.a.")</f>
        <v>1574</v>
      </c>
      <c r="J82" s="26">
        <f>IFERROR(J80-I80,"n.a.")</f>
        <v>159.1247105973307</v>
      </c>
      <c r="K82" s="14"/>
    </row>
    <row r="83">
      <c r="A83" s="1"/>
      <c r="B83" s="18" t="s">
        <v>477</v>
      </c>
      <c r="C83" s="44">
        <f>C80/'Share Count'!C10</f>
        <v>3.7225864955357144</v>
      </c>
      <c r="D83" s="44">
        <f>D80/'Share Count'!D10</f>
        <v>3.840197461212976</v>
      </c>
      <c r="E83" s="44">
        <f>E80/'Share Count'!E10</f>
        <v>3.9222635038582454</v>
      </c>
      <c r="F83" s="44">
        <f>F80/'Share Count'!F10</f>
        <v>4.094252542006202</v>
      </c>
      <c r="G83" s="44">
        <f>G80/'Share Count'!G10</f>
        <v>4.094252542006202</v>
      </c>
      <c r="H83" s="44">
        <f>H80/'Share Count'!H10</f>
        <v>4.0472446676858125</v>
      </c>
      <c r="I83" s="44">
        <f>I80/'Share Count'!I10</f>
        <v>4.2326941585844375</v>
      </c>
      <c r="J83" s="101">
        <f>J80/'Share Count'!J10</f>
        <v>4.288190546187588</v>
      </c>
      <c r="K83" s="14" t="s">
        <v>478</v>
      </c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A1:K51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  <col min="11" max="11" width="9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35" t="s">
        <v>49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9" t="s">
        <v>479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3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6" t="s">
        <v>51</v>
      </c>
      <c r="C5" s="21" t="s">
        <v>52</v>
      </c>
      <c r="D5" s="21" t="s">
        <v>480</v>
      </c>
      <c r="E5" s="21" t="s">
        <v>54</v>
      </c>
      <c r="F5" s="21" t="s">
        <v>481</v>
      </c>
      <c r="G5" s="21" t="s">
        <v>56</v>
      </c>
      <c r="H5" s="21" t="s">
        <v>57</v>
      </c>
      <c r="I5" s="21" t="s">
        <v>482</v>
      </c>
      <c r="J5" s="40" t="s">
        <v>4</v>
      </c>
      <c r="K5" s="6" t="s">
        <v>59</v>
      </c>
    </row>
    <row r="6">
      <c r="A6" s="1"/>
      <c r="B6" s="7" t="s">
        <v>5</v>
      </c>
      <c r="C6" s="29">
        <v>45747</v>
      </c>
      <c r="D6" s="29">
        <v>45838</v>
      </c>
      <c r="E6" s="29">
        <v>45930</v>
      </c>
      <c r="F6" s="29">
        <v>46022</v>
      </c>
      <c r="G6" s="29">
        <v>46022</v>
      </c>
      <c r="H6" s="29">
        <v>46112</v>
      </c>
      <c r="I6" s="29">
        <v>46203</v>
      </c>
      <c r="J6" s="50">
        <v>46295</v>
      </c>
      <c r="K6" s="7"/>
    </row>
    <row r="7">
      <c r="A7" s="1"/>
      <c r="B7" s="12" t="s">
        <v>6</v>
      </c>
      <c r="C7" s="34">
        <f>C6-EOMONTH(C6,-3)</f>
        <v>90</v>
      </c>
      <c r="D7" s="34">
        <f>D6-EOMONTH(D6,-6)</f>
        <v>181</v>
      </c>
      <c r="E7" s="34">
        <f>E6-EOMONTH(E6,-3)</f>
        <v>92</v>
      </c>
      <c r="F7" s="34">
        <f>F6-EOMONTH(F6,-6)</f>
        <v>184</v>
      </c>
      <c r="G7" s="34">
        <f>G6-EOMONTH(G6,-12)</f>
        <v>365</v>
      </c>
      <c r="H7" s="34">
        <f>H6-EOMONTH(H6,-3)</f>
        <v>90</v>
      </c>
      <c r="I7" s="34">
        <f>I6-EOMONTH(I6,-6)</f>
        <v>181</v>
      </c>
      <c r="J7" s="43">
        <f>J6-EOMONTH(J6,-3)</f>
        <v>92</v>
      </c>
      <c r="K7" s="12"/>
    </row>
    <row r="8">
      <c r="A8" s="1"/>
      <c r="B8" s="1"/>
      <c r="C8" s="1"/>
      <c r="D8" s="1"/>
      <c r="E8" s="1"/>
      <c r="F8" s="1"/>
      <c r="G8" s="1"/>
      <c r="H8" s="1"/>
      <c r="I8" s="1"/>
      <c r="J8" s="54"/>
      <c r="K8" s="1"/>
    </row>
    <row r="9">
      <c r="A9" s="1"/>
      <c r="B9" s="20" t="s">
        <v>483</v>
      </c>
      <c r="C9" s="68" t="s">
        <v>484</v>
      </c>
      <c r="D9" s="68" t="s">
        <v>485</v>
      </c>
      <c r="E9" s="68" t="s">
        <v>484</v>
      </c>
      <c r="F9" s="68" t="s">
        <v>486</v>
      </c>
      <c r="G9" s="68" t="s">
        <v>487</v>
      </c>
      <c r="H9" s="68" t="s">
        <v>484</v>
      </c>
      <c r="I9" s="68" t="s">
        <v>488</v>
      </c>
      <c r="J9" s="69" t="s">
        <v>489</v>
      </c>
      <c r="K9" s="14" t="s">
        <v>490</v>
      </c>
    </row>
    <row r="10">
      <c r="A10" s="1"/>
      <c r="B10" s="20" t="s">
        <v>491</v>
      </c>
      <c r="C10" s="32"/>
      <c r="D10" s="32"/>
      <c r="E10" s="32"/>
      <c r="F10" s="32"/>
      <c r="G10" s="32"/>
      <c r="H10" s="32"/>
      <c r="I10" s="32"/>
      <c r="J10" s="28"/>
      <c r="K10" s="14"/>
    </row>
    <row r="11">
      <c r="A11" s="1"/>
      <c r="B11" s="79" t="s">
        <v>165</v>
      </c>
      <c r="C11" s="2" t="s">
        <v>492</v>
      </c>
      <c r="D11" s="24">
        <v>5203</v>
      </c>
      <c r="E11" s="2" t="s">
        <v>492</v>
      </c>
      <c r="F11" s="2">
        <f>G11-D11</f>
        <v>3936</v>
      </c>
      <c r="G11" s="24">
        <v>9139</v>
      </c>
      <c r="H11" s="2" t="s">
        <v>492</v>
      </c>
      <c r="I11" s="24">
        <v>6066</v>
      </c>
      <c r="J11" s="26" t="s">
        <v>169</v>
      </c>
      <c r="K11" s="14"/>
    </row>
    <row r="12" ht="14.624267578125">
      <c r="A12" s="1"/>
      <c r="B12" s="63" t="s">
        <v>493</v>
      </c>
      <c r="C12" s="2" t="s">
        <v>492</v>
      </c>
      <c r="D12" s="24">
        <v>9466</v>
      </c>
      <c r="E12" s="2" t="s">
        <v>492</v>
      </c>
      <c r="F12" s="2">
        <f>G12-D12</f>
        <v>1588</v>
      </c>
      <c r="G12" s="24">
        <v>11054</v>
      </c>
      <c r="H12" s="2" t="s">
        <v>492</v>
      </c>
      <c r="I12" s="24">
        <v>3108</v>
      </c>
      <c r="J12" s="26" t="s">
        <v>169</v>
      </c>
      <c r="K12" s="14"/>
    </row>
    <row r="13" ht="23.24853515625">
      <c r="A13" s="1"/>
      <c r="B13" s="63" t="s">
        <v>494</v>
      </c>
      <c r="C13" s="2" t="s">
        <v>492</v>
      </c>
      <c r="D13" s="24">
        <v>-1950</v>
      </c>
      <c r="E13" s="2" t="s">
        <v>492</v>
      </c>
      <c r="F13" s="2">
        <f>G13-D13</f>
        <v>-15453</v>
      </c>
      <c r="G13" s="24">
        <v>-17403</v>
      </c>
      <c r="H13" s="2" t="s">
        <v>492</v>
      </c>
      <c r="I13" s="24">
        <v>-7580</v>
      </c>
      <c r="J13" s="26" t="s">
        <v>169</v>
      </c>
      <c r="K13" s="14"/>
    </row>
    <row r="14" ht="14.624267578125">
      <c r="A14" s="1"/>
      <c r="B14" s="63" t="s">
        <v>495</v>
      </c>
      <c r="C14" s="2" t="s">
        <v>492</v>
      </c>
      <c r="D14" s="24">
        <v>3872</v>
      </c>
      <c r="E14" s="2" t="s">
        <v>492</v>
      </c>
      <c r="F14" s="2">
        <f>G14-D14</f>
        <v>21078</v>
      </c>
      <c r="G14" s="24">
        <v>24950</v>
      </c>
      <c r="H14" s="2" t="s">
        <v>492</v>
      </c>
      <c r="I14" s="24">
        <v>8744</v>
      </c>
      <c r="J14" s="26" t="s">
        <v>169</v>
      </c>
      <c r="K14" s="14"/>
    </row>
    <row r="15" ht="23.24853515625">
      <c r="A15" s="1"/>
      <c r="B15" s="63" t="s">
        <v>496</v>
      </c>
      <c r="C15" s="2" t="s">
        <v>492</v>
      </c>
      <c r="D15" s="24">
        <v>8195</v>
      </c>
      <c r="E15" s="2" t="s">
        <v>492</v>
      </c>
      <c r="F15" s="2">
        <f>G15-D15</f>
        <v>12730</v>
      </c>
      <c r="G15" s="24">
        <v>20925</v>
      </c>
      <c r="H15" s="2" t="s">
        <v>492</v>
      </c>
      <c r="I15" s="24">
        <v>3670</v>
      </c>
      <c r="J15" s="26" t="s">
        <v>169</v>
      </c>
      <c r="K15" s="14"/>
    </row>
    <row r="16" ht="14.624267578125">
      <c r="A16" s="1"/>
      <c r="B16" s="63" t="s">
        <v>497</v>
      </c>
      <c r="C16" s="2" t="s">
        <v>492</v>
      </c>
      <c r="D16" s="24">
        <v>-3772</v>
      </c>
      <c r="E16" s="2" t="s">
        <v>492</v>
      </c>
      <c r="F16" s="2">
        <f>G16-D16</f>
        <v>-24761</v>
      </c>
      <c r="G16" s="24">
        <v>-28533</v>
      </c>
      <c r="H16" s="2" t="s">
        <v>492</v>
      </c>
      <c r="I16" s="24">
        <v>17221</v>
      </c>
      <c r="J16" s="26" t="s">
        <v>169</v>
      </c>
      <c r="K16" s="14"/>
    </row>
    <row r="17">
      <c r="A17" s="1"/>
      <c r="B17" s="79" t="s">
        <v>498</v>
      </c>
      <c r="C17" s="2" t="s">
        <v>492</v>
      </c>
      <c r="D17" s="24">
        <v>-712</v>
      </c>
      <c r="E17" s="2" t="s">
        <v>492</v>
      </c>
      <c r="F17" s="2">
        <f>G17-D17</f>
        <v>-681</v>
      </c>
      <c r="G17" s="24">
        <v>-1393</v>
      </c>
      <c r="H17" s="2" t="s">
        <v>492</v>
      </c>
      <c r="I17" s="24">
        <v>-793</v>
      </c>
      <c r="J17" s="26" t="s">
        <v>169</v>
      </c>
      <c r="K17" s="14"/>
    </row>
    <row r="18">
      <c r="A18" s="1"/>
      <c r="B18" s="20" t="s">
        <v>499</v>
      </c>
      <c r="C18" s="16" t="s">
        <v>492</v>
      </c>
      <c r="D18" s="16">
        <f>SUM(D11:D17)</f>
        <v>20302</v>
      </c>
      <c r="E18" s="16" t="s">
        <v>492</v>
      </c>
      <c r="F18" s="16">
        <f>SUM(F11:F17)</f>
        <v>-1563</v>
      </c>
      <c r="G18" s="16">
        <f>SUM(G11:G17)</f>
        <v>18739</v>
      </c>
      <c r="H18" s="16" t="s">
        <v>492</v>
      </c>
      <c r="I18" s="16">
        <f>SUM(I11:I17)</f>
        <v>30436</v>
      </c>
      <c r="J18" s="65" t="s">
        <v>169</v>
      </c>
      <c r="K18" s="14" t="s">
        <v>500</v>
      </c>
    </row>
    <row r="19" ht="23.24853515625">
      <c r="A19" s="1"/>
      <c r="B19" s="63" t="s">
        <v>501</v>
      </c>
      <c r="C19" s="2" t="s">
        <v>492</v>
      </c>
      <c r="D19" s="24">
        <v>20302</v>
      </c>
      <c r="E19" s="2" t="s">
        <v>492</v>
      </c>
      <c r="F19" s="2">
        <f>G19-D19</f>
        <v>-1563</v>
      </c>
      <c r="G19" s="24">
        <v>18739</v>
      </c>
      <c r="H19" s="2" t="s">
        <v>492</v>
      </c>
      <c r="I19" s="24">
        <v>30436</v>
      </c>
      <c r="J19" s="26" t="s">
        <v>169</v>
      </c>
      <c r="K19" s="14" t="s">
        <v>502</v>
      </c>
    </row>
    <row r="20" ht="23.24853515625">
      <c r="A20" s="1"/>
      <c r="B20" s="63" t="s">
        <v>503</v>
      </c>
      <c r="C20" s="2" t="s">
        <v>64</v>
      </c>
      <c r="D20" s="2">
        <f>D18-D19</f>
        <v>0</v>
      </c>
      <c r="E20" s="2" t="s">
        <v>64</v>
      </c>
      <c r="F20" s="2">
        <f>F18-F19</f>
        <v>0</v>
      </c>
      <c r="G20" s="2">
        <f>G18-G19</f>
        <v>0</v>
      </c>
      <c r="H20" s="2" t="s">
        <v>64</v>
      </c>
      <c r="I20" s="2">
        <f>I18-I19</f>
        <v>0</v>
      </c>
      <c r="J20" s="26" t="s">
        <v>64</v>
      </c>
      <c r="K20" s="14"/>
    </row>
    <row r="21">
      <c r="A21" s="1"/>
      <c r="B21" s="20" t="s">
        <v>504</v>
      </c>
      <c r="C21" s="32"/>
      <c r="D21" s="32"/>
      <c r="E21" s="32"/>
      <c r="F21" s="32"/>
      <c r="G21" s="32"/>
      <c r="H21" s="32"/>
      <c r="I21" s="32"/>
      <c r="J21" s="28"/>
      <c r="K21" s="14"/>
    </row>
    <row r="22">
      <c r="A22" s="1"/>
      <c r="B22" s="18" t="s">
        <v>505</v>
      </c>
      <c r="C22" s="2" t="s">
        <v>492</v>
      </c>
      <c r="D22" s="24">
        <v>-4184</v>
      </c>
      <c r="E22" s="2" t="s">
        <v>492</v>
      </c>
      <c r="F22" s="2">
        <f>G22-D22</f>
        <v>5779</v>
      </c>
      <c r="G22" s="24">
        <v>1595</v>
      </c>
      <c r="H22" s="2" t="s">
        <v>492</v>
      </c>
      <c r="I22" s="24">
        <v>-10989</v>
      </c>
      <c r="J22" s="26" t="s">
        <v>169</v>
      </c>
      <c r="K22" s="14" t="s">
        <v>506</v>
      </c>
    </row>
    <row r="23" ht="23.24853515625">
      <c r="A23" s="1"/>
      <c r="B23" s="82" t="s">
        <v>507</v>
      </c>
      <c r="C23" s="2" t="s">
        <v>492</v>
      </c>
      <c r="D23" s="2" t="s">
        <v>101</v>
      </c>
      <c r="E23" s="2" t="s">
        <v>492</v>
      </c>
      <c r="F23" s="2" t="s">
        <v>101</v>
      </c>
      <c r="G23" s="24">
        <v>-1859</v>
      </c>
      <c r="H23" s="2" t="s">
        <v>492</v>
      </c>
      <c r="I23" s="2" t="s">
        <v>101</v>
      </c>
      <c r="J23" s="26" t="s">
        <v>169</v>
      </c>
      <c r="K23" s="14" t="s">
        <v>508</v>
      </c>
    </row>
    <row r="24" ht="23.24853515625">
      <c r="A24" s="1"/>
      <c r="B24" s="18" t="s">
        <v>509</v>
      </c>
      <c r="C24" s="2" t="s">
        <v>492</v>
      </c>
      <c r="D24" s="24">
        <v>3720</v>
      </c>
      <c r="E24" s="2" t="s">
        <v>492</v>
      </c>
      <c r="F24" s="2">
        <f>G24-D24</f>
        <v>-1464</v>
      </c>
      <c r="G24" s="24">
        <v>2256</v>
      </c>
      <c r="H24" s="2" t="s">
        <v>492</v>
      </c>
      <c r="I24" s="24">
        <v>-1130</v>
      </c>
      <c r="J24" s="26" t="s">
        <v>169</v>
      </c>
      <c r="K24" s="14"/>
    </row>
    <row r="25" ht="23.24853515625">
      <c r="A25" s="1"/>
      <c r="B25" s="13" t="s">
        <v>510</v>
      </c>
      <c r="C25" s="2" t="s">
        <v>492</v>
      </c>
      <c r="D25" s="24">
        <v>-2632</v>
      </c>
      <c r="E25" s="2" t="s">
        <v>492</v>
      </c>
      <c r="F25" s="2">
        <f>G25-D25</f>
        <v>894</v>
      </c>
      <c r="G25" s="24">
        <v>-1738</v>
      </c>
      <c r="H25" s="2" t="s">
        <v>492</v>
      </c>
      <c r="I25" s="24">
        <v>334</v>
      </c>
      <c r="J25" s="26" t="s">
        <v>169</v>
      </c>
      <c r="K25" s="14"/>
    </row>
    <row r="26" ht="14.624267578125">
      <c r="A26" s="1"/>
      <c r="B26" s="46" t="s">
        <v>511</v>
      </c>
      <c r="C26" s="16" t="s">
        <v>492</v>
      </c>
      <c r="D26" s="16">
        <f>D18+D22+D24+D25</f>
        <v>17206</v>
      </c>
      <c r="E26" s="16" t="s">
        <v>492</v>
      </c>
      <c r="F26" s="16">
        <f>F18+F22+F24+F25</f>
        <v>3646</v>
      </c>
      <c r="G26" s="16">
        <f>G18+G22+G24+G25</f>
        <v>20852</v>
      </c>
      <c r="H26" s="16" t="s">
        <v>492</v>
      </c>
      <c r="I26" s="16">
        <f>I18+I22+I24+I25</f>
        <v>18651</v>
      </c>
      <c r="J26" s="65" t="s">
        <v>169</v>
      </c>
      <c r="K26" s="14"/>
    </row>
    <row r="27" ht="14.624267578125">
      <c r="A27" s="1"/>
      <c r="B27" s="13" t="s">
        <v>512</v>
      </c>
      <c r="C27" s="2" t="s">
        <v>492</v>
      </c>
      <c r="D27" s="24">
        <v>235611</v>
      </c>
      <c r="E27" s="2" t="s">
        <v>492</v>
      </c>
      <c r="F27" s="2">
        <f>D28</f>
        <v>252817</v>
      </c>
      <c r="G27" s="24">
        <v>235611</v>
      </c>
      <c r="H27" s="2" t="s">
        <v>492</v>
      </c>
      <c r="I27" s="2">
        <f>G28</f>
        <v>256463</v>
      </c>
      <c r="J27" s="26" t="s">
        <v>169</v>
      </c>
      <c r="K27" s="14" t="s">
        <v>513</v>
      </c>
    </row>
    <row r="28" ht="14.624267578125">
      <c r="A28" s="1"/>
      <c r="B28" s="46" t="s">
        <v>514</v>
      </c>
      <c r="C28" s="16" t="s">
        <v>492</v>
      </c>
      <c r="D28" s="16">
        <f>D27+D26</f>
        <v>252817</v>
      </c>
      <c r="E28" s="16" t="s">
        <v>492</v>
      </c>
      <c r="F28" s="16">
        <f>F27+F26</f>
        <v>256463</v>
      </c>
      <c r="G28" s="16">
        <f>G27+G26</f>
        <v>256463</v>
      </c>
      <c r="H28" s="16" t="s">
        <v>492</v>
      </c>
      <c r="I28" s="16">
        <f>I27+I26</f>
        <v>275114</v>
      </c>
      <c r="J28" s="65" t="s">
        <v>169</v>
      </c>
      <c r="K28" s="14"/>
    </row>
    <row r="29" ht="23.24853515625">
      <c r="A29" s="1"/>
      <c r="B29" s="63" t="s">
        <v>515</v>
      </c>
      <c r="C29" s="2" t="s">
        <v>492</v>
      </c>
      <c r="D29" s="24">
        <v>252817</v>
      </c>
      <c r="E29" s="2" t="s">
        <v>492</v>
      </c>
      <c r="F29" s="2">
        <f>G29</f>
        <v>256463</v>
      </c>
      <c r="G29" s="24">
        <v>256463</v>
      </c>
      <c r="H29" s="2" t="s">
        <v>492</v>
      </c>
      <c r="I29" s="24">
        <v>275114</v>
      </c>
      <c r="J29" s="26" t="s">
        <v>169</v>
      </c>
      <c r="K29" s="14" t="s">
        <v>516</v>
      </c>
    </row>
    <row r="30" ht="23.24853515625">
      <c r="A30" s="1"/>
      <c r="B30" s="63" t="s">
        <v>517</v>
      </c>
      <c r="C30" s="2" t="s">
        <v>64</v>
      </c>
      <c r="D30" s="2">
        <f>D28-D29</f>
        <v>0</v>
      </c>
      <c r="E30" s="2" t="s">
        <v>64</v>
      </c>
      <c r="F30" s="2">
        <f>F28-F29</f>
        <v>0</v>
      </c>
      <c r="G30" s="2">
        <f>G28-G29</f>
        <v>0</v>
      </c>
      <c r="H30" s="2" t="s">
        <v>64</v>
      </c>
      <c r="I30" s="2">
        <f>I28-I29</f>
        <v>0</v>
      </c>
      <c r="J30" s="26" t="s">
        <v>64</v>
      </c>
      <c r="K30" s="14"/>
    </row>
    <row r="31">
      <c r="A31" s="1"/>
      <c r="B31" s="18"/>
      <c r="C31" s="19"/>
      <c r="D31" s="19"/>
      <c r="E31" s="19"/>
      <c r="F31" s="19"/>
      <c r="G31" s="19"/>
      <c r="H31" s="19"/>
      <c r="I31" s="19"/>
      <c r="J31" s="27"/>
      <c r="K31" s="14"/>
    </row>
    <row r="32" ht="14.624267578125">
      <c r="A32" s="1"/>
      <c r="B32" s="20" t="s">
        <v>518</v>
      </c>
      <c r="C32" s="32"/>
      <c r="D32" s="32"/>
      <c r="E32" s="32"/>
      <c r="F32" s="32"/>
      <c r="G32" s="32"/>
      <c r="H32" s="32"/>
      <c r="I32" s="32"/>
      <c r="J32" s="28"/>
      <c r="K32" s="14"/>
    </row>
    <row r="33" ht="14.624267578125">
      <c r="A33" s="1"/>
      <c r="B33" s="63" t="s">
        <v>519</v>
      </c>
      <c r="C33" s="2" t="s">
        <v>64</v>
      </c>
      <c r="D33" s="4">
        <f>'Income Statement'!C36+'Income Statement'!D36</f>
        <v>5203</v>
      </c>
      <c r="E33" s="2" t="s">
        <v>64</v>
      </c>
      <c r="F33" s="4">
        <f>'Income Statement'!E36+'Income Statement'!F36</f>
        <v>3936</v>
      </c>
      <c r="G33" s="4">
        <f>'Income Statement'!G36</f>
        <v>9139</v>
      </c>
      <c r="H33" s="2" t="s">
        <v>64</v>
      </c>
      <c r="I33" s="4">
        <f>'Income Statement'!H36+'Income Statement'!I36</f>
        <v>6066</v>
      </c>
      <c r="J33" s="26" t="s">
        <v>64</v>
      </c>
      <c r="K33" s="14"/>
    </row>
    <row r="34" ht="23.24853515625">
      <c r="A34" s="1"/>
      <c r="B34" s="63" t="s">
        <v>520</v>
      </c>
      <c r="C34" s="2" t="s">
        <v>64</v>
      </c>
      <c r="D34" s="2">
        <f>D11-D33</f>
        <v>0</v>
      </c>
      <c r="E34" s="2" t="s">
        <v>64</v>
      </c>
      <c r="F34" s="2">
        <f>F11-F33</f>
        <v>0</v>
      </c>
      <c r="G34" s="2">
        <f>G11-G33</f>
        <v>0</v>
      </c>
      <c r="H34" s="2" t="s">
        <v>64</v>
      </c>
      <c r="I34" s="2">
        <f>I11-I33</f>
        <v>0</v>
      </c>
      <c r="J34" s="26" t="s">
        <v>64</v>
      </c>
      <c r="K34" s="14" t="s">
        <v>521</v>
      </c>
    </row>
    <row r="35" ht="23.24853515625">
      <c r="A35" s="1"/>
      <c r="B35" s="63" t="s">
        <v>522</v>
      </c>
      <c r="C35" s="4">
        <f>'Balance Sheet'!C10</f>
        <v>239481</v>
      </c>
      <c r="D35" s="4">
        <f>'Balance Sheet'!D10</f>
        <v>225723</v>
      </c>
      <c r="E35" s="4">
        <f>'Balance Sheet'!E10</f>
        <v>237412</v>
      </c>
      <c r="F35" s="4">
        <f>'Balance Sheet'!F10</f>
        <v>229752</v>
      </c>
      <c r="G35" s="4">
        <f>'Balance Sheet'!G10</f>
        <v>229752</v>
      </c>
      <c r="H35" s="4">
        <f>'Balance Sheet'!H10</f>
        <v>235350</v>
      </c>
      <c r="I35" s="4">
        <f>'Balance Sheet'!I10</f>
        <v>245859</v>
      </c>
      <c r="J35" s="87">
        <f>'Balance Sheet'!J10</f>
        <v>246405.42471059738</v>
      </c>
      <c r="K35" s="14"/>
    </row>
    <row r="36" ht="23.24853515625">
      <c r="A36" s="1"/>
      <c r="B36" s="63" t="s">
        <v>523</v>
      </c>
      <c r="C36" s="2" t="s">
        <v>64</v>
      </c>
      <c r="D36" s="2">
        <f>D35-D37</f>
        <v>15539</v>
      </c>
      <c r="E36" s="2" t="s">
        <v>64</v>
      </c>
      <c r="F36" s="2">
        <f>F35-D35</f>
        <v>4029</v>
      </c>
      <c r="G36" s="2">
        <f>G35-G37</f>
        <v>19568</v>
      </c>
      <c r="H36" s="2" t="s">
        <v>64</v>
      </c>
      <c r="I36" s="2">
        <f>I35-G35</f>
        <v>16107</v>
      </c>
      <c r="J36" s="26" t="s">
        <v>64</v>
      </c>
      <c r="K36" s="14" t="s">
        <v>524</v>
      </c>
    </row>
    <row r="37" ht="23.24853515625">
      <c r="A37" s="1"/>
      <c r="B37" s="63" t="s">
        <v>525</v>
      </c>
      <c r="C37" s="2"/>
      <c r="D37" s="24">
        <v>210184</v>
      </c>
      <c r="E37" s="2"/>
      <c r="F37" s="2"/>
      <c r="G37" s="2">
        <f>D37</f>
        <v>210184</v>
      </c>
      <c r="H37" s="2"/>
      <c r="I37" s="2"/>
      <c r="J37" s="26"/>
      <c r="K37" s="14" t="s">
        <v>526</v>
      </c>
    </row>
    <row r="38" ht="23.24853515625">
      <c r="A38" s="1"/>
      <c r="B38" s="63" t="s">
        <v>527</v>
      </c>
      <c r="C38" s="2"/>
      <c r="D38" s="2" t="s">
        <v>101</v>
      </c>
      <c r="E38" s="2"/>
      <c r="F38" s="2">
        <f>G38</f>
        <v>7354</v>
      </c>
      <c r="G38" s="24">
        <v>7354</v>
      </c>
      <c r="H38" s="2"/>
      <c r="I38" s="2" t="s">
        <v>101</v>
      </c>
      <c r="J38" s="26"/>
      <c r="K38" s="14" t="s">
        <v>528</v>
      </c>
    </row>
    <row r="39" ht="23.24853515625">
      <c r="A39" s="1"/>
      <c r="B39" s="63" t="s">
        <v>529</v>
      </c>
      <c r="C39" s="2"/>
      <c r="D39" s="2" t="s">
        <v>101</v>
      </c>
      <c r="E39" s="2"/>
      <c r="F39" s="2">
        <f>G39</f>
        <v>17375</v>
      </c>
      <c r="G39" s="24">
        <v>17375</v>
      </c>
      <c r="H39" s="2"/>
      <c r="I39" s="2" t="s">
        <v>101</v>
      </c>
      <c r="J39" s="26"/>
      <c r="K39" s="14" t="s">
        <v>530</v>
      </c>
    </row>
    <row r="40" ht="23.24853515625">
      <c r="A40" s="1"/>
      <c r="B40" s="63" t="s">
        <v>531</v>
      </c>
      <c r="C40" s="2"/>
      <c r="D40" s="2" t="s">
        <v>101</v>
      </c>
      <c r="E40" s="2"/>
      <c r="F40" s="2">
        <f>G40</f>
        <v>1982</v>
      </c>
      <c r="G40" s="24">
        <v>1982</v>
      </c>
      <c r="H40" s="2"/>
      <c r="I40" s="2" t="s">
        <v>101</v>
      </c>
      <c r="J40" s="26"/>
      <c r="K40" s="14" t="s">
        <v>530</v>
      </c>
    </row>
    <row r="41" ht="23.24853515625">
      <c r="A41" s="1"/>
      <c r="B41" s="46" t="s">
        <v>532</v>
      </c>
      <c r="C41" s="16"/>
      <c r="D41" s="16"/>
      <c r="E41" s="16"/>
      <c r="F41" s="16">
        <f>F35+F38+F39+F40</f>
        <v>256463</v>
      </c>
      <c r="G41" s="16">
        <f>G35+G38+G39+G40</f>
        <v>256463</v>
      </c>
      <c r="H41" s="16"/>
      <c r="I41" s="16"/>
      <c r="J41" s="65"/>
      <c r="K41" s="14"/>
    </row>
    <row r="42" ht="23.24853515625">
      <c r="A42" s="1"/>
      <c r="B42" s="63" t="s">
        <v>533</v>
      </c>
      <c r="C42" s="2"/>
      <c r="D42" s="2"/>
      <c r="E42" s="2"/>
      <c r="F42" s="2">
        <f>F28-F41</f>
        <v>0</v>
      </c>
      <c r="G42" s="2">
        <f>G28-G41</f>
        <v>0</v>
      </c>
      <c r="H42" s="2"/>
      <c r="I42" s="2"/>
      <c r="J42" s="26"/>
      <c r="K42" s="14" t="s">
        <v>534</v>
      </c>
    </row>
    <row r="43" ht="23.24853515625">
      <c r="A43" s="1"/>
      <c r="B43" s="63" t="s">
        <v>535</v>
      </c>
      <c r="C43" s="2"/>
      <c r="D43" s="2"/>
      <c r="E43" s="2"/>
      <c r="F43" s="2"/>
      <c r="G43" s="24">
        <v>7230</v>
      </c>
      <c r="H43" s="2"/>
      <c r="I43" s="2"/>
      <c r="J43" s="26"/>
      <c r="K43" s="14" t="s">
        <v>530</v>
      </c>
    </row>
    <row r="44" ht="23.24853515625">
      <c r="A44" s="1"/>
      <c r="B44" s="63" t="s">
        <v>536</v>
      </c>
      <c r="C44" s="2"/>
      <c r="D44" s="2"/>
      <c r="E44" s="2"/>
      <c r="F44" s="2"/>
      <c r="G44" s="24">
        <v>16650</v>
      </c>
      <c r="H44" s="2"/>
      <c r="I44" s="2"/>
      <c r="J44" s="26"/>
      <c r="K44" s="14" t="s">
        <v>530</v>
      </c>
    </row>
    <row r="45" ht="23.24853515625">
      <c r="A45" s="1"/>
      <c r="B45" s="63" t="s">
        <v>537</v>
      </c>
      <c r="C45" s="2"/>
      <c r="D45" s="2"/>
      <c r="E45" s="2"/>
      <c r="F45" s="2"/>
      <c r="G45" s="24">
        <v>1547</v>
      </c>
      <c r="H45" s="2"/>
      <c r="I45" s="2"/>
      <c r="J45" s="26"/>
      <c r="K45" s="14" t="s">
        <v>530</v>
      </c>
    </row>
    <row r="46" ht="23.24853515625">
      <c r="A46" s="1"/>
      <c r="B46" s="46" t="s">
        <v>538</v>
      </c>
      <c r="C46" s="16"/>
      <c r="D46" s="16"/>
      <c r="E46" s="16"/>
      <c r="F46" s="16"/>
      <c r="G46" s="16">
        <f>G37+G43+G44+G45</f>
        <v>235611</v>
      </c>
      <c r="H46" s="16"/>
      <c r="I46" s="16"/>
      <c r="J46" s="65"/>
      <c r="K46" s="14"/>
    </row>
    <row r="47" ht="23.24853515625">
      <c r="A47" s="1"/>
      <c r="B47" s="63" t="s">
        <v>539</v>
      </c>
      <c r="C47" s="2"/>
      <c r="D47" s="2"/>
      <c r="E47" s="2"/>
      <c r="F47" s="2"/>
      <c r="G47" s="2">
        <f>G27-G46</f>
        <v>0</v>
      </c>
      <c r="H47" s="2"/>
      <c r="I47" s="2"/>
      <c r="J47" s="26"/>
      <c r="K47" s="14"/>
    </row>
    <row r="48" ht="31.872802734375">
      <c r="A48" s="1"/>
      <c r="B48" s="46" t="s">
        <v>540</v>
      </c>
      <c r="C48" s="38"/>
      <c r="D48" s="38"/>
      <c r="E48" s="38"/>
      <c r="F48" s="38"/>
      <c r="G48" s="38">
        <f>G26-(G41-G46)</f>
        <v>0</v>
      </c>
      <c r="H48" s="38"/>
      <c r="I48" s="38"/>
      <c r="J48" s="23"/>
      <c r="K48" s="14"/>
    </row>
    <row r="49" ht="23.24853515625">
      <c r="A49" s="1"/>
      <c r="B49" s="63" t="s">
        <v>541</v>
      </c>
      <c r="C49" s="2" t="s">
        <v>64</v>
      </c>
      <c r="D49" s="2">
        <f>D28-D35</f>
        <v>27094</v>
      </c>
      <c r="E49" s="2" t="s">
        <v>64</v>
      </c>
      <c r="F49" s="2">
        <f>F28-F35</f>
        <v>26711</v>
      </c>
      <c r="G49" s="2">
        <f>G28-G35</f>
        <v>26711</v>
      </c>
      <c r="H49" s="2" t="s">
        <v>64</v>
      </c>
      <c r="I49" s="2">
        <f>I28-I35</f>
        <v>29255</v>
      </c>
      <c r="J49" s="26" t="s">
        <v>64</v>
      </c>
      <c r="K49" s="14" t="s">
        <v>542</v>
      </c>
    </row>
    <row r="50" ht="23.24853515625">
      <c r="A50" s="1"/>
      <c r="B50" s="46" t="s">
        <v>543</v>
      </c>
      <c r="C50" s="38" t="s">
        <v>64</v>
      </c>
      <c r="D50" s="38">
        <f>D27+D26-D28</f>
        <v>0</v>
      </c>
      <c r="E50" s="38" t="s">
        <v>64</v>
      </c>
      <c r="F50" s="38">
        <f>F27+F26-F28</f>
        <v>0</v>
      </c>
      <c r="G50" s="38">
        <f>G27+G26-G28</f>
        <v>0</v>
      </c>
      <c r="H50" s="38" t="s">
        <v>64</v>
      </c>
      <c r="I50" s="38">
        <f>I27+I26-I28</f>
        <v>0</v>
      </c>
      <c r="J50" s="23" t="s">
        <v>64</v>
      </c>
      <c r="K50" s="14" t="s">
        <v>544</v>
      </c>
    </row>
    <row r="51" ht="23.24853515625">
      <c r="A51" s="1"/>
      <c r="B51" s="63" t="s">
        <v>545</v>
      </c>
      <c r="C51" s="2"/>
      <c r="D51" s="2"/>
      <c r="E51" s="2"/>
      <c r="F51" s="2">
        <f>F27-D28</f>
        <v>0</v>
      </c>
      <c r="G51" s="2"/>
      <c r="H51" s="2"/>
      <c r="I51" s="2">
        <f>I27-G28</f>
        <v>0</v>
      </c>
      <c r="J51" s="26"/>
      <c r="K51" s="14" t="s">
        <v>546</v>
      </c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dimension ref="A1:K47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  <col min="11" max="11" width="9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35" t="s">
        <v>49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9" t="s">
        <v>547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3" t="s">
        <v>548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6" t="s">
        <v>51</v>
      </c>
      <c r="C5" s="21" t="s">
        <v>52</v>
      </c>
      <c r="D5" s="21" t="s">
        <v>53</v>
      </c>
      <c r="E5" s="21" t="s">
        <v>54</v>
      </c>
      <c r="F5" s="21" t="s">
        <v>55</v>
      </c>
      <c r="G5" s="21" t="s">
        <v>56</v>
      </c>
      <c r="H5" s="21" t="s">
        <v>57</v>
      </c>
      <c r="I5" s="21" t="s">
        <v>58</v>
      </c>
      <c r="J5" s="40" t="s">
        <v>4</v>
      </c>
      <c r="K5" s="6" t="s">
        <v>59</v>
      </c>
    </row>
    <row r="6">
      <c r="A6" s="1"/>
      <c r="B6" s="7" t="s">
        <v>5</v>
      </c>
      <c r="C6" s="29">
        <v>45747</v>
      </c>
      <c r="D6" s="29">
        <v>45838</v>
      </c>
      <c r="E6" s="29">
        <v>45930</v>
      </c>
      <c r="F6" s="29">
        <v>46022</v>
      </c>
      <c r="G6" s="29">
        <v>46022</v>
      </c>
      <c r="H6" s="29">
        <v>46112</v>
      </c>
      <c r="I6" s="29">
        <v>46203</v>
      </c>
      <c r="J6" s="50">
        <v>46295</v>
      </c>
      <c r="K6" s="7"/>
    </row>
    <row r="7">
      <c r="A7" s="1"/>
      <c r="B7" s="12" t="s">
        <v>6</v>
      </c>
      <c r="C7" s="34">
        <f>C6-EOMONTH(C6,-3)</f>
        <v>90</v>
      </c>
      <c r="D7" s="34">
        <f>D6-EOMONTH(D6,-3)</f>
        <v>91</v>
      </c>
      <c r="E7" s="34">
        <f>E6-EOMONTH(E6,-3)</f>
        <v>92</v>
      </c>
      <c r="F7" s="34">
        <f>F6-EOMONTH(F6,-3)</f>
        <v>92</v>
      </c>
      <c r="G7" s="34">
        <f>G6-EOMONTH(G6,-12)</f>
        <v>365</v>
      </c>
      <c r="H7" s="34">
        <f>H6-EOMONTH(H6,-3)</f>
        <v>90</v>
      </c>
      <c r="I7" s="34">
        <f>I6-EOMONTH(I6,-3)</f>
        <v>91</v>
      </c>
      <c r="J7" s="43">
        <f>J6-EOMONTH(J6,-3)</f>
        <v>92</v>
      </c>
      <c r="K7" s="12"/>
    </row>
    <row r="8">
      <c r="A8" s="1"/>
      <c r="B8" s="1"/>
      <c r="C8" s="1"/>
      <c r="D8" s="1"/>
      <c r="E8" s="1"/>
      <c r="F8" s="1"/>
      <c r="G8" s="1"/>
      <c r="H8" s="1"/>
      <c r="I8" s="1"/>
      <c r="J8" s="54"/>
      <c r="K8" s="1"/>
    </row>
    <row r="9">
      <c r="A9" s="1"/>
      <c r="B9" s="20" t="s">
        <v>549</v>
      </c>
      <c r="C9" s="32"/>
      <c r="D9" s="32"/>
      <c r="E9" s="32"/>
      <c r="F9" s="32"/>
      <c r="G9" s="32"/>
      <c r="H9" s="32"/>
      <c r="I9" s="32"/>
      <c r="J9" s="28"/>
      <c r="K9" s="14"/>
    </row>
    <row r="10">
      <c r="A10" s="1"/>
      <c r="B10" s="18" t="s">
        <v>550</v>
      </c>
      <c r="C10" s="24">
        <v>14336</v>
      </c>
      <c r="D10" s="24">
        <v>14180</v>
      </c>
      <c r="E10" s="24">
        <v>13996</v>
      </c>
      <c r="F10" s="24">
        <v>13867</v>
      </c>
      <c r="G10" s="2">
        <f>F10</f>
        <v>13867</v>
      </c>
      <c r="H10" s="24">
        <v>13737</v>
      </c>
      <c r="I10" s="24">
        <v>13507</v>
      </c>
      <c r="J10" s="26">
        <f>I10-J41+J43</f>
        <v>13369.3043938</v>
      </c>
      <c r="K10" s="14" t="s">
        <v>551</v>
      </c>
    </row>
    <row r="11">
      <c r="A11" s="1"/>
      <c r="B11" s="37" t="s">
        <v>63</v>
      </c>
      <c r="C11" s="25" t="s">
        <v>64</v>
      </c>
      <c r="D11" s="25" t="s">
        <v>64</v>
      </c>
      <c r="E11" s="25" t="s">
        <v>64</v>
      </c>
      <c r="F11" s="25" t="s">
        <v>64</v>
      </c>
      <c r="G11" s="25" t="s">
        <v>64</v>
      </c>
      <c r="H11" s="25">
        <f>IFERROR(H10/C10-1,"n.a.")</f>
        <v>-0.041782924107142905</v>
      </c>
      <c r="I11" s="25">
        <f>IFERROR(I10/D10-1,"n.a.")</f>
        <v>-0.04746121297602257</v>
      </c>
      <c r="J11" s="51">
        <f>IFERROR(J10/E10-1,"n.a.")</f>
        <v>-0.04477676523292373</v>
      </c>
      <c r="K11" s="14"/>
    </row>
    <row r="12">
      <c r="A12" s="1"/>
      <c r="B12" s="48" t="s">
        <v>78</v>
      </c>
      <c r="C12" s="2" t="s">
        <v>64</v>
      </c>
      <c r="D12" s="2">
        <f>IFERROR(D10-C10,"n.a.")</f>
        <v>-156</v>
      </c>
      <c r="E12" s="2">
        <f>IFERROR(E10-D10,"n.a.")</f>
        <v>-184</v>
      </c>
      <c r="F12" s="2">
        <f>IFERROR(F10-E10,"n.a.")</f>
        <v>-129</v>
      </c>
      <c r="G12" s="2" t="s">
        <v>64</v>
      </c>
      <c r="H12" s="2">
        <f>IFERROR(H10-F10,"n.a.")</f>
        <v>-130</v>
      </c>
      <c r="I12" s="2">
        <f>IFERROR(I10-H10,"n.a.")</f>
        <v>-230</v>
      </c>
      <c r="J12" s="26">
        <f>IFERROR(J10-I10,"n.a.")</f>
        <v>-137.69560620000084</v>
      </c>
      <c r="K12" s="14"/>
    </row>
    <row r="13">
      <c r="A13" s="1"/>
      <c r="B13" s="18" t="s">
        <v>552</v>
      </c>
      <c r="C13" s="24">
        <v>14314</v>
      </c>
      <c r="D13" s="24">
        <v>14211</v>
      </c>
      <c r="E13" s="24">
        <v>14045</v>
      </c>
      <c r="F13" s="24">
        <v>13883</v>
      </c>
      <c r="G13" s="24">
        <v>14112</v>
      </c>
      <c r="H13" s="24">
        <v>13727</v>
      </c>
      <c r="I13" s="24">
        <v>13565</v>
      </c>
      <c r="J13" s="26">
        <f>I10-J41*J44+J43*J44</f>
        <v>13438.1521969</v>
      </c>
      <c r="K13" s="14" t="s">
        <v>553</v>
      </c>
    </row>
    <row r="14">
      <c r="A14" s="1"/>
      <c r="B14" s="37" t="s">
        <v>63</v>
      </c>
      <c r="C14" s="25" t="s">
        <v>64</v>
      </c>
      <c r="D14" s="25" t="s">
        <v>64</v>
      </c>
      <c r="E14" s="25" t="s">
        <v>64</v>
      </c>
      <c r="F14" s="25" t="s">
        <v>64</v>
      </c>
      <c r="G14" s="25" t="s">
        <v>64</v>
      </c>
      <c r="H14" s="25">
        <f>IFERROR(H13/C13-1,"n.a.")</f>
        <v>-0.04100880257090955</v>
      </c>
      <c r="I14" s="25">
        <f>IFERROR(I13/D13-1,"n.a.")</f>
        <v>-0.0454577440011259</v>
      </c>
      <c r="J14" s="51">
        <f>IFERROR(J13/E13-1,"n.a.")</f>
        <v>-0.04320739075115698</v>
      </c>
      <c r="K14" s="14"/>
    </row>
    <row r="15">
      <c r="A15" s="1"/>
      <c r="B15" s="48" t="s">
        <v>78</v>
      </c>
      <c r="C15" s="2" t="s">
        <v>64</v>
      </c>
      <c r="D15" s="2">
        <f>IFERROR(D13-C13,"n.a.")</f>
        <v>-103</v>
      </c>
      <c r="E15" s="2">
        <f>IFERROR(E13-D13,"n.a.")</f>
        <v>-166</v>
      </c>
      <c r="F15" s="2">
        <f>IFERROR(F13-E13,"n.a.")</f>
        <v>-162</v>
      </c>
      <c r="G15" s="2" t="s">
        <v>64</v>
      </c>
      <c r="H15" s="2">
        <f>IFERROR(H13-F13,"n.a.")</f>
        <v>-156</v>
      </c>
      <c r="I15" s="2">
        <f>IFERROR(I13-H13,"n.a.")</f>
        <v>-162</v>
      </c>
      <c r="J15" s="26">
        <f>IFERROR(J13-I13,"n.a.")</f>
        <v>-126.84780309999951</v>
      </c>
      <c r="K15" s="14"/>
    </row>
    <row r="16">
      <c r="A16" s="1"/>
      <c r="B16" s="18"/>
      <c r="C16" s="19"/>
      <c r="D16" s="19"/>
      <c r="E16" s="19"/>
      <c r="F16" s="19"/>
      <c r="G16" s="19"/>
      <c r="H16" s="19"/>
      <c r="I16" s="19"/>
      <c r="J16" s="27"/>
      <c r="K16" s="14"/>
    </row>
    <row r="17">
      <c r="A17" s="1"/>
      <c r="B17" s="20" t="s">
        <v>554</v>
      </c>
      <c r="C17" s="32"/>
      <c r="D17" s="32"/>
      <c r="E17" s="32"/>
      <c r="F17" s="32"/>
      <c r="G17" s="32"/>
      <c r="H17" s="32"/>
      <c r="I17" s="32"/>
      <c r="J17" s="28"/>
      <c r="K17" s="14"/>
    </row>
    <row r="18">
      <c r="A18" s="1"/>
      <c r="B18" s="18" t="s">
        <v>555</v>
      </c>
      <c r="C18" s="2"/>
      <c r="D18" s="4">
        <f>'Income Statement'!C47+'Income Statement'!D47</f>
        <v>3523</v>
      </c>
      <c r="E18" s="2"/>
      <c r="F18" s="2"/>
      <c r="G18" s="2"/>
      <c r="H18" s="2"/>
      <c r="I18" s="4">
        <f>'Income Statement'!H47+'Income Statement'!I47</f>
        <v>4191</v>
      </c>
      <c r="J18" s="26"/>
      <c r="K18" s="14" t="s">
        <v>556</v>
      </c>
    </row>
    <row r="19">
      <c r="A19" s="1"/>
      <c r="B19" s="18" t="s">
        <v>557</v>
      </c>
      <c r="C19" s="22"/>
      <c r="D19" s="17">
        <v>23.8</v>
      </c>
      <c r="E19" s="22"/>
      <c r="F19" s="22"/>
      <c r="G19" s="22"/>
      <c r="H19" s="22"/>
      <c r="I19" s="17">
        <v>29.8</v>
      </c>
      <c r="J19" s="53"/>
      <c r="K19" s="14" t="s">
        <v>558</v>
      </c>
    </row>
    <row r="20" ht="14.624267578125">
      <c r="A20" s="1"/>
      <c r="B20" s="13" t="s">
        <v>559</v>
      </c>
      <c r="C20" s="2"/>
      <c r="D20" s="24">
        <v>14262</v>
      </c>
      <c r="E20" s="2"/>
      <c r="F20" s="2"/>
      <c r="G20" s="2"/>
      <c r="H20" s="2"/>
      <c r="I20" s="24">
        <v>13645</v>
      </c>
      <c r="J20" s="26"/>
      <c r="K20" s="14" t="s">
        <v>560</v>
      </c>
    </row>
    <row r="21" ht="14.624267578125">
      <c r="A21" s="1"/>
      <c r="B21" s="13" t="s">
        <v>561</v>
      </c>
      <c r="C21" s="2"/>
      <c r="D21" s="2">
        <f>D18/(D19/100)</f>
        <v>14802.52100840336</v>
      </c>
      <c r="E21" s="2"/>
      <c r="F21" s="2"/>
      <c r="G21" s="2"/>
      <c r="H21" s="2"/>
      <c r="I21" s="2">
        <f>I18/(I19/100)</f>
        <v>14063.758389261746</v>
      </c>
      <c r="J21" s="26"/>
      <c r="K21" s="14" t="s">
        <v>562</v>
      </c>
    </row>
    <row r="22" ht="14.624267578125">
      <c r="A22" s="1"/>
      <c r="B22" s="13" t="s">
        <v>563</v>
      </c>
      <c r="C22" s="2"/>
      <c r="D22" s="2">
        <f>D21-D20</f>
        <v>540.5210084033606</v>
      </c>
      <c r="E22" s="2"/>
      <c r="F22" s="2"/>
      <c r="G22" s="2"/>
      <c r="H22" s="2"/>
      <c r="I22" s="2">
        <f>I21-I20</f>
        <v>418.75838926174583</v>
      </c>
      <c r="J22" s="26"/>
      <c r="K22" s="14"/>
    </row>
    <row r="23" ht="23.24853515625">
      <c r="A23" s="1"/>
      <c r="B23" s="13" t="s">
        <v>564</v>
      </c>
      <c r="C23" s="2"/>
      <c r="D23" s="2"/>
      <c r="E23" s="2"/>
      <c r="F23" s="2"/>
      <c r="G23" s="24">
        <v>14604</v>
      </c>
      <c r="H23" s="2"/>
      <c r="I23" s="2"/>
      <c r="J23" s="26"/>
      <c r="K23" s="14" t="s">
        <v>565</v>
      </c>
    </row>
    <row r="24" ht="14.624267578125">
      <c r="A24" s="1"/>
      <c r="B24" s="13" t="s">
        <v>566</v>
      </c>
      <c r="C24" s="2">
        <f>D22</f>
        <v>540.5210084033606</v>
      </c>
      <c r="D24" s="2">
        <f>D22</f>
        <v>540.5210084033606</v>
      </c>
      <c r="E24" s="2">
        <f>(G24*G7-D24*(C7+D7))/(E7+F7)</f>
        <v>444.27009499452026</v>
      </c>
      <c r="F24" s="2">
        <f>(G24*G7-D24*(C7+D7))/(E7+F7)</f>
        <v>444.27009499452026</v>
      </c>
      <c r="G24" s="2">
        <f>G23-G13</f>
        <v>492</v>
      </c>
      <c r="H24" s="2">
        <f>I22</f>
        <v>418.75838926174583</v>
      </c>
      <c r="I24" s="2">
        <f>I22</f>
        <v>418.75838926174583</v>
      </c>
      <c r="J24" s="26">
        <f>I24</f>
        <v>418.75838926174583</v>
      </c>
      <c r="K24" s="14" t="s">
        <v>567</v>
      </c>
    </row>
    <row r="25">
      <c r="A25" s="1"/>
      <c r="B25" s="20" t="s">
        <v>568</v>
      </c>
      <c r="C25" s="16">
        <f>C13+C24</f>
        <v>14854.52100840336</v>
      </c>
      <c r="D25" s="16">
        <f>D13+D24</f>
        <v>14751.52100840336</v>
      </c>
      <c r="E25" s="16">
        <f>E13+E24</f>
        <v>14489.270094994521</v>
      </c>
      <c r="F25" s="16">
        <f>F13+F24</f>
        <v>14327.270094994521</v>
      </c>
      <c r="G25" s="16">
        <f>G13+G24</f>
        <v>14604</v>
      </c>
      <c r="H25" s="16">
        <f>H13+H24</f>
        <v>14145.758389261746</v>
      </c>
      <c r="I25" s="16">
        <f>I13+I24</f>
        <v>13983.758389261746</v>
      </c>
      <c r="J25" s="65">
        <f>J13+J24</f>
        <v>13856.910586161746</v>
      </c>
      <c r="K25" s="14" t="str">
        <f>"Reconciliation: day-weighted quarterly diluted shares "&amp;TEXT((C25*C7+D25*D7+E25*E7+F25*F7)/G7,"#,##0.0")&amp;"m vs reported FY25 "&amp;TEXT(G23,"#,##0")&amp;"m (difference reflects rounding of disclosed basic shares/EPS)"</f>
        <v>Reconciliation: day-weighted quarterly diluted shares 14,603.9m vs reported FY25 14,604m (difference reflects rounding of disclosed basic shares/EPS)</v>
      </c>
    </row>
    <row r="26">
      <c r="A26" s="1"/>
      <c r="B26" s="37" t="s">
        <v>63</v>
      </c>
      <c r="C26" s="25" t="s">
        <v>64</v>
      </c>
      <c r="D26" s="25" t="s">
        <v>64</v>
      </c>
      <c r="E26" s="25" t="s">
        <v>64</v>
      </c>
      <c r="F26" s="25" t="s">
        <v>64</v>
      </c>
      <c r="G26" s="25" t="s">
        <v>64</v>
      </c>
      <c r="H26" s="25">
        <f>IFERROR(H25/C25-1,"n.a.")</f>
        <v>-0.04771359633478989</v>
      </c>
      <c r="I26" s="25">
        <f>IFERROR(I25/D25-1,"n.a.")</f>
        <v>-0.05204633601540143</v>
      </c>
      <c r="J26" s="51">
        <f>IFERROR(J25/E25-1,"n.a.")</f>
        <v>-0.04364329636254283</v>
      </c>
      <c r="K26" s="14"/>
    </row>
    <row r="27">
      <c r="A27" s="1"/>
      <c r="B27" s="48" t="s">
        <v>78</v>
      </c>
      <c r="C27" s="2" t="s">
        <v>64</v>
      </c>
      <c r="D27" s="2">
        <f>IFERROR(D25-C25,"n.a.")</f>
        <v>-103</v>
      </c>
      <c r="E27" s="2">
        <f>IFERROR(E25-D25,"n.a.")</f>
        <v>-262.25091340883955</v>
      </c>
      <c r="F27" s="2">
        <f>IFERROR(F25-E25,"n.a.")</f>
        <v>-162</v>
      </c>
      <c r="G27" s="2" t="s">
        <v>64</v>
      </c>
      <c r="H27" s="2">
        <f>IFERROR(H25-F25,"n.a.")</f>
        <v>-181.51170573277523</v>
      </c>
      <c r="I27" s="2">
        <f>IFERROR(I25-H25,"n.a.")</f>
        <v>-162</v>
      </c>
      <c r="J27" s="26">
        <f>IFERROR(J25-I25,"n.a.")</f>
        <v>-126.84780309999951</v>
      </c>
      <c r="K27" s="14"/>
    </row>
    <row r="28">
      <c r="A28" s="1"/>
      <c r="B28" s="18"/>
      <c r="C28" s="19"/>
      <c r="D28" s="19"/>
      <c r="E28" s="19"/>
      <c r="F28" s="19"/>
      <c r="G28" s="19"/>
      <c r="H28" s="19"/>
      <c r="I28" s="19"/>
      <c r="J28" s="27"/>
      <c r="K28" s="14"/>
    </row>
    <row r="29">
      <c r="A29" s="1"/>
      <c r="B29" s="20" t="s">
        <v>569</v>
      </c>
      <c r="C29" s="32"/>
      <c r="D29" s="32"/>
      <c r="E29" s="32"/>
      <c r="F29" s="32"/>
      <c r="G29" s="32"/>
      <c r="H29" s="32"/>
      <c r="I29" s="32"/>
      <c r="J29" s="28"/>
      <c r="K29" s="14"/>
    </row>
    <row r="30" ht="14.624267578125">
      <c r="A30" s="1"/>
      <c r="B30" s="13" t="s">
        <v>570</v>
      </c>
      <c r="C30" s="24">
        <v>0</v>
      </c>
      <c r="D30" s="24">
        <v>1000</v>
      </c>
      <c r="E30" s="24">
        <v>500</v>
      </c>
      <c r="F30" s="24">
        <v>1000</v>
      </c>
      <c r="G30" s="2">
        <f>SUM(C30:F30)</f>
        <v>2500</v>
      </c>
      <c r="H30" s="24">
        <v>500</v>
      </c>
      <c r="I30" s="24">
        <v>1000</v>
      </c>
      <c r="J30" s="26" t="s">
        <v>169</v>
      </c>
      <c r="K30" s="14" t="s">
        <v>571</v>
      </c>
    </row>
    <row r="31" ht="14.624267578125">
      <c r="A31" s="1"/>
      <c r="B31" s="13" t="s">
        <v>572</v>
      </c>
      <c r="C31" s="17">
        <v>0</v>
      </c>
      <c r="D31" s="17">
        <v>3</v>
      </c>
      <c r="E31" s="17">
        <v>0</v>
      </c>
      <c r="F31" s="17">
        <v>5.6</v>
      </c>
      <c r="G31" s="22">
        <f>SUM(C31:F31)</f>
        <v>8.6</v>
      </c>
      <c r="H31" s="17">
        <v>0</v>
      </c>
      <c r="I31" s="17">
        <v>5.9</v>
      </c>
      <c r="J31" s="55">
        <v>0</v>
      </c>
      <c r="K31" s="14" t="s">
        <v>573</v>
      </c>
    </row>
    <row r="32">
      <c r="A32" s="1"/>
      <c r="B32" s="18"/>
      <c r="C32" s="19"/>
      <c r="D32" s="19"/>
      <c r="E32" s="19"/>
      <c r="F32" s="19"/>
      <c r="G32" s="19"/>
      <c r="H32" s="19"/>
      <c r="I32" s="19"/>
      <c r="J32" s="27"/>
      <c r="K32" s="14"/>
    </row>
    <row r="33">
      <c r="A33" s="1"/>
      <c r="B33" s="20" t="s">
        <v>574</v>
      </c>
      <c r="C33" s="32"/>
      <c r="D33" s="32"/>
      <c r="E33" s="32"/>
      <c r="F33" s="32"/>
      <c r="G33" s="32"/>
      <c r="H33" s="32"/>
      <c r="I33" s="32"/>
      <c r="J33" s="28"/>
      <c r="K33" s="14"/>
    </row>
    <row r="34" ht="14.624267578125">
      <c r="A34" s="1"/>
      <c r="B34" s="13" t="s">
        <v>575</v>
      </c>
      <c r="C34" s="2"/>
      <c r="D34" s="2"/>
      <c r="E34" s="2"/>
      <c r="F34" s="2"/>
      <c r="G34" s="2"/>
      <c r="H34" s="2"/>
      <c r="I34" s="2"/>
      <c r="J34" s="39">
        <v>111.198171</v>
      </c>
      <c r="K34" s="14" t="s">
        <v>576</v>
      </c>
    </row>
    <row r="35" ht="14.624267578125">
      <c r="A35" s="1"/>
      <c r="B35" s="13" t="s">
        <v>577</v>
      </c>
      <c r="C35" s="41"/>
      <c r="D35" s="41"/>
      <c r="E35" s="41"/>
      <c r="F35" s="41"/>
      <c r="G35" s="41"/>
      <c r="H35" s="41"/>
      <c r="I35" s="41"/>
      <c r="J35" s="64">
        <v>4.985216</v>
      </c>
      <c r="K35" s="14" t="s">
        <v>578</v>
      </c>
    </row>
    <row r="36" ht="14.624267578125">
      <c r="A36" s="1"/>
      <c r="B36" s="13" t="s">
        <v>579</v>
      </c>
      <c r="C36" s="2"/>
      <c r="D36" s="2"/>
      <c r="E36" s="2"/>
      <c r="F36" s="2"/>
      <c r="G36" s="2"/>
      <c r="H36" s="2"/>
      <c r="I36" s="2"/>
      <c r="J36" s="39">
        <v>16.560897</v>
      </c>
      <c r="K36" s="14" t="s">
        <v>580</v>
      </c>
    </row>
    <row r="37">
      <c r="A37" s="1"/>
      <c r="B37" s="18" t="s">
        <v>581</v>
      </c>
      <c r="C37" s="15"/>
      <c r="D37" s="15"/>
      <c r="E37" s="15"/>
      <c r="F37" s="15"/>
      <c r="G37" s="15"/>
      <c r="H37" s="15"/>
      <c r="I37" s="15"/>
      <c r="J37" s="47">
        <v>5</v>
      </c>
      <c r="K37" s="14" t="s">
        <v>582</v>
      </c>
    </row>
    <row r="38" ht="14.624267578125">
      <c r="A38" s="1"/>
      <c r="B38" s="18" t="s">
        <v>583</v>
      </c>
      <c r="C38" s="2"/>
      <c r="D38" s="2"/>
      <c r="E38" s="2"/>
      <c r="F38" s="2"/>
      <c r="G38" s="2"/>
      <c r="H38" s="2"/>
      <c r="I38" s="2"/>
      <c r="J38" s="26">
        <f>J36/J37</f>
        <v>3.3121794</v>
      </c>
      <c r="K38" s="14"/>
    </row>
    <row r="39" ht="14.624267578125">
      <c r="A39" s="1"/>
      <c r="B39" s="13" t="s">
        <v>584</v>
      </c>
      <c r="C39" s="15"/>
      <c r="D39" s="15"/>
      <c r="E39" s="15"/>
      <c r="F39" s="15"/>
      <c r="G39" s="15"/>
      <c r="H39" s="15"/>
      <c r="I39" s="15"/>
      <c r="J39" s="47">
        <v>8</v>
      </c>
      <c r="K39" s="14" t="s">
        <v>585</v>
      </c>
    </row>
    <row r="40" ht="14.624267578125">
      <c r="A40" s="1"/>
      <c r="B40" s="13" t="s">
        <v>586</v>
      </c>
      <c r="C40" s="31"/>
      <c r="D40" s="31"/>
      <c r="E40" s="31"/>
      <c r="F40" s="31"/>
      <c r="G40" s="31"/>
      <c r="H40" s="31"/>
      <c r="I40" s="31"/>
      <c r="J40" s="42">
        <v>4.62</v>
      </c>
      <c r="K40" s="14" t="s">
        <v>587</v>
      </c>
    </row>
    <row r="41">
      <c r="A41" s="1"/>
      <c r="B41" s="20" t="s">
        <v>588</v>
      </c>
      <c r="C41" s="38"/>
      <c r="D41" s="38"/>
      <c r="E41" s="38"/>
      <c r="F41" s="38"/>
      <c r="G41" s="38"/>
      <c r="H41" s="38"/>
      <c r="I41" s="38"/>
      <c r="J41" s="23">
        <f>J34+J38*J39</f>
        <v>137.69560620000001</v>
      </c>
      <c r="K41" s="14"/>
    </row>
    <row r="42" ht="23.24853515625">
      <c r="A42" s="1"/>
      <c r="B42" s="18" t="s">
        <v>589</v>
      </c>
      <c r="C42" s="2"/>
      <c r="D42" s="2"/>
      <c r="E42" s="2"/>
      <c r="F42" s="2"/>
      <c r="G42" s="2"/>
      <c r="H42" s="2"/>
      <c r="I42" s="2"/>
      <c r="J42" s="26">
        <f>J34*J35+J38*J39*J40</f>
        <v>676.765051863936</v>
      </c>
      <c r="K42" s="14"/>
    </row>
    <row r="43" ht="23.24853515625">
      <c r="A43" s="1"/>
      <c r="B43" s="13" t="s">
        <v>590</v>
      </c>
      <c r="C43" s="2"/>
      <c r="D43" s="2"/>
      <c r="E43" s="2"/>
      <c r="F43" s="2"/>
      <c r="G43" s="2"/>
      <c r="H43" s="2"/>
      <c r="I43" s="2"/>
      <c r="J43" s="39">
        <v>0</v>
      </c>
      <c r="K43" s="14" t="s">
        <v>591</v>
      </c>
    </row>
    <row r="44" ht="23.24853515625">
      <c r="A44" s="1"/>
      <c r="B44" s="13" t="s">
        <v>592</v>
      </c>
      <c r="C44" s="31"/>
      <c r="D44" s="31"/>
      <c r="E44" s="31"/>
      <c r="F44" s="31"/>
      <c r="G44" s="31"/>
      <c r="H44" s="31"/>
      <c r="I44" s="31"/>
      <c r="J44" s="42">
        <v>0.5</v>
      </c>
      <c r="K44" s="14" t="s">
        <v>593</v>
      </c>
    </row>
    <row r="45" ht="14.624267578125">
      <c r="A45" s="1"/>
      <c r="B45" s="18" t="s">
        <v>594</v>
      </c>
      <c r="C45" s="2"/>
      <c r="D45" s="2"/>
      <c r="E45" s="2"/>
      <c r="F45" s="2"/>
      <c r="G45" s="2"/>
      <c r="H45" s="2"/>
      <c r="I45" s="2"/>
      <c r="J45" s="26">
        <f>I31/100*J13</f>
        <v>792.8509796171</v>
      </c>
      <c r="K45" s="14" t="s">
        <v>595</v>
      </c>
    </row>
    <row r="46" ht="14.624267578125">
      <c r="A46" s="1"/>
      <c r="B46" s="46" t="s">
        <v>596</v>
      </c>
      <c r="C46" s="38"/>
      <c r="D46" s="38"/>
      <c r="E46" s="38"/>
      <c r="F46" s="38"/>
      <c r="G46" s="38"/>
      <c r="H46" s="38"/>
      <c r="I46" s="38"/>
      <c r="J46" s="23">
        <f>J13</f>
        <v>13438.1521969</v>
      </c>
      <c r="K46" s="14"/>
    </row>
    <row r="47" ht="23.24853515625">
      <c r="A47" s="1"/>
      <c r="B47" s="46" t="s">
        <v>597</v>
      </c>
      <c r="C47" s="38"/>
      <c r="D47" s="38"/>
      <c r="E47" s="38"/>
      <c r="F47" s="38"/>
      <c r="G47" s="38"/>
      <c r="H47" s="38"/>
      <c r="I47" s="38"/>
      <c r="J47" s="23">
        <f>J25</f>
        <v>13856.910586161746</v>
      </c>
      <c r="K47" s="14"/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dimension ref="A1:K30"/>
  <sheetViews>
    <sheetView showGridLines="0" workbookViewId="0"/>
  </sheetViews>
  <sheetFormatPr defaultColWidth="8.42578125" defaultRowHeight="15"/>
  <cols>
    <col min="1" max="1" width="2" customWidth="1"/>
    <col min="2" max="2" width="52" customWidth="1"/>
    <col min="3" max="3" width="12" customWidth="1"/>
    <col min="4" max="4" width="14" customWidth="1"/>
    <col min="5" max="8" width="12" customWidth="1"/>
    <col min="9" max="9" width="16" customWidth="1"/>
    <col min="10" max="10" width="10" customWidth="1"/>
    <col min="11" max="11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35" t="s">
        <v>49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9" t="s">
        <v>598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3" t="s">
        <v>599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6" t="s">
        <v>3</v>
      </c>
      <c r="C5" s="21" t="s">
        <v>4</v>
      </c>
      <c r="D5" s="6"/>
      <c r="E5" s="6"/>
      <c r="F5" s="6"/>
      <c r="G5" s="6"/>
      <c r="H5" s="6"/>
      <c r="I5" s="6"/>
      <c r="J5" s="6"/>
      <c r="K5" s="6"/>
    </row>
    <row r="6">
      <c r="A6" s="1"/>
      <c r="B6" s="7" t="s">
        <v>5</v>
      </c>
      <c r="C6" s="29">
        <v>46295</v>
      </c>
      <c r="D6" s="7"/>
      <c r="E6" s="7"/>
      <c r="F6" s="7"/>
      <c r="G6" s="7"/>
      <c r="H6" s="7"/>
      <c r="I6" s="7"/>
      <c r="J6" s="7"/>
      <c r="K6" s="7"/>
    </row>
    <row r="7">
      <c r="A7" s="1"/>
      <c r="B7" s="12" t="s">
        <v>6</v>
      </c>
      <c r="C7" s="34">
        <f>C6-EOMONTH(C6,-3)</f>
        <v>92</v>
      </c>
      <c r="D7" s="12"/>
      <c r="E7" s="12"/>
      <c r="F7" s="12"/>
      <c r="G7" s="12"/>
      <c r="H7" s="12"/>
      <c r="I7" s="12"/>
      <c r="J7" s="12"/>
      <c r="K7" s="12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8" t="s">
        <v>26</v>
      </c>
      <c r="C9" s="110" t="s">
        <v>600</v>
      </c>
      <c r="D9" s="8" t="s">
        <v>51</v>
      </c>
      <c r="E9" s="110" t="s">
        <v>601</v>
      </c>
      <c r="F9" s="110" t="s">
        <v>602</v>
      </c>
      <c r="G9" s="110" t="s">
        <v>603</v>
      </c>
      <c r="H9" s="110" t="s">
        <v>604</v>
      </c>
      <c r="I9" s="8" t="s">
        <v>605</v>
      </c>
      <c r="J9" s="8" t="s">
        <v>606</v>
      </c>
      <c r="K9" s="8" t="s">
        <v>43</v>
      </c>
    </row>
    <row r="10">
      <c r="A10" s="1"/>
      <c r="B10" s="1" t="s">
        <v>607</v>
      </c>
      <c r="C10" s="5">
        <v>45777</v>
      </c>
      <c r="D10" s="1" t="s">
        <v>608</v>
      </c>
      <c r="E10" s="24">
        <v>12500</v>
      </c>
      <c r="F10" s="2" t="s">
        <v>64</v>
      </c>
      <c r="G10" s="2">
        <f>IF(ISNUMBER(F10),AVERAGE(E10,F10),E10)</f>
        <v>12500</v>
      </c>
      <c r="H10" s="4">
        <f>'Revenue summary'!G51</f>
        <v>12752</v>
      </c>
      <c r="I10" s="33" t="str">
        <f>IF(ISNUMBER(H10),IF(H10&gt;E10,"Beat",IF(H10=E10,"In line","Miss")),"Pending")</f>
        <v>Beat</v>
      </c>
      <c r="J10" s="1" t="s">
        <v>609</v>
      </c>
      <c r="K10" s="1" t="s">
        <v>610</v>
      </c>
    </row>
    <row r="11">
      <c r="A11" s="1"/>
      <c r="B11" s="1" t="s">
        <v>607</v>
      </c>
      <c r="C11" s="5">
        <v>45952</v>
      </c>
      <c r="D11" s="1" t="s">
        <v>608</v>
      </c>
      <c r="E11" s="24">
        <v>12600</v>
      </c>
      <c r="F11" s="2" t="s">
        <v>64</v>
      </c>
      <c r="G11" s="2">
        <f>IF(ISNUMBER(F11),AVERAGE(E11,F11),E11)</f>
        <v>12600</v>
      </c>
      <c r="H11" s="4">
        <f>'Revenue summary'!G51</f>
        <v>12752</v>
      </c>
      <c r="I11" s="33" t="str">
        <f>IF(ISNUMBER(H11),IF(H11&gt;E11,"Beat",IF(H11=E11,"In line","Miss")),"Pending")</f>
        <v>Beat</v>
      </c>
      <c r="J11" s="1" t="s">
        <v>611</v>
      </c>
      <c r="K11" s="1" t="s">
        <v>612</v>
      </c>
    </row>
    <row r="12">
      <c r="A12" s="1"/>
      <c r="B12" s="1" t="s">
        <v>613</v>
      </c>
      <c r="C12" s="5">
        <v>45952</v>
      </c>
      <c r="D12" s="1" t="s">
        <v>608</v>
      </c>
      <c r="E12" s="24">
        <v>7600</v>
      </c>
      <c r="F12" s="2" t="s">
        <v>64</v>
      </c>
      <c r="G12" s="2">
        <f>IF(ISNUMBER(F12),AVERAGE(E12,F12),E12)</f>
        <v>7600</v>
      </c>
      <c r="H12" s="4">
        <f>'Segment - Barclays UK'!G20</f>
        <v>7653</v>
      </c>
      <c r="I12" s="1" t="str">
        <f>IF(ISNUMBER(H12),IF(H12&gt;E12,"Beat",IF(H12=E12,"In line","Miss")),"Pending")</f>
        <v>Beat</v>
      </c>
      <c r="J12" s="1" t="s">
        <v>614</v>
      </c>
      <c r="K12" s="1" t="s">
        <v>615</v>
      </c>
    </row>
    <row r="13">
      <c r="A13" s="1"/>
      <c r="B13" s="1" t="s">
        <v>616</v>
      </c>
      <c r="C13" s="5">
        <v>45952</v>
      </c>
      <c r="D13" s="1" t="s">
        <v>608</v>
      </c>
      <c r="E13" s="30">
        <v>0.11</v>
      </c>
      <c r="F13" s="10" t="s">
        <v>64</v>
      </c>
      <c r="G13" s="10">
        <f>IF(ISNUMBER(F13),AVERAGE(E13,F13),E13)</f>
        <v>0.11</v>
      </c>
      <c r="H13" s="30">
        <v>0.113</v>
      </c>
      <c r="I13" s="1" t="str">
        <f>IF(ISNUMBER(H13),IF(H13&gt;E13,"Beat",IF(H13=E13,"In line","Miss")),"Pending")</f>
        <v>Beat</v>
      </c>
      <c r="J13" s="1" t="s">
        <v>617</v>
      </c>
      <c r="K13" s="1" t="s">
        <v>618</v>
      </c>
    </row>
    <row r="14">
      <c r="A14" s="1"/>
      <c r="B14" s="1" t="s">
        <v>619</v>
      </c>
      <c r="C14" s="5">
        <v>45777</v>
      </c>
      <c r="D14" s="1" t="s">
        <v>608</v>
      </c>
      <c r="E14" s="30">
        <v>0.61</v>
      </c>
      <c r="F14" s="30">
        <v>0.61</v>
      </c>
      <c r="G14" s="10">
        <f>IF(ISNUMBER(F14),AVERAGE(E14,F14),E14)</f>
        <v>0.61</v>
      </c>
      <c r="H14" s="52">
        <f>'Income Statement'!G79</f>
        <v>0.6089567604667124</v>
      </c>
      <c r="I14" s="33" t="str">
        <f>IF(ISNUMBER(H14),IF(ROUND(H14,2)&lt;G14,"Beat (lower)",IF(ROUND(H14,2)&gt;G14,"Miss","In line")),"Pending")</f>
        <v>In line</v>
      </c>
      <c r="J14" s="1" t="s">
        <v>609</v>
      </c>
      <c r="K14" s="1" t="s">
        <v>620</v>
      </c>
    </row>
    <row r="15" ht="27">
      <c r="A15" s="1"/>
      <c r="B15" s="1" t="s">
        <v>621</v>
      </c>
      <c r="C15" s="5">
        <v>46063</v>
      </c>
      <c r="D15" s="1" t="s">
        <v>622</v>
      </c>
      <c r="E15" s="24">
        <v>31000</v>
      </c>
      <c r="F15" s="24">
        <v>31000</v>
      </c>
      <c r="G15" s="2">
        <f>IF(ISNUMBER(F15),AVERAGE(E15,F15),E15)</f>
        <v>31000</v>
      </c>
      <c r="H15" s="2" t="s">
        <v>623</v>
      </c>
      <c r="I15" s="111" t="str">
        <f>"Pending (superseded)"</f>
        <v>Pending (superseded)</v>
      </c>
      <c r="J15" s="1" t="s">
        <v>624</v>
      </c>
      <c r="K15" s="1" t="s">
        <v>625</v>
      </c>
    </row>
    <row r="16">
      <c r="A16" s="1"/>
      <c r="B16" s="1" t="s">
        <v>621</v>
      </c>
      <c r="C16" s="5">
        <v>46231</v>
      </c>
      <c r="D16" s="1" t="s">
        <v>622</v>
      </c>
      <c r="E16" s="24">
        <v>31500</v>
      </c>
      <c r="F16" s="24">
        <v>31500</v>
      </c>
      <c r="G16" s="2">
        <f>IF(ISNUMBER(F16),AVERAGE(E16,F16),E16)</f>
        <v>31500</v>
      </c>
      <c r="H16" s="2" t="s">
        <v>623</v>
      </c>
      <c r="I16" s="1" t="str">
        <f>IF(ISNUMBER(H16),IF(H16&gt;F16,"Beat",IF(H16&lt;E16,"Miss","In line")),"Pending")</f>
        <v>Pending</v>
      </c>
      <c r="J16" s="1" t="s">
        <v>626</v>
      </c>
      <c r="K16" s="1" t="s">
        <v>627</v>
      </c>
    </row>
    <row r="17">
      <c r="A17" s="1"/>
      <c r="B17" s="1" t="s">
        <v>607</v>
      </c>
      <c r="C17" s="5">
        <v>46063</v>
      </c>
      <c r="D17" s="1" t="s">
        <v>622</v>
      </c>
      <c r="E17" s="24">
        <v>13500</v>
      </c>
      <c r="F17" s="2" t="s">
        <v>64</v>
      </c>
      <c r="G17" s="2">
        <f>IF(ISNUMBER(F17),AVERAGE(E17,F17),E17)</f>
        <v>13500</v>
      </c>
      <c r="H17" s="2" t="s">
        <v>623</v>
      </c>
      <c r="I17" s="1" t="str">
        <f>IF(ISNUMBER(H17),IF(H17&gt;E17,"Beat",IF(H17=E17,"In line","Miss")),"Pending")</f>
        <v>Pending</v>
      </c>
      <c r="J17" s="1" t="s">
        <v>624</v>
      </c>
      <c r="K17" s="1" t="s">
        <v>628</v>
      </c>
    </row>
    <row r="18">
      <c r="A18" s="1"/>
      <c r="B18" s="1" t="s">
        <v>607</v>
      </c>
      <c r="C18" s="5">
        <v>46231</v>
      </c>
      <c r="D18" s="1" t="s">
        <v>622</v>
      </c>
      <c r="E18" s="24">
        <v>13700</v>
      </c>
      <c r="F18" s="2" t="s">
        <v>64</v>
      </c>
      <c r="G18" s="2">
        <f>IF(ISNUMBER(F18),AVERAGE(E18,F18),E18)</f>
        <v>13700</v>
      </c>
      <c r="H18" s="2" t="s">
        <v>623</v>
      </c>
      <c r="I18" s="1" t="str">
        <f>IF(ISNUMBER(H18),IF(H18&gt;E18,"Beat",IF(H18=E18,"In line","Miss")),"Pending")</f>
        <v>Pending</v>
      </c>
      <c r="J18" s="1" t="s">
        <v>626</v>
      </c>
      <c r="K18" s="1" t="s">
        <v>629</v>
      </c>
    </row>
    <row r="19">
      <c r="A19" s="1"/>
      <c r="B19" s="1" t="s">
        <v>630</v>
      </c>
      <c r="C19" s="5">
        <v>46231</v>
      </c>
      <c r="D19" s="1" t="s">
        <v>622</v>
      </c>
      <c r="E19" s="24">
        <v>8100</v>
      </c>
      <c r="F19" s="24">
        <v>8300</v>
      </c>
      <c r="G19" s="2">
        <f>IF(ISNUMBER(F19),AVERAGE(E19,F19),E19)</f>
        <v>8200</v>
      </c>
      <c r="H19" s="2" t="s">
        <v>623</v>
      </c>
      <c r="I19" s="1" t="str">
        <f>IF(ISNUMBER(H19),IF(H19&gt;F19,"Beat",IF(H19&lt;E19,"Miss","In line")),"Pending")</f>
        <v>Pending</v>
      </c>
      <c r="J19" s="1" t="s">
        <v>631</v>
      </c>
      <c r="K19" s="1" t="s">
        <v>632</v>
      </c>
    </row>
    <row r="20">
      <c r="A20" s="1"/>
      <c r="B20" s="1" t="s">
        <v>633</v>
      </c>
      <c r="C20" s="5">
        <v>46231</v>
      </c>
      <c r="D20" s="1" t="s">
        <v>622</v>
      </c>
      <c r="E20" s="30">
        <v>0.57</v>
      </c>
      <c r="F20" s="30">
        <v>0.59</v>
      </c>
      <c r="G20" s="10">
        <f>IF(ISNUMBER(F20),AVERAGE(E20,F20),E20)</f>
        <v>0.58</v>
      </c>
      <c r="H20" s="10" t="s">
        <v>623</v>
      </c>
      <c r="I20" s="1" t="str">
        <f>IF(ISNUMBER(H20),IF(H20&lt;G20,"Beat (lower)",IF(H20&gt;G20,"Miss","In line")),"Pending")</f>
        <v>Pending</v>
      </c>
      <c r="J20" s="1" t="s">
        <v>634</v>
      </c>
      <c r="K20" s="1" t="s">
        <v>635</v>
      </c>
    </row>
    <row r="21">
      <c r="A21" s="1"/>
      <c r="B21" s="1" t="s">
        <v>636</v>
      </c>
      <c r="C21" s="5">
        <v>46231</v>
      </c>
      <c r="D21" s="1" t="s">
        <v>622</v>
      </c>
      <c r="E21" s="49">
        <v>0.005</v>
      </c>
      <c r="F21" s="49">
        <v>0.006</v>
      </c>
      <c r="G21" s="45">
        <f>IF(ISNUMBER(F21),AVERAGE(E21,F21),E21)</f>
        <v>0.0055</v>
      </c>
      <c r="H21" s="45" t="s">
        <v>623</v>
      </c>
      <c r="I21" s="1" t="str">
        <f>IF(ISNUMBER(H21),IF(H21&gt;F21,"Beat",IF(H21&lt;E21,"Miss","In line")),"Pending")</f>
        <v>Pending</v>
      </c>
      <c r="J21" s="1" t="s">
        <v>626</v>
      </c>
      <c r="K21" s="1" t="s">
        <v>637</v>
      </c>
    </row>
    <row r="22">
      <c r="A22" s="1"/>
      <c r="B22" s="1" t="s">
        <v>616</v>
      </c>
      <c r="C22" s="5">
        <v>46231</v>
      </c>
      <c r="D22" s="1" t="s">
        <v>622</v>
      </c>
      <c r="E22" s="30">
        <v>0.12</v>
      </c>
      <c r="F22" s="10" t="s">
        <v>64</v>
      </c>
      <c r="G22" s="10">
        <f>IF(ISNUMBER(F22),AVERAGE(E22,F22),E22)</f>
        <v>0.12</v>
      </c>
      <c r="H22" s="10" t="s">
        <v>623</v>
      </c>
      <c r="I22" s="1" t="str">
        <f>IF(ISNUMBER(H22),IF(H22&gt;E22,"Beat",IF(H22=E22,"In line","Miss")),"Pending")</f>
        <v>Pending</v>
      </c>
      <c r="J22" s="1" t="s">
        <v>626</v>
      </c>
      <c r="K22" s="1" t="s">
        <v>638</v>
      </c>
    </row>
    <row r="23">
      <c r="A23" s="1"/>
      <c r="B23" s="1" t="s">
        <v>639</v>
      </c>
      <c r="C23" s="5">
        <v>46287</v>
      </c>
      <c r="D23" s="1" t="s">
        <v>640</v>
      </c>
      <c r="E23" s="24">
        <v>250</v>
      </c>
      <c r="F23" s="24">
        <v>250</v>
      </c>
      <c r="G23" s="2">
        <f>IF(ISNUMBER(F23),AVERAGE(E23,F23),E23)</f>
        <v>250</v>
      </c>
      <c r="H23" s="2" t="s">
        <v>623</v>
      </c>
      <c r="I23" s="1" t="str">
        <f>"Pending (3Q26)"</f>
        <v>Pending (3Q26)</v>
      </c>
      <c r="J23" s="1" t="s">
        <v>641</v>
      </c>
      <c r="K23" s="1" t="s">
        <v>642</v>
      </c>
    </row>
    <row r="24">
      <c r="A24" s="1"/>
      <c r="B24" s="1" t="s">
        <v>643</v>
      </c>
      <c r="C24" s="5">
        <v>46237</v>
      </c>
      <c r="D24" s="1" t="s">
        <v>644</v>
      </c>
      <c r="E24" s="24">
        <v>100</v>
      </c>
      <c r="F24" s="24">
        <v>150</v>
      </c>
      <c r="G24" s="2">
        <f>IF(ISNUMBER(F24),AVERAGE(E24,F24),E24)</f>
        <v>125</v>
      </c>
      <c r="H24" s="2" t="s">
        <v>623</v>
      </c>
      <c r="I24" s="1" t="str">
        <f>"Pending (H2 26)"</f>
        <v>Pending (H2 26)</v>
      </c>
      <c r="J24" s="1" t="s">
        <v>645</v>
      </c>
      <c r="K24" s="1" t="s">
        <v>646</v>
      </c>
    </row>
    <row r="25" ht="27">
      <c r="A25" s="1"/>
      <c r="B25" s="111" t="s">
        <v>647</v>
      </c>
      <c r="C25" s="5">
        <v>46231</v>
      </c>
      <c r="D25" s="1" t="s">
        <v>648</v>
      </c>
      <c r="E25" s="2" t="s">
        <v>64</v>
      </c>
      <c r="F25" s="2" t="s">
        <v>64</v>
      </c>
      <c r="G25" s="4">
        <f>(G16-'Income Statement'!H16-'Income Statement'!I16)/2</f>
        <v>7499.5</v>
      </c>
      <c r="H25" s="2" t="s">
        <v>623</v>
      </c>
      <c r="I25" s="1" t="str">
        <f>"Pending (3Q26)"</f>
        <v>Pending (3Q26)</v>
      </c>
      <c r="J25" s="1" t="s">
        <v>649</v>
      </c>
      <c r="K25" s="1" t="s">
        <v>650</v>
      </c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>
      <c r="A27" s="1"/>
      <c r="B27" s="3" t="s">
        <v>651</v>
      </c>
      <c r="C27" s="3"/>
      <c r="D27" s="3"/>
      <c r="E27" s="3"/>
      <c r="F27" s="3"/>
      <c r="G27" s="3"/>
      <c r="H27" s="3"/>
      <c r="I27" s="3"/>
      <c r="J27" s="3"/>
      <c r="K27" s="3"/>
    </row>
    <row r="29">
      <c r="B29" s="109" t="s">
        <v>652</v>
      </c>
      <c r="C29" s="109"/>
      <c r="D29" s="109"/>
      <c r="E29" s="109"/>
      <c r="F29" s="109"/>
      <c r="G29" s="120">
        <f>-('Segment - Barclays UK'!J47+'Segment - UK Corporate Bank'!J47+'Segment - Private Bank &amp; WM'!J36+'Segment - Investment Bank'!J95+'Segment - US Consumer Bank'!J43+'Segment - Head Office'!J23)</f>
        <v>245</v>
      </c>
      <c r="H29" s="109"/>
      <c r="I29" s="109"/>
      <c r="J29" s="109"/>
      <c r="K29" s="109" t="s">
        <v>653</v>
      </c>
    </row>
    <row r="30">
      <c r="B30" s="109" t="s">
        <v>654</v>
      </c>
      <c r="C30" s="109"/>
      <c r="D30" s="109"/>
      <c r="E30" s="109"/>
      <c r="F30" s="109"/>
      <c r="G30" s="117">
        <f>G23-G29</f>
        <v>5</v>
      </c>
      <c r="H30" s="109"/>
      <c r="I30" s="109"/>
      <c r="J30" s="109"/>
      <c r="K30" s="109" t="s">
        <v>655</v>
      </c>
    </row>
  </sheetData>
</worksheet>
</file>

<file path=xl/worksheets/sheet14.xml><?xml version="1.0" encoding="utf-8"?>
<worksheet xmlns="http://schemas.openxmlformats.org/spreadsheetml/2006/main" xmlns:r="http://schemas.openxmlformats.org/officeDocument/2006/relationships">
  <dimension ref="A1:K52"/>
  <sheetViews>
    <sheetView showGridLines="0" workbookViewId="0"/>
  </sheetViews>
  <sheetFormatPr defaultColWidth="8.42578125" defaultRowHeight="15"/>
  <cols>
    <col min="1" max="1" width="2" customWidth="1"/>
    <col min="2" max="2" width="16" customWidth="1"/>
    <col min="3" max="3" width="12" customWidth="1"/>
    <col min="4" max="4" width="34" customWidth="1"/>
    <col min="5" max="6" width="70" customWidth="1"/>
    <col min="7" max="11" width="12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35" t="s">
        <v>49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9" t="s">
        <v>656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3" t="s">
        <v>657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6" t="s">
        <v>3</v>
      </c>
      <c r="C5" s="21" t="s">
        <v>4</v>
      </c>
      <c r="D5" s="6"/>
      <c r="E5" s="6"/>
      <c r="F5" s="6"/>
      <c r="G5" s="6"/>
      <c r="H5" s="6"/>
      <c r="I5" s="6"/>
      <c r="J5" s="6"/>
      <c r="K5" s="6"/>
    </row>
    <row r="6">
      <c r="A6" s="1"/>
      <c r="B6" s="7" t="s">
        <v>5</v>
      </c>
      <c r="C6" s="29">
        <v>46295</v>
      </c>
      <c r="D6" s="7"/>
      <c r="E6" s="7"/>
      <c r="F6" s="7"/>
      <c r="G6" s="7"/>
      <c r="H6" s="7"/>
      <c r="I6" s="7"/>
      <c r="J6" s="7"/>
      <c r="K6" s="7"/>
    </row>
    <row r="7">
      <c r="A7" s="1"/>
      <c r="B7" s="12" t="s">
        <v>6</v>
      </c>
      <c r="C7" s="34">
        <f>C6-EOMONTH(C6,-3)</f>
        <v>92</v>
      </c>
      <c r="D7" s="12"/>
      <c r="E7" s="12"/>
      <c r="F7" s="12"/>
      <c r="G7" s="12"/>
      <c r="H7" s="12"/>
      <c r="I7" s="12"/>
      <c r="J7" s="12"/>
      <c r="K7" s="12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8" t="s">
        <v>658</v>
      </c>
      <c r="C9" s="110" t="s">
        <v>659</v>
      </c>
      <c r="D9" s="8" t="s">
        <v>660</v>
      </c>
      <c r="E9" s="8" t="s">
        <v>661</v>
      </c>
      <c r="F9" s="8" t="s">
        <v>662</v>
      </c>
      <c r="G9" s="110" t="s">
        <v>663</v>
      </c>
      <c r="H9" s="8"/>
      <c r="I9" s="8"/>
      <c r="J9" s="8"/>
      <c r="K9" s="8"/>
    </row>
    <row r="10">
      <c r="A10" s="1"/>
      <c r="B10" s="1" t="s">
        <v>664</v>
      </c>
      <c r="C10" s="5">
        <v>46313</v>
      </c>
      <c r="D10" s="1" t="s">
        <v>665</v>
      </c>
      <c r="E10" s="111" t="s">
        <v>666</v>
      </c>
      <c r="F10" s="111" t="s">
        <v>667</v>
      </c>
      <c r="G10" s="5">
        <v>46314</v>
      </c>
      <c r="H10" s="1"/>
      <c r="I10" s="1"/>
      <c r="J10" s="1"/>
      <c r="K10" s="1"/>
    </row>
    <row r="11">
      <c r="A11" s="1"/>
      <c r="B11" s="1" t="s">
        <v>668</v>
      </c>
      <c r="C11" s="5">
        <v>46313</v>
      </c>
      <c r="D11" s="1" t="s">
        <v>665</v>
      </c>
      <c r="E11" s="111" t="s">
        <v>669</v>
      </c>
      <c r="F11" s="111" t="s">
        <v>670</v>
      </c>
      <c r="G11" s="5">
        <v>46314</v>
      </c>
      <c r="H11" s="1"/>
      <c r="I11" s="1"/>
      <c r="J11" s="1"/>
      <c r="K11" s="1"/>
    </row>
    <row r="12" ht="27">
      <c r="A12" s="1"/>
      <c r="B12" s="1" t="s">
        <v>369</v>
      </c>
      <c r="C12" s="5">
        <v>46231</v>
      </c>
      <c r="D12" s="1" t="s">
        <v>671</v>
      </c>
      <c r="E12" s="111" t="s">
        <v>672</v>
      </c>
      <c r="F12" s="111" t="s">
        <v>673</v>
      </c>
      <c r="G12" s="5">
        <v>46314</v>
      </c>
      <c r="H12" s="1"/>
      <c r="I12" s="1"/>
      <c r="J12" s="1"/>
      <c r="K12" s="1"/>
    </row>
    <row r="13" ht="27">
      <c r="A13" s="1"/>
      <c r="B13" s="1" t="s">
        <v>626</v>
      </c>
      <c r="C13" s="5">
        <v>46231</v>
      </c>
      <c r="D13" s="1" t="s">
        <v>8</v>
      </c>
      <c r="E13" s="111" t="s">
        <v>674</v>
      </c>
      <c r="F13" s="111" t="s">
        <v>675</v>
      </c>
      <c r="G13" s="5">
        <v>46314</v>
      </c>
      <c r="H13" s="1"/>
      <c r="I13" s="1"/>
      <c r="J13" s="1"/>
      <c r="K13" s="1"/>
    </row>
    <row r="14" ht="27">
      <c r="A14" s="1"/>
      <c r="B14" s="1" t="s">
        <v>676</v>
      </c>
      <c r="C14" s="5">
        <v>46140</v>
      </c>
      <c r="D14" s="1" t="s">
        <v>671</v>
      </c>
      <c r="E14" s="111" t="s">
        <v>677</v>
      </c>
      <c r="F14" s="111" t="s">
        <v>678</v>
      </c>
      <c r="G14" s="5">
        <v>46314</v>
      </c>
      <c r="H14" s="1"/>
      <c r="I14" s="1"/>
      <c r="J14" s="1"/>
      <c r="K14" s="1"/>
    </row>
    <row r="15" ht="27">
      <c r="A15" s="1"/>
      <c r="B15" s="1" t="s">
        <v>624</v>
      </c>
      <c r="C15" s="5">
        <v>46063</v>
      </c>
      <c r="D15" s="1" t="s">
        <v>8</v>
      </c>
      <c r="E15" s="111" t="s">
        <v>679</v>
      </c>
      <c r="F15" s="111" t="s">
        <v>680</v>
      </c>
      <c r="G15" s="5">
        <v>46314</v>
      </c>
      <c r="H15" s="1"/>
      <c r="I15" s="1"/>
      <c r="J15" s="1"/>
      <c r="K15" s="1"/>
    </row>
    <row r="16" ht="27">
      <c r="A16" s="1"/>
      <c r="B16" s="1" t="s">
        <v>611</v>
      </c>
      <c r="C16" s="5">
        <v>45952</v>
      </c>
      <c r="D16" s="1" t="s">
        <v>671</v>
      </c>
      <c r="E16" s="111" t="s">
        <v>681</v>
      </c>
      <c r="F16" s="111" t="s">
        <v>682</v>
      </c>
      <c r="G16" s="5">
        <v>46314</v>
      </c>
      <c r="H16" s="1"/>
      <c r="I16" s="1"/>
      <c r="J16" s="1"/>
      <c r="K16" s="1"/>
    </row>
    <row r="17" ht="27">
      <c r="A17" s="1"/>
      <c r="B17" s="1" t="s">
        <v>683</v>
      </c>
      <c r="C17" s="5">
        <v>45867</v>
      </c>
      <c r="D17" s="1" t="s">
        <v>8</v>
      </c>
      <c r="E17" s="111" t="s">
        <v>684</v>
      </c>
      <c r="F17" s="111" t="s">
        <v>685</v>
      </c>
      <c r="G17" s="5">
        <v>46314</v>
      </c>
      <c r="H17" s="1"/>
      <c r="I17" s="1"/>
      <c r="J17" s="1"/>
      <c r="K17" s="1"/>
    </row>
    <row r="18" ht="27">
      <c r="A18" s="1"/>
      <c r="B18" s="1" t="s">
        <v>609</v>
      </c>
      <c r="C18" s="5">
        <v>45777</v>
      </c>
      <c r="D18" s="1" t="s">
        <v>8</v>
      </c>
      <c r="E18" s="111" t="s">
        <v>686</v>
      </c>
      <c r="F18" s="111" t="s">
        <v>687</v>
      </c>
      <c r="G18" s="5">
        <v>46314</v>
      </c>
      <c r="H18" s="1"/>
      <c r="I18" s="1"/>
      <c r="J18" s="1"/>
      <c r="K18" s="1"/>
    </row>
    <row r="19" ht="27">
      <c r="A19" s="1"/>
      <c r="B19" s="1" t="s">
        <v>645</v>
      </c>
      <c r="C19" s="5">
        <v>46237</v>
      </c>
      <c r="D19" s="1" t="s">
        <v>8</v>
      </c>
      <c r="E19" s="111" t="s">
        <v>688</v>
      </c>
      <c r="F19" s="111" t="s">
        <v>689</v>
      </c>
      <c r="G19" s="5">
        <v>46314</v>
      </c>
      <c r="H19" s="1"/>
      <c r="I19" s="1"/>
      <c r="J19" s="1"/>
      <c r="K19" s="1"/>
    </row>
    <row r="20" ht="39">
      <c r="A20" s="1"/>
      <c r="B20" s="1" t="s">
        <v>690</v>
      </c>
      <c r="C20" s="5">
        <v>46279</v>
      </c>
      <c r="D20" s="1" t="s">
        <v>8</v>
      </c>
      <c r="E20" s="111" t="s">
        <v>691</v>
      </c>
      <c r="F20" s="111" t="s">
        <v>692</v>
      </c>
      <c r="G20" s="5">
        <v>46314</v>
      </c>
      <c r="H20" s="1"/>
      <c r="I20" s="1"/>
      <c r="J20" s="1"/>
      <c r="K20" s="1"/>
    </row>
    <row r="21" ht="39">
      <c r="A21" s="1"/>
      <c r="B21" s="1" t="s">
        <v>693</v>
      </c>
      <c r="C21" s="5">
        <v>46287</v>
      </c>
      <c r="D21" s="1" t="s">
        <v>8</v>
      </c>
      <c r="E21" s="111" t="s">
        <v>694</v>
      </c>
      <c r="F21" s="111" t="s">
        <v>695</v>
      </c>
      <c r="G21" s="5">
        <v>46314</v>
      </c>
      <c r="H21" s="1"/>
      <c r="I21" s="1"/>
      <c r="J21" s="1"/>
      <c r="K21" s="1"/>
    </row>
    <row r="22" ht="27">
      <c r="A22" s="1"/>
      <c r="B22" s="1" t="s">
        <v>696</v>
      </c>
      <c r="C22" s="5">
        <v>46220</v>
      </c>
      <c r="D22" s="1" t="s">
        <v>697</v>
      </c>
      <c r="E22" s="111" t="s">
        <v>698</v>
      </c>
      <c r="F22" s="111" t="s">
        <v>699</v>
      </c>
      <c r="G22" s="5">
        <v>46314</v>
      </c>
      <c r="H22" s="1"/>
      <c r="I22" s="1"/>
      <c r="J22" s="1"/>
      <c r="K22" s="1"/>
    </row>
    <row r="23" ht="27">
      <c r="A23" s="1"/>
      <c r="B23" s="1" t="s">
        <v>700</v>
      </c>
      <c r="C23" s="5">
        <v>45940</v>
      </c>
      <c r="D23" s="1" t="s">
        <v>697</v>
      </c>
      <c r="E23" s="111" t="s">
        <v>701</v>
      </c>
      <c r="F23" s="111" t="s">
        <v>702</v>
      </c>
      <c r="G23" s="5">
        <v>46314</v>
      </c>
      <c r="H23" s="1"/>
      <c r="I23" s="1"/>
      <c r="J23" s="1"/>
      <c r="K23" s="1"/>
    </row>
    <row r="24" ht="27">
      <c r="A24" s="1"/>
      <c r="B24" s="1" t="s">
        <v>703</v>
      </c>
      <c r="C24" s="5">
        <v>46311</v>
      </c>
      <c r="D24" s="1" t="s">
        <v>704</v>
      </c>
      <c r="E24" s="111" t="s">
        <v>705</v>
      </c>
      <c r="F24" s="111" t="s">
        <v>706</v>
      </c>
      <c r="G24" s="5">
        <v>46314</v>
      </c>
      <c r="H24" s="1"/>
      <c r="I24" s="1"/>
      <c r="J24" s="1"/>
      <c r="K24" s="1"/>
    </row>
    <row r="25" ht="27">
      <c r="A25" s="1"/>
      <c r="B25" s="1" t="s">
        <v>246</v>
      </c>
      <c r="C25" s="5">
        <v>46308</v>
      </c>
      <c r="D25" s="1" t="s">
        <v>707</v>
      </c>
      <c r="E25" s="111" t="s">
        <v>708</v>
      </c>
      <c r="F25" s="111" t="s">
        <v>709</v>
      </c>
      <c r="G25" s="5">
        <v>46314</v>
      </c>
      <c r="H25" s="1"/>
      <c r="I25" s="1"/>
      <c r="J25" s="1"/>
      <c r="K25" s="1"/>
    </row>
    <row r="26" ht="27">
      <c r="A26" s="1"/>
      <c r="B26" s="1" t="s">
        <v>248</v>
      </c>
      <c r="C26" s="5">
        <v>46308</v>
      </c>
      <c r="D26" s="1" t="s">
        <v>710</v>
      </c>
      <c r="E26" s="111" t="s">
        <v>711</v>
      </c>
      <c r="F26" s="111" t="s">
        <v>712</v>
      </c>
      <c r="G26" s="5">
        <v>46314</v>
      </c>
      <c r="H26" s="1"/>
      <c r="I26" s="1"/>
      <c r="J26" s="1"/>
      <c r="K26" s="1"/>
    </row>
    <row r="27" ht="27">
      <c r="A27" s="1"/>
      <c r="B27" s="1" t="s">
        <v>250</v>
      </c>
      <c r="C27" s="5">
        <v>46309</v>
      </c>
      <c r="D27" s="1" t="s">
        <v>713</v>
      </c>
      <c r="E27" s="111" t="s">
        <v>714</v>
      </c>
      <c r="F27" s="111" t="s">
        <v>715</v>
      </c>
      <c r="G27" s="5">
        <v>46314</v>
      </c>
      <c r="H27" s="1"/>
      <c r="I27" s="1"/>
      <c r="J27" s="1"/>
      <c r="K27" s="1"/>
    </row>
    <row r="28" ht="27">
      <c r="A28" s="1"/>
      <c r="B28" s="1" t="s">
        <v>252</v>
      </c>
      <c r="C28" s="5">
        <v>46308</v>
      </c>
      <c r="D28" s="1" t="s">
        <v>716</v>
      </c>
      <c r="E28" s="111" t="s">
        <v>717</v>
      </c>
      <c r="F28" s="111" t="s">
        <v>718</v>
      </c>
      <c r="G28" s="5">
        <v>46314</v>
      </c>
      <c r="H28" s="1"/>
      <c r="I28" s="1"/>
      <c r="J28" s="1"/>
      <c r="K28" s="1"/>
    </row>
    <row r="29" ht="27">
      <c r="A29" s="1"/>
      <c r="B29" s="1" t="s">
        <v>254</v>
      </c>
      <c r="C29" s="5">
        <v>46309</v>
      </c>
      <c r="D29" s="1" t="s">
        <v>719</v>
      </c>
      <c r="E29" s="111" t="s">
        <v>720</v>
      </c>
      <c r="F29" s="111" t="s">
        <v>721</v>
      </c>
      <c r="G29" s="5">
        <v>46314</v>
      </c>
      <c r="H29" s="1"/>
      <c r="I29" s="1"/>
      <c r="J29" s="1"/>
      <c r="K29" s="1"/>
    </row>
    <row r="30" ht="27">
      <c r="A30" s="1"/>
      <c r="B30" s="1" t="s">
        <v>722</v>
      </c>
      <c r="C30" s="5">
        <v>46309</v>
      </c>
      <c r="D30" s="1" t="s">
        <v>723</v>
      </c>
      <c r="E30" s="111" t="s">
        <v>714</v>
      </c>
      <c r="F30" s="111" t="s">
        <v>724</v>
      </c>
      <c r="G30" s="5">
        <v>46314</v>
      </c>
      <c r="H30" s="1"/>
      <c r="I30" s="1"/>
      <c r="J30" s="1"/>
      <c r="K30" s="1"/>
    </row>
    <row r="31" ht="27">
      <c r="A31" s="1"/>
      <c r="B31" s="1" t="s">
        <v>725</v>
      </c>
      <c r="C31" s="5">
        <v>46311</v>
      </c>
      <c r="D31" s="1" t="s">
        <v>726</v>
      </c>
      <c r="E31" s="111" t="s">
        <v>727</v>
      </c>
      <c r="F31" s="111" t="s">
        <v>728</v>
      </c>
      <c r="G31" s="5">
        <v>46314</v>
      </c>
      <c r="H31" s="1"/>
      <c r="I31" s="1"/>
      <c r="J31" s="1"/>
      <c r="K31" s="1"/>
    </row>
    <row r="32" ht="27">
      <c r="A32" s="1"/>
      <c r="B32" s="1" t="s">
        <v>729</v>
      </c>
      <c r="C32" s="61" t="s">
        <v>730</v>
      </c>
      <c r="D32" s="1" t="s">
        <v>731</v>
      </c>
      <c r="E32" s="111" t="s">
        <v>732</v>
      </c>
      <c r="F32" s="111" t="s">
        <v>733</v>
      </c>
      <c r="G32" s="5">
        <v>46314</v>
      </c>
      <c r="H32" s="1"/>
      <c r="I32" s="1"/>
      <c r="J32" s="1"/>
      <c r="K32" s="1"/>
    </row>
    <row r="33" ht="27">
      <c r="A33" s="1"/>
      <c r="B33" s="1" t="s">
        <v>734</v>
      </c>
      <c r="C33" s="5">
        <v>46282</v>
      </c>
      <c r="D33" s="1" t="s">
        <v>735</v>
      </c>
      <c r="E33" s="111" t="s">
        <v>736</v>
      </c>
      <c r="F33" s="111" t="s">
        <v>737</v>
      </c>
      <c r="G33" s="5">
        <v>46314</v>
      </c>
      <c r="H33" s="1"/>
      <c r="I33" s="1"/>
      <c r="J33" s="1"/>
      <c r="K33" s="1"/>
    </row>
    <row r="34" ht="27">
      <c r="A34" s="1"/>
      <c r="B34" s="1" t="s">
        <v>580</v>
      </c>
      <c r="C34" s="5">
        <v>46286</v>
      </c>
      <c r="D34" s="1" t="s">
        <v>738</v>
      </c>
      <c r="E34" s="111" t="s">
        <v>739</v>
      </c>
      <c r="F34" s="111" t="s">
        <v>740</v>
      </c>
      <c r="G34" s="5">
        <v>46314</v>
      </c>
      <c r="H34" s="1"/>
      <c r="I34" s="1"/>
      <c r="J34" s="1"/>
      <c r="K34" s="1"/>
    </row>
    <row r="35">
      <c r="A35" s="1"/>
      <c r="B35" s="1" t="s">
        <v>741</v>
      </c>
      <c r="C35" s="5">
        <v>46313</v>
      </c>
      <c r="D35" s="1" t="s">
        <v>742</v>
      </c>
      <c r="E35" s="111" t="s">
        <v>743</v>
      </c>
      <c r="F35" s="111" t="s">
        <v>744</v>
      </c>
      <c r="G35" s="5">
        <v>46314</v>
      </c>
      <c r="H35" s="1"/>
      <c r="I35" s="1"/>
      <c r="J35" s="1"/>
      <c r="K35" s="1"/>
    </row>
    <row r="36" ht="27">
      <c r="A36" s="1"/>
      <c r="B36" s="1" t="s">
        <v>745</v>
      </c>
      <c r="C36" s="61" t="s">
        <v>730</v>
      </c>
      <c r="D36" s="1" t="s">
        <v>746</v>
      </c>
      <c r="E36" s="111" t="s">
        <v>747</v>
      </c>
      <c r="F36" s="111" t="s">
        <v>748</v>
      </c>
      <c r="G36" s="5">
        <v>46314</v>
      </c>
      <c r="H36" s="1"/>
      <c r="I36" s="1"/>
      <c r="J36" s="1"/>
      <c r="K36" s="1"/>
    </row>
    <row r="37" ht="27">
      <c r="A37" s="1"/>
      <c r="B37" s="1" t="s">
        <v>749</v>
      </c>
      <c r="C37" s="61" t="s">
        <v>730</v>
      </c>
      <c r="D37" s="1" t="s">
        <v>8</v>
      </c>
      <c r="E37" s="111" t="s">
        <v>750</v>
      </c>
      <c r="F37" s="111" t="s">
        <v>751</v>
      </c>
      <c r="G37" s="5">
        <v>46314</v>
      </c>
      <c r="H37" s="1"/>
      <c r="I37" s="1"/>
      <c r="J37" s="1"/>
      <c r="K37" s="1"/>
    </row>
    <row r="38" ht="27">
      <c r="A38" s="1"/>
      <c r="B38" s="1" t="s">
        <v>752</v>
      </c>
      <c r="C38" s="5">
        <v>46231</v>
      </c>
      <c r="D38" s="1" t="s">
        <v>753</v>
      </c>
      <c r="E38" s="111" t="s">
        <v>754</v>
      </c>
      <c r="F38" s="111" t="s">
        <v>755</v>
      </c>
      <c r="G38" s="5">
        <v>46314</v>
      </c>
      <c r="H38" s="1"/>
      <c r="I38" s="1"/>
      <c r="J38" s="1"/>
      <c r="K38" s="1"/>
    </row>
    <row r="39" ht="27">
      <c r="A39" s="1"/>
      <c r="B39" s="1" t="s">
        <v>756</v>
      </c>
      <c r="C39" s="5">
        <v>46309</v>
      </c>
      <c r="D39" s="1" t="s">
        <v>757</v>
      </c>
      <c r="E39" s="111" t="s">
        <v>758</v>
      </c>
      <c r="F39" s="111" t="s">
        <v>759</v>
      </c>
      <c r="G39" s="5">
        <v>46314</v>
      </c>
      <c r="H39" s="1"/>
      <c r="I39" s="1"/>
      <c r="J39" s="1"/>
      <c r="K39" s="1"/>
    </row>
    <row r="40" ht="27">
      <c r="A40" s="1"/>
      <c r="B40" s="1" t="s">
        <v>760</v>
      </c>
      <c r="C40" s="5">
        <v>46311</v>
      </c>
      <c r="D40" s="1" t="s">
        <v>761</v>
      </c>
      <c r="E40" s="111" t="s">
        <v>762</v>
      </c>
      <c r="F40" s="111" t="s">
        <v>763</v>
      </c>
      <c r="G40" s="5">
        <v>46314</v>
      </c>
      <c r="H40" s="1"/>
      <c r="I40" s="1"/>
      <c r="J40" s="1"/>
      <c r="K40" s="1"/>
    </row>
    <row r="41" ht="27">
      <c r="A41" s="1"/>
      <c r="B41" s="1" t="s">
        <v>764</v>
      </c>
      <c r="C41" s="5">
        <v>46287</v>
      </c>
      <c r="D41" s="1" t="s">
        <v>765</v>
      </c>
      <c r="E41" s="111" t="s">
        <v>766</v>
      </c>
      <c r="F41" s="111" t="s">
        <v>767</v>
      </c>
      <c r="G41" s="5">
        <v>46314</v>
      </c>
      <c r="H41" s="1"/>
      <c r="I41" s="1"/>
      <c r="J41" s="1"/>
      <c r="K41" s="1"/>
    </row>
    <row r="42" ht="27">
      <c r="A42" s="1"/>
      <c r="B42" s="1" t="s">
        <v>768</v>
      </c>
      <c r="C42" s="5">
        <v>46306</v>
      </c>
      <c r="D42" s="1" t="s">
        <v>769</v>
      </c>
      <c r="E42" s="111" t="s">
        <v>770</v>
      </c>
      <c r="F42" s="111" t="s">
        <v>771</v>
      </c>
      <c r="G42" s="5">
        <v>46314</v>
      </c>
      <c r="H42" s="1"/>
      <c r="I42" s="1"/>
      <c r="J42" s="1"/>
      <c r="K42" s="1"/>
    </row>
    <row r="43" ht="27">
      <c r="A43" s="1"/>
      <c r="B43" s="1" t="s">
        <v>530</v>
      </c>
      <c r="C43" s="5">
        <v>46063</v>
      </c>
      <c r="D43" s="1" t="s">
        <v>772</v>
      </c>
      <c r="E43" s="111" t="s">
        <v>773</v>
      </c>
      <c r="F43" s="111" t="s">
        <v>774</v>
      </c>
      <c r="G43" s="5">
        <v>46314</v>
      </c>
      <c r="H43" s="1"/>
      <c r="I43" s="1"/>
      <c r="J43" s="1"/>
      <c r="K43" s="1"/>
    </row>
    <row r="44">
      <c r="A44" s="1"/>
      <c r="B44" s="131" t="s">
        <v>775</v>
      </c>
      <c r="C44" s="127">
        <v>46283</v>
      </c>
      <c r="D44" s="131" t="s">
        <v>776</v>
      </c>
      <c r="E44" s="128" t="s">
        <v>777</v>
      </c>
      <c r="F44" s="128" t="s">
        <v>778</v>
      </c>
      <c r="G44" s="127">
        <v>46314</v>
      </c>
      <c r="H44" s="1"/>
      <c r="I44" s="1"/>
      <c r="J44" s="1"/>
      <c r="K44" s="1"/>
    </row>
    <row r="45">
      <c r="A45" s="1"/>
      <c r="B45" s="1" t="s">
        <v>779</v>
      </c>
      <c r="C45" s="61" t="s">
        <v>730</v>
      </c>
      <c r="D45" s="1" t="s">
        <v>780</v>
      </c>
      <c r="E45" s="111" t="s">
        <v>781</v>
      </c>
      <c r="F45" s="111" t="s">
        <v>782</v>
      </c>
      <c r="G45" s="5">
        <v>46314</v>
      </c>
      <c r="H45" s="1"/>
      <c r="I45" s="1"/>
      <c r="J45" s="1"/>
      <c r="K45" s="1"/>
    </row>
    <row r="46" ht="27">
      <c r="A46" s="1"/>
      <c r="B46" s="1" t="s">
        <v>783</v>
      </c>
      <c r="C46" s="5">
        <v>46314</v>
      </c>
      <c r="D46" s="1" t="s">
        <v>784</v>
      </c>
      <c r="E46" s="111" t="s">
        <v>785</v>
      </c>
      <c r="F46" s="111" t="s">
        <v>786</v>
      </c>
      <c r="G46" s="5">
        <v>46314</v>
      </c>
      <c r="H46" s="1"/>
      <c r="I46" s="1"/>
      <c r="J46" s="1"/>
      <c r="K46" s="1"/>
    </row>
    <row r="47" ht="27">
      <c r="A47" s="1"/>
      <c r="B47" s="1" t="s">
        <v>787</v>
      </c>
      <c r="C47" s="5">
        <v>46314</v>
      </c>
      <c r="D47" s="1" t="s">
        <v>788</v>
      </c>
      <c r="E47" s="111" t="s">
        <v>789</v>
      </c>
      <c r="F47" s="111" t="s">
        <v>786</v>
      </c>
      <c r="G47" s="5">
        <v>46314</v>
      </c>
      <c r="H47" s="1"/>
      <c r="I47" s="1"/>
      <c r="J47" s="1"/>
      <c r="K47" s="1"/>
    </row>
    <row r="48">
      <c r="A48" s="1"/>
      <c r="C48" s="130"/>
      <c r="D48" s="130"/>
      <c r="E48" s="130"/>
      <c r="F48" s="130"/>
      <c r="G48" s="130"/>
      <c r="H48" s="3"/>
      <c r="I48" s="3"/>
      <c r="J48" s="3"/>
      <c r="K48" s="3"/>
    </row>
    <row r="49">
      <c r="A49" s="1"/>
      <c r="B49" s="3" t="s">
        <v>790</v>
      </c>
      <c r="C49" s="3"/>
      <c r="D49" s="3"/>
      <c r="E49" s="3"/>
      <c r="F49" s="3"/>
      <c r="G49" s="3"/>
      <c r="H49" s="3"/>
      <c r="I49" s="3"/>
      <c r="J49" s="3"/>
      <c r="K49" s="3"/>
    </row>
    <row r="50">
      <c r="A50" s="1"/>
      <c r="B50" s="3" t="s">
        <v>791</v>
      </c>
      <c r="C50" s="3"/>
      <c r="D50" s="3"/>
      <c r="E50" s="3"/>
      <c r="F50" s="3"/>
      <c r="G50" s="3"/>
      <c r="H50" s="3"/>
      <c r="I50" s="3"/>
      <c r="J50" s="3"/>
      <c r="K50" s="3"/>
    </row>
    <row r="51">
      <c r="B51" s="3" t="s">
        <v>792</v>
      </c>
      <c r="C51" s="129"/>
      <c r="D51" s="129"/>
      <c r="E51" s="129"/>
      <c r="F51" s="129"/>
      <c r="G51" s="129"/>
    </row>
    <row r="52">
      <c r="B52" s="121" t="s">
        <v>793</v>
      </c>
    </row>
  </sheetData>
</worksheet>
</file>

<file path=xl/worksheets/sheet15.xml><?xml version="1.0" encoding="utf-8"?>
<worksheet xmlns="http://schemas.openxmlformats.org/spreadsheetml/2006/main" xmlns:r="http://schemas.openxmlformats.org/officeDocument/2006/relationships">
  <dimension ref="A1:K132"/>
  <sheetViews>
    <sheetView showGridLines="0" workbookViewId="0"/>
  </sheetViews>
  <sheetFormatPr defaultColWidth="8.42578125" defaultRowHeight="15"/>
  <cols>
    <col min="1" max="1" width="2" customWidth="1"/>
    <col min="2" max="3" width="44" customWidth="1"/>
    <col min="4" max="9" width="14" customWidth="1"/>
    <col min="10" max="10" width="16" customWidth="1"/>
    <col min="11" max="11" width="5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35" t="s">
        <v>49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9" t="s">
        <v>794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3" t="s">
        <v>795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6" t="s">
        <v>3</v>
      </c>
      <c r="C5" s="21" t="s">
        <v>4</v>
      </c>
      <c r="D5" s="6"/>
      <c r="E5" s="6"/>
      <c r="F5" s="6"/>
      <c r="G5" s="6"/>
      <c r="H5" s="6"/>
      <c r="I5" s="6"/>
      <c r="J5" s="6"/>
      <c r="K5" s="6"/>
    </row>
    <row r="6">
      <c r="A6" s="1"/>
      <c r="B6" s="7" t="s">
        <v>5</v>
      </c>
      <c r="C6" s="29">
        <v>46295</v>
      </c>
      <c r="D6" s="7"/>
      <c r="E6" s="7"/>
      <c r="F6" s="7"/>
      <c r="G6" s="7"/>
      <c r="H6" s="7"/>
      <c r="I6" s="7"/>
      <c r="J6" s="7"/>
      <c r="K6" s="7"/>
    </row>
    <row r="7">
      <c r="A7" s="1"/>
      <c r="B7" s="12" t="s">
        <v>6</v>
      </c>
      <c r="C7" s="34">
        <f>C6-EOMONTH(C6,-3)</f>
        <v>92</v>
      </c>
      <c r="D7" s="12"/>
      <c r="E7" s="12"/>
      <c r="F7" s="12"/>
      <c r="G7" s="12"/>
      <c r="H7" s="12"/>
      <c r="I7" s="12"/>
      <c r="J7" s="12"/>
      <c r="K7" s="12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9" t="s">
        <v>796</v>
      </c>
      <c r="C9" s="9"/>
      <c r="D9" s="9"/>
      <c r="E9" s="9"/>
      <c r="F9" s="9"/>
      <c r="G9" s="9"/>
      <c r="H9" s="9"/>
      <c r="I9" s="9"/>
      <c r="J9" s="9"/>
      <c r="K9" s="9"/>
    </row>
    <row r="10">
      <c r="A10" s="1"/>
      <c r="B10" s="9" t="s">
        <v>797</v>
      </c>
      <c r="C10" s="9" t="s">
        <v>798</v>
      </c>
      <c r="D10" s="123" t="s">
        <v>799</v>
      </c>
      <c r="E10" s="9"/>
      <c r="F10" s="9"/>
      <c r="G10" s="9"/>
      <c r="H10" s="9"/>
      <c r="I10" s="9"/>
      <c r="J10" s="9"/>
      <c r="K10" s="9"/>
    </row>
    <row r="11">
      <c r="A11" s="1"/>
      <c r="B11" s="1" t="s">
        <v>800</v>
      </c>
      <c r="C11" s="1" t="s">
        <v>801</v>
      </c>
      <c r="D11" s="1"/>
      <c r="E11" s="1"/>
      <c r="F11" s="1"/>
      <c r="G11" s="1"/>
      <c r="H11" s="1"/>
      <c r="I11" s="1"/>
      <c r="J11" s="1"/>
      <c r="K11" s="1"/>
    </row>
    <row r="12">
      <c r="A12" s="1"/>
      <c r="B12" s="1" t="s">
        <v>802</v>
      </c>
      <c r="C12" s="1" t="s">
        <v>10</v>
      </c>
      <c r="D12" s="1"/>
      <c r="E12" s="1"/>
      <c r="F12" s="1"/>
      <c r="G12" s="1"/>
      <c r="H12" s="1"/>
      <c r="I12" s="1"/>
      <c r="J12" s="1"/>
      <c r="K12" s="1"/>
    </row>
    <row r="13">
      <c r="A13" s="1"/>
      <c r="B13" s="1" t="s">
        <v>803</v>
      </c>
      <c r="C13" s="1" t="s">
        <v>8</v>
      </c>
      <c r="D13" s="1"/>
      <c r="E13" s="1"/>
      <c r="F13" s="1"/>
      <c r="G13" s="1"/>
      <c r="H13" s="1"/>
      <c r="I13" s="1"/>
      <c r="J13" s="1"/>
      <c r="K13" s="1"/>
    </row>
    <row r="14">
      <c r="A14" s="1"/>
      <c r="B14" s="1" t="s">
        <v>804</v>
      </c>
      <c r="C14" s="1" t="s">
        <v>805</v>
      </c>
      <c r="D14" s="1"/>
      <c r="E14" s="1"/>
      <c r="F14" s="1"/>
      <c r="G14" s="1"/>
      <c r="H14" s="1"/>
      <c r="I14" s="1"/>
      <c r="J14" s="1"/>
      <c r="K14" s="1"/>
    </row>
    <row r="15">
      <c r="A15" s="1"/>
      <c r="B15" s="1" t="s">
        <v>806</v>
      </c>
      <c r="C15" s="1" t="s">
        <v>807</v>
      </c>
      <c r="D15" s="1"/>
      <c r="E15" s="1"/>
      <c r="F15" s="1"/>
      <c r="G15" s="1"/>
      <c r="H15" s="1"/>
      <c r="I15" s="1"/>
      <c r="J15" s="1"/>
      <c r="K15" s="1"/>
    </row>
    <row r="16">
      <c r="A16" s="1"/>
      <c r="B16" s="1" t="s">
        <v>808</v>
      </c>
      <c r="C16" s="1" t="s">
        <v>809</v>
      </c>
      <c r="D16" s="1"/>
      <c r="E16" s="1"/>
      <c r="F16" s="1"/>
      <c r="G16" s="1"/>
      <c r="H16" s="1"/>
      <c r="I16" s="1"/>
      <c r="J16" s="1"/>
      <c r="K16" s="1"/>
    </row>
    <row r="17">
      <c r="A17" s="1"/>
      <c r="B17" s="1" t="s">
        <v>810</v>
      </c>
      <c r="C17" s="1" t="s">
        <v>811</v>
      </c>
      <c r="D17" s="73">
        <v>5</v>
      </c>
      <c r="E17" s="1"/>
      <c r="F17" s="1"/>
      <c r="G17" s="1"/>
      <c r="H17" s="1"/>
      <c r="I17" s="1"/>
      <c r="J17" s="1"/>
      <c r="K17" s="1"/>
    </row>
    <row r="18">
      <c r="A18" s="1"/>
      <c r="B18" s="1" t="s">
        <v>812</v>
      </c>
      <c r="C18" s="1" t="s">
        <v>813</v>
      </c>
      <c r="D18" s="73">
        <v>0.12</v>
      </c>
      <c r="E18" s="1"/>
      <c r="F18" s="1"/>
      <c r="G18" s="1"/>
      <c r="H18" s="1"/>
      <c r="I18" s="1"/>
      <c r="J18" s="1"/>
      <c r="K18" s="1"/>
    </row>
    <row r="19">
      <c r="A19" s="1"/>
      <c r="B19" s="1" t="s">
        <v>814</v>
      </c>
      <c r="C19" s="1" t="s">
        <v>815</v>
      </c>
      <c r="D19" s="1"/>
      <c r="E19" s="1"/>
      <c r="F19" s="1"/>
      <c r="G19" s="1"/>
      <c r="H19" s="1"/>
      <c r="I19" s="1"/>
      <c r="J19" s="1"/>
      <c r="K19" s="1"/>
    </row>
    <row r="20">
      <c r="A20" s="1"/>
      <c r="B20" s="1" t="s">
        <v>816</v>
      </c>
      <c r="C20" s="1" t="s">
        <v>817</v>
      </c>
      <c r="D20" s="73">
        <v>7619.23</v>
      </c>
      <c r="E20" s="1"/>
      <c r="F20" s="1"/>
      <c r="G20" s="1"/>
      <c r="H20" s="1"/>
      <c r="I20" s="1"/>
      <c r="J20" s="1"/>
      <c r="K20" s="1"/>
    </row>
    <row r="21">
      <c r="A21" s="1"/>
      <c r="B21" s="1" t="s">
        <v>818</v>
      </c>
      <c r="C21" s="1" t="s">
        <v>819</v>
      </c>
      <c r="D21" s="1"/>
      <c r="E21" s="1"/>
      <c r="F21" s="1"/>
      <c r="G21" s="1"/>
      <c r="H21" s="1"/>
      <c r="I21" s="1"/>
      <c r="J21" s="1"/>
      <c r="K21" s="1"/>
    </row>
    <row r="22">
      <c r="A22" s="1"/>
      <c r="B22" s="1" t="s">
        <v>820</v>
      </c>
      <c r="C22" s="1" t="s">
        <v>821</v>
      </c>
      <c r="D22" s="1"/>
      <c r="E22" s="1"/>
      <c r="F22" s="1"/>
      <c r="G22" s="1"/>
      <c r="H22" s="1"/>
      <c r="I22" s="1"/>
      <c r="J22" s="1"/>
      <c r="K22" s="1"/>
    </row>
    <row r="23">
      <c r="A23" s="1"/>
      <c r="B23" s="1" t="s">
        <v>822</v>
      </c>
      <c r="C23" s="1" t="s">
        <v>823</v>
      </c>
      <c r="D23" s="1"/>
      <c r="E23" s="1"/>
      <c r="F23" s="1"/>
      <c r="G23" s="1"/>
      <c r="H23" s="1"/>
      <c r="I23" s="1"/>
      <c r="J23" s="1"/>
      <c r="K23" s="1"/>
    </row>
    <row r="24">
      <c r="A24" s="1"/>
      <c r="B24" s="1" t="s">
        <v>824</v>
      </c>
      <c r="C24" s="1" t="s">
        <v>825</v>
      </c>
      <c r="D24" s="1"/>
      <c r="E24" s="1"/>
      <c r="F24" s="1"/>
      <c r="G24" s="1"/>
      <c r="H24" s="1"/>
      <c r="I24" s="1"/>
      <c r="J24" s="1"/>
      <c r="K24" s="1"/>
    </row>
    <row r="25">
      <c r="A25" s="1"/>
      <c r="B25" s="1" t="s">
        <v>826</v>
      </c>
      <c r="C25" s="1" t="s">
        <v>819</v>
      </c>
      <c r="D25" s="1"/>
      <c r="E25" s="1"/>
      <c r="F25" s="1"/>
      <c r="G25" s="1"/>
      <c r="H25" s="1"/>
      <c r="I25" s="1"/>
      <c r="J25" s="1"/>
      <c r="K25" s="1"/>
    </row>
    <row r="26">
      <c r="A26" s="1"/>
      <c r="B26" s="1" t="s">
        <v>827</v>
      </c>
      <c r="C26" s="1" t="s">
        <v>828</v>
      </c>
      <c r="D26" s="1"/>
      <c r="E26" s="1"/>
      <c r="F26" s="1"/>
      <c r="G26" s="1"/>
      <c r="H26" s="1"/>
      <c r="I26" s="1"/>
      <c r="J26" s="1"/>
      <c r="K26" s="1"/>
    </row>
    <row r="27">
      <c r="A27" s="1"/>
      <c r="B27" s="1" t="s">
        <v>829</v>
      </c>
      <c r="C27" s="1" t="s">
        <v>819</v>
      </c>
      <c r="D27" s="1"/>
      <c r="E27" s="1"/>
      <c r="F27" s="1"/>
      <c r="G27" s="1"/>
      <c r="H27" s="1"/>
      <c r="I27" s="1"/>
      <c r="J27" s="1"/>
      <c r="K27" s="1"/>
    </row>
    <row r="28">
      <c r="A28" s="1"/>
      <c r="B28" s="1" t="s">
        <v>830</v>
      </c>
      <c r="C28" s="1" t="s">
        <v>831</v>
      </c>
      <c r="D28" s="1"/>
      <c r="E28" s="1"/>
      <c r="F28" s="1"/>
      <c r="G28" s="1"/>
      <c r="H28" s="1"/>
      <c r="I28" s="1"/>
      <c r="J28" s="1"/>
      <c r="K28" s="1"/>
    </row>
    <row r="29">
      <c r="A29" s="1"/>
      <c r="B29" s="1" t="s">
        <v>832</v>
      </c>
      <c r="C29" s="1" t="s">
        <v>833</v>
      </c>
      <c r="D29" s="1"/>
      <c r="E29" s="1"/>
      <c r="F29" s="1"/>
      <c r="G29" s="1"/>
      <c r="H29" s="1"/>
      <c r="I29" s="1"/>
      <c r="J29" s="1"/>
      <c r="K29" s="1"/>
    </row>
    <row r="30">
      <c r="A30" s="1"/>
      <c r="B30" s="1" t="s">
        <v>834</v>
      </c>
      <c r="C30" s="1" t="s">
        <v>835</v>
      </c>
      <c r="D30" s="1"/>
      <c r="E30" s="1"/>
      <c r="F30" s="1"/>
      <c r="G30" s="1"/>
      <c r="H30" s="1"/>
      <c r="I30" s="1"/>
      <c r="J30" s="1"/>
      <c r="K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>
      <c r="A32" s="1"/>
      <c r="B32" s="9" t="s">
        <v>836</v>
      </c>
      <c r="C32" s="9"/>
      <c r="D32" s="9"/>
      <c r="E32" s="9"/>
      <c r="F32" s="9"/>
      <c r="G32" s="9"/>
      <c r="H32" s="9"/>
      <c r="I32" s="9"/>
      <c r="J32" s="9"/>
      <c r="K32" s="9"/>
    </row>
    <row r="33">
      <c r="A33" s="1"/>
      <c r="B33" s="9" t="s">
        <v>797</v>
      </c>
      <c r="C33" s="9" t="s">
        <v>798</v>
      </c>
      <c r="D33" s="123" t="s">
        <v>799</v>
      </c>
      <c r="E33" s="9"/>
      <c r="F33" s="9"/>
      <c r="G33" s="9"/>
      <c r="H33" s="9"/>
      <c r="I33" s="9"/>
      <c r="J33" s="9"/>
      <c r="K33" s="9"/>
    </row>
    <row r="34">
      <c r="A34" s="1"/>
      <c r="B34" s="1" t="s">
        <v>802</v>
      </c>
      <c r="C34" s="1" t="s">
        <v>10</v>
      </c>
      <c r="D34" s="1"/>
      <c r="E34" s="1"/>
      <c r="F34" s="1"/>
      <c r="G34" s="1"/>
      <c r="H34" s="1"/>
      <c r="I34" s="1"/>
      <c r="J34" s="1"/>
      <c r="K34" s="1"/>
    </row>
    <row r="35">
      <c r="A35" s="1"/>
      <c r="B35" s="1" t="s">
        <v>837</v>
      </c>
      <c r="C35" s="1" t="s">
        <v>8</v>
      </c>
      <c r="D35" s="1"/>
      <c r="E35" s="1"/>
      <c r="F35" s="1"/>
      <c r="G35" s="1"/>
      <c r="H35" s="1"/>
      <c r="I35" s="1"/>
      <c r="J35" s="1"/>
      <c r="K35" s="1"/>
    </row>
    <row r="36">
      <c r="A36" s="1"/>
      <c r="B36" s="1" t="s">
        <v>838</v>
      </c>
      <c r="C36" s="1" t="s">
        <v>839</v>
      </c>
      <c r="D36" s="1"/>
      <c r="E36" s="1"/>
      <c r="F36" s="1"/>
      <c r="G36" s="1"/>
      <c r="H36" s="1"/>
      <c r="I36" s="1"/>
      <c r="J36" s="1"/>
      <c r="K36" s="1"/>
    </row>
    <row r="37">
      <c r="A37" s="1"/>
      <c r="B37" s="1" t="s">
        <v>840</v>
      </c>
      <c r="C37" s="1" t="s">
        <v>841</v>
      </c>
      <c r="D37" s="73">
        <v>323899</v>
      </c>
      <c r="E37" s="1"/>
      <c r="F37" s="1"/>
      <c r="G37" s="1"/>
      <c r="H37" s="1"/>
      <c r="I37" s="1"/>
      <c r="J37" s="1"/>
      <c r="K37" s="1"/>
    </row>
    <row r="38">
      <c r="A38" s="1"/>
      <c r="B38" s="1" t="s">
        <v>842</v>
      </c>
      <c r="C38" s="1" t="s">
        <v>825</v>
      </c>
      <c r="D38" s="1"/>
      <c r="E38" s="1"/>
      <c r="F38" s="1"/>
      <c r="G38" s="1"/>
      <c r="H38" s="1"/>
      <c r="I38" s="1"/>
      <c r="J38" s="1"/>
      <c r="K38" s="1"/>
    </row>
    <row r="39">
      <c r="A39" s="1"/>
      <c r="B39" s="1" t="s">
        <v>843</v>
      </c>
      <c r="C39" s="1" t="s">
        <v>844</v>
      </c>
      <c r="D39" s="1"/>
      <c r="E39" s="1"/>
      <c r="F39" s="1"/>
      <c r="G39" s="1"/>
      <c r="H39" s="1"/>
      <c r="I39" s="1"/>
      <c r="J39" s="1"/>
      <c r="K39" s="1"/>
    </row>
    <row r="40">
      <c r="A40" s="1"/>
      <c r="B40" s="1" t="s">
        <v>845</v>
      </c>
      <c r="C40" s="1" t="s">
        <v>805</v>
      </c>
      <c r="D40" s="1"/>
      <c r="E40" s="1"/>
      <c r="F40" s="1"/>
      <c r="G40" s="1"/>
      <c r="H40" s="1"/>
      <c r="I40" s="1"/>
      <c r="J40" s="1"/>
      <c r="K40" s="1"/>
    </row>
    <row r="41">
      <c r="A41" s="1"/>
      <c r="B41" s="1" t="s">
        <v>846</v>
      </c>
      <c r="C41" s="1" t="s">
        <v>807</v>
      </c>
      <c r="D41" s="1"/>
      <c r="E41" s="1"/>
      <c r="F41" s="1"/>
      <c r="G41" s="1"/>
      <c r="H41" s="1"/>
      <c r="I41" s="1"/>
      <c r="J41" s="1"/>
      <c r="K41" s="1"/>
    </row>
    <row r="42">
      <c r="A42" s="1"/>
      <c r="B42" s="1" t="s">
        <v>847</v>
      </c>
      <c r="C42" s="1" t="s">
        <v>848</v>
      </c>
      <c r="D42" s="1"/>
      <c r="E42" s="1"/>
      <c r="F42" s="1"/>
      <c r="G42" s="1"/>
      <c r="H42" s="1"/>
      <c r="I42" s="1"/>
      <c r="J42" s="1"/>
      <c r="K42" s="1"/>
    </row>
    <row r="43">
      <c r="A43" s="1"/>
      <c r="B43" s="1" t="s">
        <v>814</v>
      </c>
      <c r="C43" s="1" t="s">
        <v>849</v>
      </c>
      <c r="D43" s="1"/>
      <c r="E43" s="1"/>
      <c r="F43" s="1"/>
      <c r="G43" s="1"/>
      <c r="H43" s="1"/>
      <c r="I43" s="1"/>
      <c r="J43" s="1"/>
      <c r="K43" s="1"/>
    </row>
    <row r="44">
      <c r="A44" s="1"/>
      <c r="B44" s="1" t="s">
        <v>850</v>
      </c>
      <c r="C44" s="1" t="s">
        <v>811</v>
      </c>
      <c r="D44" s="73">
        <v>5</v>
      </c>
      <c r="E44" s="1"/>
      <c r="F44" s="1"/>
      <c r="G44" s="1"/>
      <c r="H44" s="1"/>
      <c r="I44" s="1"/>
      <c r="J44" s="1"/>
      <c r="K44" s="1"/>
    </row>
    <row r="45">
      <c r="A45" s="1"/>
      <c r="B45" s="1" t="s">
        <v>851</v>
      </c>
      <c r="C45" s="1" t="s">
        <v>811</v>
      </c>
      <c r="D45" s="73">
        <v>5</v>
      </c>
      <c r="E45" s="1"/>
      <c r="F45" s="1"/>
      <c r="G45" s="1"/>
      <c r="H45" s="1"/>
      <c r="I45" s="1"/>
      <c r="J45" s="1"/>
      <c r="K45" s="1"/>
    </row>
    <row r="46">
      <c r="A46" s="1"/>
      <c r="B46" s="1" t="s">
        <v>852</v>
      </c>
      <c r="C46" s="1"/>
      <c r="D46" s="1"/>
      <c r="E46" s="1"/>
      <c r="F46" s="1"/>
      <c r="G46" s="1"/>
      <c r="H46" s="1"/>
      <c r="I46" s="1"/>
      <c r="J46" s="1"/>
      <c r="K46" s="1" t="s">
        <v>853</v>
      </c>
    </row>
    <row r="47">
      <c r="A47" s="1"/>
      <c r="B47" s="1" t="s">
        <v>854</v>
      </c>
      <c r="C47" s="1" t="s">
        <v>813</v>
      </c>
      <c r="D47" s="73">
        <v>0.12</v>
      </c>
      <c r="E47" s="1"/>
      <c r="F47" s="1"/>
      <c r="G47" s="1"/>
      <c r="H47" s="1"/>
      <c r="I47" s="1"/>
      <c r="J47" s="1"/>
      <c r="K47" s="1"/>
    </row>
    <row r="48">
      <c r="A48" s="1"/>
      <c r="B48" s="1" t="s">
        <v>855</v>
      </c>
      <c r="C48" s="1" t="s">
        <v>813</v>
      </c>
      <c r="D48" s="73">
        <v>0.12</v>
      </c>
      <c r="E48" s="1"/>
      <c r="F48" s="1"/>
      <c r="G48" s="1"/>
      <c r="H48" s="1"/>
      <c r="I48" s="1"/>
      <c r="J48" s="1"/>
      <c r="K48" s="1"/>
    </row>
    <row r="49">
      <c r="A49" s="1"/>
      <c r="B49" s="1" t="s">
        <v>856</v>
      </c>
      <c r="C49" s="1" t="s">
        <v>857</v>
      </c>
      <c r="D49" s="73">
        <v>0.13</v>
      </c>
      <c r="E49" s="1"/>
      <c r="F49" s="1"/>
      <c r="G49" s="1"/>
      <c r="H49" s="1"/>
      <c r="I49" s="1"/>
      <c r="J49" s="1"/>
      <c r="K49" s="1"/>
    </row>
    <row r="50">
      <c r="A50" s="1"/>
      <c r="B50" s="1" t="s">
        <v>858</v>
      </c>
      <c r="C50" s="1" t="s">
        <v>813</v>
      </c>
      <c r="D50" s="73">
        <v>0.12</v>
      </c>
      <c r="E50" s="1"/>
      <c r="F50" s="1"/>
      <c r="G50" s="1"/>
      <c r="H50" s="1"/>
      <c r="I50" s="1"/>
      <c r="J50" s="1"/>
      <c r="K50" s="1"/>
    </row>
    <row r="51">
      <c r="A51" s="1"/>
      <c r="B51" s="1" t="s">
        <v>859</v>
      </c>
      <c r="C51" s="1" t="s">
        <v>860</v>
      </c>
      <c r="D51" s="73">
        <v>0</v>
      </c>
      <c r="E51" s="1"/>
      <c r="F51" s="1"/>
      <c r="G51" s="1"/>
      <c r="H51" s="1"/>
      <c r="I51" s="1"/>
      <c r="J51" s="1"/>
      <c r="K51" s="1"/>
    </row>
    <row r="52">
      <c r="A52" s="1"/>
      <c r="B52" s="1" t="s">
        <v>861</v>
      </c>
      <c r="C52" s="1" t="s">
        <v>811</v>
      </c>
      <c r="D52" s="73">
        <v>5</v>
      </c>
      <c r="E52" s="1"/>
      <c r="F52" s="1"/>
      <c r="G52" s="1"/>
      <c r="H52" s="1"/>
      <c r="I52" s="1"/>
      <c r="J52" s="1"/>
      <c r="K52" s="1"/>
    </row>
    <row r="53">
      <c r="A53" s="1"/>
      <c r="B53" s="1" t="s">
        <v>862</v>
      </c>
      <c r="C53" s="1"/>
      <c r="D53" s="1"/>
      <c r="E53" s="1"/>
      <c r="F53" s="1"/>
      <c r="G53" s="1"/>
      <c r="H53" s="1"/>
      <c r="I53" s="1"/>
      <c r="J53" s="1"/>
      <c r="K53" s="1" t="s">
        <v>853</v>
      </c>
    </row>
    <row r="54">
      <c r="A54" s="1"/>
      <c r="B54" s="1" t="s">
        <v>863</v>
      </c>
      <c r="C54" s="1"/>
      <c r="D54" s="1"/>
      <c r="E54" s="1"/>
      <c r="F54" s="1"/>
      <c r="G54" s="1"/>
      <c r="H54" s="1"/>
      <c r="I54" s="1"/>
      <c r="J54" s="1"/>
      <c r="K54" s="1" t="s">
        <v>853</v>
      </c>
    </row>
    <row r="55">
      <c r="A55" s="1"/>
      <c r="B55" s="1" t="s">
        <v>864</v>
      </c>
      <c r="C55" s="1"/>
      <c r="D55" s="1"/>
      <c r="E55" s="1"/>
      <c r="F55" s="1"/>
      <c r="G55" s="1"/>
      <c r="H55" s="1"/>
      <c r="I55" s="1"/>
      <c r="J55" s="1"/>
      <c r="K55" s="1" t="s">
        <v>853</v>
      </c>
    </row>
    <row r="56">
      <c r="A56" s="1"/>
      <c r="B56" s="1" t="s">
        <v>865</v>
      </c>
      <c r="C56" s="1" t="s">
        <v>813</v>
      </c>
      <c r="D56" s="73">
        <v>0.12</v>
      </c>
      <c r="E56" s="1"/>
      <c r="F56" s="1"/>
      <c r="G56" s="1"/>
      <c r="H56" s="1"/>
      <c r="I56" s="1"/>
      <c r="J56" s="1"/>
      <c r="K56" s="1"/>
    </row>
    <row r="57">
      <c r="A57" s="1"/>
      <c r="B57" s="1" t="s">
        <v>866</v>
      </c>
      <c r="C57" s="1" t="s">
        <v>813</v>
      </c>
      <c r="D57" s="73">
        <v>0.12</v>
      </c>
      <c r="E57" s="1"/>
      <c r="F57" s="1"/>
      <c r="G57" s="1"/>
      <c r="H57" s="1"/>
      <c r="I57" s="1"/>
      <c r="J57" s="1"/>
      <c r="K57" s="1"/>
    </row>
    <row r="58">
      <c r="A58" s="1"/>
      <c r="B58" s="1" t="s">
        <v>867</v>
      </c>
      <c r="C58" s="1" t="s">
        <v>857</v>
      </c>
      <c r="D58" s="73">
        <v>0.13</v>
      </c>
      <c r="E58" s="1"/>
      <c r="F58" s="1"/>
      <c r="G58" s="1"/>
      <c r="H58" s="1"/>
      <c r="I58" s="1"/>
      <c r="J58" s="1"/>
      <c r="K58" s="1"/>
    </row>
    <row r="59">
      <c r="A59" s="1"/>
      <c r="B59" s="1" t="s">
        <v>868</v>
      </c>
      <c r="C59" s="1" t="s">
        <v>869</v>
      </c>
      <c r="D59" s="73">
        <v>0.11</v>
      </c>
      <c r="E59" s="1"/>
      <c r="F59" s="1"/>
      <c r="G59" s="1"/>
      <c r="H59" s="1"/>
      <c r="I59" s="1"/>
      <c r="J59" s="1"/>
      <c r="K59" s="1"/>
    </row>
    <row r="60">
      <c r="A60" s="1"/>
      <c r="B60" s="1" t="s">
        <v>870</v>
      </c>
      <c r="C60" s="1" t="s">
        <v>860</v>
      </c>
      <c r="D60" s="73">
        <v>0</v>
      </c>
      <c r="E60" s="1"/>
      <c r="F60" s="1"/>
      <c r="G60" s="1"/>
      <c r="H60" s="1"/>
      <c r="I60" s="1"/>
      <c r="J60" s="1"/>
      <c r="K60" s="1"/>
    </row>
    <row r="61">
      <c r="A61" s="1"/>
      <c r="B61" s="1" t="s">
        <v>871</v>
      </c>
      <c r="C61" s="1" t="s">
        <v>811</v>
      </c>
      <c r="D61" s="73">
        <v>5</v>
      </c>
      <c r="E61" s="1"/>
      <c r="F61" s="1"/>
      <c r="G61" s="1"/>
      <c r="H61" s="1"/>
      <c r="I61" s="1"/>
      <c r="J61" s="1"/>
      <c r="K61" s="1"/>
    </row>
    <row r="62">
      <c r="A62" s="1"/>
      <c r="B62" s="1" t="s">
        <v>872</v>
      </c>
      <c r="C62" s="1"/>
      <c r="D62" s="1"/>
      <c r="E62" s="1"/>
      <c r="F62" s="1"/>
      <c r="G62" s="1"/>
      <c r="H62" s="1"/>
      <c r="I62" s="1"/>
      <c r="J62" s="1"/>
      <c r="K62" s="1" t="s">
        <v>853</v>
      </c>
    </row>
    <row r="63">
      <c r="A63" s="1"/>
      <c r="B63" s="1" t="s">
        <v>873</v>
      </c>
      <c r="C63" s="1"/>
      <c r="D63" s="1"/>
      <c r="E63" s="1"/>
      <c r="F63" s="1"/>
      <c r="G63" s="1"/>
      <c r="H63" s="1"/>
      <c r="I63" s="1"/>
      <c r="J63" s="1"/>
      <c r="K63" s="1" t="s">
        <v>853</v>
      </c>
    </row>
    <row r="64">
      <c r="A64" s="1"/>
      <c r="B64" s="1" t="s">
        <v>874</v>
      </c>
      <c r="C64" s="1"/>
      <c r="D64" s="1"/>
      <c r="E64" s="1"/>
      <c r="F64" s="1"/>
      <c r="G64" s="1"/>
      <c r="H64" s="1"/>
      <c r="I64" s="1"/>
      <c r="J64" s="1"/>
      <c r="K64" s="1" t="s">
        <v>853</v>
      </c>
    </row>
    <row r="65">
      <c r="A65" s="1"/>
      <c r="B65" s="1" t="s">
        <v>875</v>
      </c>
      <c r="C65" s="1" t="s">
        <v>817</v>
      </c>
      <c r="D65" s="73">
        <v>7619.23</v>
      </c>
      <c r="E65" s="1"/>
      <c r="F65" s="1"/>
      <c r="G65" s="1"/>
      <c r="H65" s="1"/>
      <c r="I65" s="1"/>
      <c r="J65" s="1"/>
      <c r="K65" s="1"/>
    </row>
    <row r="66">
      <c r="A66" s="1"/>
      <c r="B66" s="1" t="s">
        <v>876</v>
      </c>
      <c r="C66" s="1" t="s">
        <v>877</v>
      </c>
      <c r="D66" s="73">
        <v>7624</v>
      </c>
      <c r="E66" s="1"/>
      <c r="F66" s="1"/>
      <c r="G66" s="1"/>
      <c r="H66" s="1"/>
      <c r="I66" s="1"/>
      <c r="J66" s="1"/>
      <c r="K66" s="1"/>
    </row>
    <row r="67">
      <c r="A67" s="1"/>
      <c r="B67" s="1" t="s">
        <v>878</v>
      </c>
      <c r="C67" s="1" t="s">
        <v>879</v>
      </c>
      <c r="D67" s="73">
        <v>7715.82</v>
      </c>
      <c r="E67" s="1"/>
      <c r="F67" s="1"/>
      <c r="G67" s="1"/>
      <c r="H67" s="1"/>
      <c r="I67" s="1"/>
      <c r="J67" s="1"/>
      <c r="K67" s="1"/>
    </row>
    <row r="68">
      <c r="A68" s="1"/>
      <c r="B68" s="1" t="s">
        <v>880</v>
      </c>
      <c r="C68" s="1" t="s">
        <v>881</v>
      </c>
      <c r="D68" s="73">
        <v>7504.31</v>
      </c>
      <c r="E68" s="1"/>
      <c r="F68" s="1"/>
      <c r="G68" s="1"/>
      <c r="H68" s="1"/>
      <c r="I68" s="1"/>
      <c r="J68" s="1"/>
      <c r="K68" s="1"/>
    </row>
    <row r="69">
      <c r="A69" s="1"/>
      <c r="B69" s="1" t="s">
        <v>882</v>
      </c>
      <c r="C69" s="1" t="s">
        <v>883</v>
      </c>
      <c r="D69" s="73">
        <v>72.83</v>
      </c>
      <c r="E69" s="1"/>
      <c r="F69" s="1"/>
      <c r="G69" s="1"/>
      <c r="H69" s="1"/>
      <c r="I69" s="1"/>
      <c r="J69" s="1"/>
      <c r="K69" s="1"/>
    </row>
    <row r="70">
      <c r="A70" s="1"/>
      <c r="B70" s="1" t="s">
        <v>884</v>
      </c>
      <c r="C70" s="1" t="s">
        <v>811</v>
      </c>
      <c r="D70" s="73">
        <v>5</v>
      </c>
      <c r="E70" s="1"/>
      <c r="F70" s="1"/>
      <c r="G70" s="1"/>
      <c r="H70" s="1"/>
      <c r="I70" s="1"/>
      <c r="J70" s="1"/>
      <c r="K70" s="1"/>
    </row>
    <row r="71">
      <c r="A71" s="1"/>
      <c r="B71" s="1" t="s">
        <v>885</v>
      </c>
      <c r="C71" s="1"/>
      <c r="D71" s="1"/>
      <c r="E71" s="1"/>
      <c r="F71" s="1"/>
      <c r="G71" s="1"/>
      <c r="H71" s="1"/>
      <c r="I71" s="1"/>
      <c r="J71" s="1"/>
      <c r="K71" s="1" t="s">
        <v>853</v>
      </c>
    </row>
    <row r="72">
      <c r="A72" s="1"/>
      <c r="B72" s="1" t="s">
        <v>886</v>
      </c>
      <c r="C72" s="1"/>
      <c r="D72" s="1"/>
      <c r="E72" s="1"/>
      <c r="F72" s="1"/>
      <c r="G72" s="1"/>
      <c r="H72" s="1"/>
      <c r="I72" s="1"/>
      <c r="J72" s="1"/>
      <c r="K72" s="1" t="s">
        <v>853</v>
      </c>
    </row>
    <row r="73">
      <c r="A73" s="1"/>
      <c r="B73" s="1" t="s">
        <v>887</v>
      </c>
      <c r="C73" s="1"/>
      <c r="D73" s="1"/>
      <c r="E73" s="1"/>
      <c r="F73" s="1"/>
      <c r="G73" s="1"/>
      <c r="H73" s="1"/>
      <c r="I73" s="1"/>
      <c r="J73" s="1"/>
      <c r="K73" s="1" t="s">
        <v>853</v>
      </c>
    </row>
    <row r="74">
      <c r="A74" s="1"/>
      <c r="B74" s="1" t="s">
        <v>888</v>
      </c>
      <c r="C74" s="1"/>
      <c r="D74" s="1"/>
      <c r="E74" s="1"/>
      <c r="F74" s="1"/>
      <c r="G74" s="1"/>
      <c r="H74" s="1"/>
      <c r="I74" s="1"/>
      <c r="J74" s="1"/>
      <c r="K74" s="1" t="s">
        <v>853</v>
      </c>
    </row>
    <row r="75">
      <c r="A75" s="1"/>
      <c r="B75" s="1" t="s">
        <v>889</v>
      </c>
      <c r="C75" s="1" t="s">
        <v>890</v>
      </c>
      <c r="D75" s="73">
        <v>3023.5</v>
      </c>
      <c r="E75" s="1"/>
      <c r="F75" s="1"/>
      <c r="G75" s="1"/>
      <c r="H75" s="1"/>
      <c r="I75" s="1"/>
      <c r="J75" s="1"/>
      <c r="K75" s="1"/>
    </row>
    <row r="76">
      <c r="A76" s="1"/>
      <c r="B76" s="1" t="s">
        <v>891</v>
      </c>
      <c r="C76" s="1" t="s">
        <v>892</v>
      </c>
      <c r="D76" s="73">
        <v>2463.36</v>
      </c>
      <c r="E76" s="1"/>
      <c r="F76" s="1"/>
      <c r="G76" s="1"/>
      <c r="H76" s="1"/>
      <c r="I76" s="1"/>
      <c r="J76" s="1"/>
      <c r="K76" s="1"/>
    </row>
    <row r="77">
      <c r="A77" s="1"/>
      <c r="B77" s="1" t="s">
        <v>893</v>
      </c>
      <c r="C77" s="1" t="s">
        <v>894</v>
      </c>
      <c r="D77" s="73">
        <v>2439.42</v>
      </c>
      <c r="E77" s="1"/>
      <c r="F77" s="1"/>
      <c r="G77" s="1"/>
      <c r="H77" s="1"/>
      <c r="I77" s="1"/>
      <c r="J77" s="1"/>
      <c r="K77" s="1"/>
    </row>
    <row r="78">
      <c r="A78" s="1"/>
      <c r="B78" s="1" t="s">
        <v>895</v>
      </c>
      <c r="C78" s="1" t="s">
        <v>896</v>
      </c>
      <c r="D78" s="73">
        <v>1667.31</v>
      </c>
      <c r="E78" s="1"/>
      <c r="F78" s="1"/>
      <c r="G78" s="1"/>
      <c r="H78" s="1"/>
      <c r="I78" s="1"/>
      <c r="J78" s="1"/>
      <c r="K78" s="1"/>
    </row>
    <row r="79">
      <c r="A79" s="1"/>
      <c r="B79" s="1" t="s">
        <v>897</v>
      </c>
      <c r="C79" s="1" t="s">
        <v>898</v>
      </c>
      <c r="D79" s="73">
        <v>1642.15</v>
      </c>
      <c r="E79" s="1"/>
      <c r="F79" s="1"/>
      <c r="G79" s="1"/>
      <c r="H79" s="1"/>
      <c r="I79" s="1"/>
      <c r="J79" s="1"/>
      <c r="K79" s="1"/>
    </row>
    <row r="80">
      <c r="A80" s="1"/>
      <c r="B80" s="1" t="s">
        <v>899</v>
      </c>
      <c r="C80" s="1"/>
      <c r="D80" s="1"/>
      <c r="E80" s="1"/>
      <c r="F80" s="1"/>
      <c r="G80" s="1"/>
      <c r="H80" s="1"/>
      <c r="I80" s="1"/>
      <c r="J80" s="1"/>
      <c r="K80" s="1" t="s">
        <v>853</v>
      </c>
    </row>
    <row r="81">
      <c r="A81" s="1"/>
      <c r="B81" s="1" t="s">
        <v>900</v>
      </c>
      <c r="C81" s="1"/>
      <c r="D81" s="1"/>
      <c r="E81" s="1"/>
      <c r="F81" s="1"/>
      <c r="G81" s="1"/>
      <c r="H81" s="1"/>
      <c r="I81" s="1"/>
      <c r="J81" s="1"/>
      <c r="K81" s="1" t="s">
        <v>853</v>
      </c>
    </row>
    <row r="82">
      <c r="A82" s="1"/>
      <c r="B82" s="1" t="s">
        <v>901</v>
      </c>
      <c r="C82" s="1"/>
      <c r="D82" s="1"/>
      <c r="E82" s="1"/>
      <c r="F82" s="1"/>
      <c r="G82" s="1"/>
      <c r="H82" s="1"/>
      <c r="I82" s="1"/>
      <c r="J82" s="1"/>
      <c r="K82" s="1" t="s">
        <v>853</v>
      </c>
    </row>
    <row r="83">
      <c r="A83" s="1"/>
      <c r="B83" s="1" t="s">
        <v>902</v>
      </c>
      <c r="C83" s="1"/>
      <c r="D83" s="1"/>
      <c r="E83" s="1"/>
      <c r="F83" s="1"/>
      <c r="G83" s="1"/>
      <c r="H83" s="1"/>
      <c r="I83" s="1"/>
      <c r="J83" s="1"/>
      <c r="K83" s="1" t="s">
        <v>853</v>
      </c>
    </row>
    <row r="84">
      <c r="A84" s="1"/>
      <c r="B84" s="1" t="s">
        <v>903</v>
      </c>
      <c r="C84" s="1"/>
      <c r="D84" s="1"/>
      <c r="E84" s="1"/>
      <c r="F84" s="1"/>
      <c r="G84" s="1"/>
      <c r="H84" s="1"/>
      <c r="I84" s="1"/>
      <c r="J84" s="1"/>
      <c r="K84" s="1" t="s">
        <v>853</v>
      </c>
    </row>
    <row r="85">
      <c r="A85" s="1"/>
      <c r="B85" s="1" t="s">
        <v>904</v>
      </c>
      <c r="C85" s="1"/>
      <c r="D85" s="1"/>
      <c r="E85" s="1"/>
      <c r="F85" s="1"/>
      <c r="G85" s="1"/>
      <c r="H85" s="1"/>
      <c r="I85" s="1"/>
      <c r="J85" s="1"/>
      <c r="K85" s="1" t="s">
        <v>853</v>
      </c>
    </row>
    <row r="86">
      <c r="A86" s="1"/>
      <c r="B86" s="1" t="s">
        <v>905</v>
      </c>
      <c r="C86" s="1"/>
      <c r="D86" s="1"/>
      <c r="E86" s="1"/>
      <c r="F86" s="1"/>
      <c r="G86" s="1"/>
      <c r="H86" s="1"/>
      <c r="I86" s="1"/>
      <c r="J86" s="1"/>
      <c r="K86" s="1" t="s">
        <v>853</v>
      </c>
    </row>
    <row r="87">
      <c r="A87" s="1"/>
      <c r="B87" s="1" t="s">
        <v>906</v>
      </c>
      <c r="C87" s="1"/>
      <c r="D87" s="1"/>
      <c r="E87" s="1"/>
      <c r="F87" s="1"/>
      <c r="G87" s="1"/>
      <c r="H87" s="1"/>
      <c r="I87" s="1"/>
      <c r="J87" s="1"/>
      <c r="K87" s="1" t="s">
        <v>853</v>
      </c>
    </row>
    <row r="88">
      <c r="A88" s="1"/>
      <c r="B88" s="1" t="s">
        <v>907</v>
      </c>
      <c r="C88" s="1"/>
      <c r="D88" s="1"/>
      <c r="E88" s="1"/>
      <c r="F88" s="1"/>
      <c r="G88" s="1"/>
      <c r="H88" s="1"/>
      <c r="I88" s="1"/>
      <c r="J88" s="1"/>
      <c r="K88" s="1" t="s">
        <v>853</v>
      </c>
    </row>
    <row r="89">
      <c r="A89" s="1"/>
      <c r="B89" s="1" t="s">
        <v>908</v>
      </c>
      <c r="C89" s="1" t="s">
        <v>909</v>
      </c>
      <c r="D89" s="73">
        <v>10.32</v>
      </c>
      <c r="E89" s="1"/>
      <c r="F89" s="1"/>
      <c r="G89" s="1"/>
      <c r="H89" s="1"/>
      <c r="I89" s="1"/>
      <c r="J89" s="1"/>
      <c r="K89" s="1"/>
    </row>
    <row r="90">
      <c r="A90" s="1"/>
      <c r="B90" s="1" t="s">
        <v>910</v>
      </c>
      <c r="C90" s="1" t="s">
        <v>911</v>
      </c>
      <c r="D90" s="73">
        <v>5.73</v>
      </c>
      <c r="E90" s="1"/>
      <c r="F90" s="1"/>
      <c r="G90" s="1"/>
      <c r="H90" s="1"/>
      <c r="I90" s="1"/>
      <c r="J90" s="1"/>
      <c r="K90" s="1"/>
    </row>
    <row r="91">
      <c r="A91" s="1"/>
      <c r="B91" s="1" t="s">
        <v>912</v>
      </c>
      <c r="C91" s="1" t="s">
        <v>913</v>
      </c>
      <c r="D91" s="73">
        <v>5.8</v>
      </c>
      <c r="E91" s="1"/>
      <c r="F91" s="1"/>
      <c r="G91" s="1"/>
      <c r="H91" s="1"/>
      <c r="I91" s="1"/>
      <c r="J91" s="1"/>
      <c r="K91" s="1"/>
    </row>
    <row r="92">
      <c r="A92" s="1"/>
      <c r="B92" s="1" t="s">
        <v>914</v>
      </c>
      <c r="C92" s="1" t="s">
        <v>915</v>
      </c>
      <c r="D92" s="73">
        <v>6.8</v>
      </c>
      <c r="E92" s="1"/>
      <c r="F92" s="1"/>
      <c r="G92" s="1"/>
      <c r="H92" s="1"/>
      <c r="I92" s="1"/>
      <c r="J92" s="1"/>
      <c r="K92" s="1"/>
    </row>
    <row r="93">
      <c r="A93" s="1"/>
      <c r="B93" s="1" t="s">
        <v>916</v>
      </c>
      <c r="C93" s="1" t="s">
        <v>917</v>
      </c>
      <c r="D93" s="73">
        <v>4.87</v>
      </c>
      <c r="E93" s="1"/>
      <c r="F93" s="1"/>
      <c r="G93" s="1"/>
      <c r="H93" s="1"/>
      <c r="I93" s="1"/>
      <c r="J93" s="1"/>
      <c r="K93" s="1"/>
    </row>
    <row r="94">
      <c r="A94" s="1"/>
      <c r="B94" s="1" t="s">
        <v>918</v>
      </c>
      <c r="C94" s="1" t="s">
        <v>919</v>
      </c>
      <c r="D94" s="73">
        <v>0.48</v>
      </c>
      <c r="E94" s="1"/>
      <c r="F94" s="1"/>
      <c r="G94" s="1"/>
      <c r="H94" s="1"/>
      <c r="I94" s="1"/>
      <c r="J94" s="1"/>
      <c r="K94" s="1"/>
    </row>
    <row r="95">
      <c r="A95" s="1"/>
      <c r="B95" s="1" t="s">
        <v>920</v>
      </c>
      <c r="C95" s="1" t="s">
        <v>921</v>
      </c>
      <c r="D95" s="73">
        <v>17</v>
      </c>
      <c r="E95" s="1"/>
      <c r="F95" s="1"/>
      <c r="G95" s="1"/>
      <c r="H95" s="1"/>
      <c r="I95" s="1"/>
      <c r="J95" s="1"/>
      <c r="K95" s="1"/>
    </row>
    <row r="96">
      <c r="A96" s="1"/>
      <c r="B96" s="1" t="s">
        <v>922</v>
      </c>
      <c r="C96" s="1" t="s">
        <v>923</v>
      </c>
      <c r="D96" s="1"/>
      <c r="E96" s="1"/>
      <c r="F96" s="1"/>
      <c r="G96" s="1"/>
      <c r="H96" s="1"/>
      <c r="I96" s="1"/>
      <c r="J96" s="1"/>
      <c r="K96" s="1"/>
    </row>
    <row r="97">
      <c r="A97" s="1"/>
      <c r="B97" s="1" t="s">
        <v>924</v>
      </c>
      <c r="C97" s="1" t="s">
        <v>925</v>
      </c>
      <c r="D97" s="73">
        <v>1.88</v>
      </c>
      <c r="E97" s="1"/>
      <c r="F97" s="1"/>
      <c r="G97" s="1"/>
      <c r="H97" s="1"/>
      <c r="I97" s="1"/>
      <c r="J97" s="1"/>
      <c r="K97" s="1"/>
    </row>
    <row r="98">
      <c r="A98" s="1"/>
      <c r="B98" s="1" t="s">
        <v>926</v>
      </c>
      <c r="C98" s="1" t="s">
        <v>927</v>
      </c>
      <c r="D98" s="73">
        <v>4.33</v>
      </c>
      <c r="E98" s="1"/>
      <c r="F98" s="1"/>
      <c r="G98" s="1"/>
      <c r="H98" s="1"/>
      <c r="I98" s="1"/>
      <c r="J98" s="1"/>
      <c r="K98" s="1"/>
    </row>
    <row r="99">
      <c r="A99" s="1"/>
      <c r="B99" s="1" t="s">
        <v>928</v>
      </c>
      <c r="C99" s="1" t="s">
        <v>929</v>
      </c>
      <c r="D99" s="1"/>
      <c r="E99" s="1"/>
      <c r="F99" s="1"/>
      <c r="G99" s="1"/>
      <c r="H99" s="1"/>
      <c r="I99" s="1"/>
      <c r="J99" s="1"/>
      <c r="K99" s="1"/>
    </row>
    <row r="100">
      <c r="A100" s="1"/>
      <c r="B100" s="1" t="s">
        <v>930</v>
      </c>
      <c r="C100" s="1" t="s">
        <v>809</v>
      </c>
      <c r="D100" s="1"/>
      <c r="E100" s="1"/>
      <c r="F100" s="1"/>
      <c r="G100" s="1"/>
      <c r="H100" s="1"/>
      <c r="I100" s="1"/>
      <c r="J100" s="1"/>
      <c r="K100" s="1"/>
    </row>
    <row r="101">
      <c r="A101" s="1"/>
      <c r="B101" s="1" t="s">
        <v>931</v>
      </c>
      <c r="C101" s="1" t="s">
        <v>932</v>
      </c>
      <c r="D101" s="1"/>
      <c r="E101" s="1"/>
      <c r="F101" s="1"/>
      <c r="G101" s="1"/>
      <c r="H101" s="1"/>
      <c r="I101" s="1"/>
      <c r="J101" s="1"/>
      <c r="K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>
      <c r="A103" s="1"/>
      <c r="B103" s="9" t="s">
        <v>933</v>
      </c>
      <c r="C103" s="9"/>
      <c r="D103" s="9"/>
      <c r="E103" s="9"/>
      <c r="F103" s="9"/>
      <c r="G103" s="9"/>
      <c r="H103" s="9"/>
      <c r="I103" s="9"/>
      <c r="J103" s="9"/>
      <c r="K103" s="9"/>
    </row>
    <row r="104" ht="27">
      <c r="A104" s="1"/>
      <c r="B104" s="126" t="s">
        <v>806</v>
      </c>
      <c r="C104" s="122" t="s">
        <v>934</v>
      </c>
      <c r="D104" s="122" t="s">
        <v>935</v>
      </c>
      <c r="E104" s="122" t="s">
        <v>936</v>
      </c>
      <c r="F104" s="122" t="s">
        <v>937</v>
      </c>
      <c r="G104" s="122" t="s">
        <v>938</v>
      </c>
      <c r="H104" s="122" t="s">
        <v>939</v>
      </c>
      <c r="I104" s="122" t="s">
        <v>940</v>
      </c>
      <c r="J104" s="122" t="s">
        <v>941</v>
      </c>
      <c r="K104" s="9" t="s">
        <v>942</v>
      </c>
    </row>
    <row r="105">
      <c r="A105" s="1"/>
      <c r="B105" s="83">
        <v>45747</v>
      </c>
      <c r="C105" s="83">
        <v>45777</v>
      </c>
      <c r="D105" s="76">
        <v>0.12</v>
      </c>
      <c r="E105" s="76">
        <v>0.13</v>
      </c>
      <c r="F105" s="76">
        <v>0.11</v>
      </c>
      <c r="G105" s="76">
        <v>0.13</v>
      </c>
      <c r="H105" s="84">
        <v>7336.71</v>
      </c>
      <c r="I105" s="84">
        <v>7709</v>
      </c>
      <c r="J105" s="78">
        <f>E105-D105</f>
        <v>0.010000000000000009</v>
      </c>
      <c r="K105" s="1" t="str">
        <f>IF(E105&gt;D105,"beat","not beat")</f>
        <v>beat</v>
      </c>
    </row>
    <row r="106">
      <c r="A106" s="1"/>
      <c r="B106" s="83">
        <v>45838</v>
      </c>
      <c r="C106" s="83">
        <v>45867</v>
      </c>
      <c r="D106" s="76">
        <v>0.1</v>
      </c>
      <c r="E106" s="76">
        <v>0.12</v>
      </c>
      <c r="F106" s="76">
        <v>0.1</v>
      </c>
      <c r="G106" s="76">
        <v>0.12</v>
      </c>
      <c r="H106" s="84">
        <v>6996.57</v>
      </c>
      <c r="I106" s="84">
        <v>7187</v>
      </c>
      <c r="J106" s="78">
        <f>E106-D106</f>
        <v>0.01999999999999999</v>
      </c>
      <c r="K106" s="1" t="str">
        <f>IF(E106&gt;D106,"beat","not beat")</f>
        <v>beat</v>
      </c>
    </row>
    <row r="107">
      <c r="A107" s="1"/>
      <c r="B107" s="83">
        <v>45930</v>
      </c>
      <c r="C107" s="83">
        <v>45952</v>
      </c>
      <c r="D107" s="76">
        <v>0.1</v>
      </c>
      <c r="E107" s="76">
        <v>0.1</v>
      </c>
      <c r="F107" s="76">
        <v>0.1</v>
      </c>
      <c r="G107" s="76">
        <v>0.1</v>
      </c>
      <c r="H107" s="84">
        <v>7017.17</v>
      </c>
      <c r="I107" s="84">
        <v>7167</v>
      </c>
      <c r="J107" s="78">
        <f>E107-D107</f>
        <v>0</v>
      </c>
      <c r="K107" s="1" t="str">
        <f>IF(E107&gt;D107,"beat","not beat")</f>
        <v>not beat</v>
      </c>
    </row>
    <row r="108">
      <c r="A108" s="1"/>
      <c r="B108" s="83">
        <v>46022</v>
      </c>
      <c r="C108" s="83">
        <v>46063</v>
      </c>
      <c r="D108" s="76">
        <v>0.08</v>
      </c>
      <c r="E108" s="76">
        <v>0.09</v>
      </c>
      <c r="F108" s="76">
        <v>0.07</v>
      </c>
      <c r="G108" s="76">
        <v>0.09</v>
      </c>
      <c r="H108" s="84">
        <v>6949.55</v>
      </c>
      <c r="I108" s="84">
        <v>7077</v>
      </c>
      <c r="J108" s="78">
        <f>E108-D108</f>
        <v>0.009999999999999995</v>
      </c>
      <c r="K108" s="1" t="str">
        <f>IF(E108&gt;D108,"beat","not beat")</f>
        <v>beat</v>
      </c>
    </row>
    <row r="109">
      <c r="A109" s="1"/>
      <c r="B109" s="83">
        <v>46112</v>
      </c>
      <c r="C109" s="83">
        <v>46140</v>
      </c>
      <c r="D109" s="76">
        <v>0.14</v>
      </c>
      <c r="E109" s="76">
        <v>0.14</v>
      </c>
      <c r="F109" s="76">
        <v>0.14</v>
      </c>
      <c r="G109" s="76">
        <v>0.14</v>
      </c>
      <c r="H109" s="84">
        <v>8097.14</v>
      </c>
      <c r="I109" s="84">
        <v>8163</v>
      </c>
      <c r="J109" s="78">
        <f>E109-D109</f>
        <v>0</v>
      </c>
      <c r="K109" s="1" t="str">
        <f>IF(E109&gt;D109,"beat","not beat")</f>
        <v>not beat</v>
      </c>
    </row>
    <row r="110">
      <c r="A110" s="1"/>
      <c r="B110" s="83">
        <v>46203</v>
      </c>
      <c r="C110" s="83">
        <v>46231</v>
      </c>
      <c r="D110" s="76">
        <v>0.15</v>
      </c>
      <c r="E110" s="76">
        <v>0.17</v>
      </c>
      <c r="F110" s="76">
        <v>0.15</v>
      </c>
      <c r="G110" s="76">
        <v>0.17</v>
      </c>
      <c r="H110" s="84">
        <v>7995.93</v>
      </c>
      <c r="I110" s="84">
        <v>8338</v>
      </c>
      <c r="J110" s="78">
        <f>E110-D110</f>
        <v>0.020000000000000018</v>
      </c>
      <c r="K110" s="1" t="str">
        <f>IF(E110&gt;D110,"beat","not beat")</f>
        <v>beat</v>
      </c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>
      <c r="A112" s="1"/>
      <c r="B112" s="9" t="s">
        <v>943</v>
      </c>
      <c r="C112" s="9"/>
      <c r="D112" s="9"/>
      <c r="E112" s="9"/>
      <c r="F112" s="9"/>
      <c r="G112" s="9"/>
      <c r="H112" s="9"/>
      <c r="I112" s="9"/>
      <c r="J112" s="9"/>
      <c r="K112" s="9"/>
    </row>
    <row r="113">
      <c r="A113" s="1"/>
      <c r="B113" s="1" t="s">
        <v>944</v>
      </c>
      <c r="C113" s="95">
        <v>57.68</v>
      </c>
      <c r="D113" s="1"/>
      <c r="E113" s="1"/>
      <c r="F113" s="1"/>
      <c r="G113" s="1"/>
      <c r="H113" s="1"/>
      <c r="I113" s="1"/>
      <c r="J113" s="1"/>
      <c r="K113" s="1" t="s">
        <v>945</v>
      </c>
    </row>
    <row r="114">
      <c r="A114" s="1"/>
      <c r="B114" s="1" t="s">
        <v>946</v>
      </c>
      <c r="C114" s="103">
        <v>1.3253</v>
      </c>
      <c r="D114" s="1"/>
      <c r="E114" s="1"/>
      <c r="F114" s="1"/>
      <c r="G114" s="1"/>
      <c r="H114" s="1"/>
      <c r="I114" s="1"/>
      <c r="J114" s="1"/>
      <c r="K114" s="1" t="s">
        <v>947</v>
      </c>
    </row>
    <row r="115">
      <c r="A115" s="1"/>
      <c r="B115" s="1" t="s">
        <v>948</v>
      </c>
      <c r="C115" s="88">
        <f>C113*C114</f>
        <v>76.443304</v>
      </c>
      <c r="D115" s="1"/>
      <c r="E115" s="1"/>
      <c r="F115" s="1"/>
      <c r="G115" s="1"/>
      <c r="H115" s="1"/>
      <c r="I115" s="1"/>
      <c r="J115" s="1"/>
      <c r="K115" s="1" t="s">
        <v>949</v>
      </c>
    </row>
    <row r="116">
      <c r="A116" s="1"/>
      <c r="B116" s="1" t="s">
        <v>950</v>
      </c>
      <c r="C116" s="1" t="s">
        <v>951</v>
      </c>
      <c r="D116" s="1"/>
      <c r="E116" s="1"/>
      <c r="F116" s="1"/>
      <c r="G116" s="1"/>
      <c r="H116" s="1"/>
      <c r="I116" s="1"/>
      <c r="J116" s="1"/>
      <c r="K116" s="1" t="s">
        <v>952</v>
      </c>
    </row>
    <row r="117">
      <c r="A117" s="1"/>
      <c r="B117" s="1" t="s">
        <v>953</v>
      </c>
      <c r="C117" s="1" t="s">
        <v>954</v>
      </c>
      <c r="D117" s="1"/>
      <c r="E117" s="1"/>
      <c r="F117" s="1"/>
      <c r="G117" s="1"/>
      <c r="H117" s="1"/>
      <c r="I117" s="1"/>
      <c r="J117" s="1"/>
      <c r="K117" s="1"/>
    </row>
    <row r="118">
      <c r="A118" s="1"/>
      <c r="B118" s="1" t="s">
        <v>955</v>
      </c>
      <c r="C118" s="102">
        <v>0.78</v>
      </c>
      <c r="D118" s="1"/>
      <c r="E118" s="1"/>
      <c r="F118" s="1"/>
      <c r="G118" s="1"/>
      <c r="H118" s="1"/>
      <c r="I118" s="1"/>
      <c r="J118" s="1"/>
      <c r="K118" s="1" t="s">
        <v>956</v>
      </c>
    </row>
    <row r="119" ht="27">
      <c r="A119" s="1"/>
      <c r="B119" s="111" t="s">
        <v>957</v>
      </c>
      <c r="C119" s="15">
        <f>SUMPRODUCT(--(E105:E110&gt;D105:D110))</f>
        <v>4</v>
      </c>
      <c r="D119" s="1"/>
      <c r="E119" s="1"/>
      <c r="F119" s="1"/>
      <c r="G119" s="1"/>
      <c r="H119" s="1"/>
      <c r="I119" s="1"/>
      <c r="J119" s="1"/>
      <c r="K119" s="1" t="s">
        <v>958</v>
      </c>
    </row>
    <row r="120">
      <c r="A120" s="1"/>
      <c r="B120" s="111" t="s">
        <v>959</v>
      </c>
      <c r="C120" s="15">
        <f>COUNT(D105:D110)</f>
        <v>6</v>
      </c>
      <c r="D120" s="1"/>
      <c r="E120" s="1"/>
      <c r="F120" s="1"/>
      <c r="G120" s="1"/>
      <c r="H120" s="1"/>
      <c r="I120" s="1"/>
      <c r="J120" s="1"/>
      <c r="K120" s="1" t="s">
        <v>960</v>
      </c>
    </row>
    <row r="121">
      <c r="A121" s="1"/>
      <c r="B121" s="111" t="s">
        <v>961</v>
      </c>
      <c r="C121" s="100">
        <v>8</v>
      </c>
      <c r="D121" s="1"/>
      <c r="E121" s="1"/>
      <c r="F121" s="1"/>
      <c r="G121" s="1"/>
      <c r="H121" s="1"/>
      <c r="I121" s="1"/>
      <c r="J121" s="1"/>
      <c r="K121" s="1" t="s">
        <v>962</v>
      </c>
    </row>
    <row r="122" ht="27">
      <c r="A122" s="1"/>
      <c r="B122" s="111" t="s">
        <v>963</v>
      </c>
      <c r="C122" s="91">
        <f>(C121*C118+C119)/(C121+C120)</f>
        <v>0.7314285714285714</v>
      </c>
      <c r="D122" s="1"/>
      <c r="E122" s="1"/>
      <c r="F122" s="1"/>
      <c r="G122" s="1"/>
      <c r="H122" s="1"/>
      <c r="I122" s="1"/>
      <c r="J122" s="1"/>
      <c r="K122" s="1"/>
    </row>
    <row r="123" ht="39">
      <c r="A123" s="1"/>
      <c r="B123" s="111" t="s">
        <v>964</v>
      </c>
      <c r="C123" s="75">
        <v>-0.2</v>
      </c>
      <c r="D123" s="1"/>
      <c r="E123" s="1"/>
      <c r="F123" s="1"/>
      <c r="G123" s="1"/>
      <c r="H123" s="1"/>
      <c r="I123" s="1"/>
      <c r="J123" s="1"/>
      <c r="K123" s="1" t="s">
        <v>965</v>
      </c>
    </row>
    <row r="124" ht="39">
      <c r="A124" s="1"/>
      <c r="B124" s="111" t="s">
        <v>966</v>
      </c>
      <c r="C124" s="75">
        <v>-0.03</v>
      </c>
      <c r="D124" s="1"/>
      <c r="E124" s="1"/>
      <c r="F124" s="1"/>
      <c r="G124" s="1"/>
      <c r="H124" s="1"/>
      <c r="I124" s="1"/>
      <c r="J124" s="1"/>
      <c r="K124" s="1" t="s">
        <v>967</v>
      </c>
    </row>
    <row r="125" ht="39">
      <c r="A125" s="1"/>
      <c r="B125" s="111" t="s">
        <v>968</v>
      </c>
      <c r="C125" s="75">
        <v>0.02</v>
      </c>
      <c r="D125" s="1"/>
      <c r="E125" s="1"/>
      <c r="F125" s="1"/>
      <c r="G125" s="1"/>
      <c r="H125" s="1"/>
      <c r="I125" s="1"/>
      <c r="J125" s="1"/>
      <c r="K125" s="1" t="s">
        <v>969</v>
      </c>
    </row>
    <row r="126">
      <c r="A126" s="1"/>
      <c r="B126" s="111" t="s">
        <v>970</v>
      </c>
      <c r="C126" s="91">
        <f>C122+SUM(C123:C125)</f>
        <v>0.5214285714285714</v>
      </c>
      <c r="D126" s="1"/>
      <c r="E126" s="1"/>
      <c r="F126" s="1"/>
      <c r="G126" s="1"/>
      <c r="H126" s="1"/>
      <c r="I126" s="1"/>
      <c r="J126" s="1"/>
      <c r="K126" s="1" t="s">
        <v>971</v>
      </c>
    </row>
    <row r="127">
      <c r="A127" s="1"/>
      <c r="B127" s="111" t="s">
        <v>41</v>
      </c>
      <c r="C127" s="1" t="s">
        <v>972</v>
      </c>
      <c r="D127" s="1"/>
      <c r="E127" s="1"/>
      <c r="F127" s="1"/>
      <c r="G127" s="1"/>
      <c r="H127" s="1"/>
      <c r="I127" s="1"/>
      <c r="J127" s="1"/>
      <c r="K127" s="1" t="s">
        <v>973</v>
      </c>
    </row>
    <row r="128" ht="27">
      <c r="A128" s="1"/>
      <c r="B128" s="111" t="s">
        <v>974</v>
      </c>
      <c r="C128" s="77">
        <f>AVERAGE(J105:J110)</f>
        <v>0.010000000000000002</v>
      </c>
      <c r="D128" s="1"/>
      <c r="E128" s="1"/>
      <c r="F128" s="1"/>
      <c r="G128" s="1"/>
      <c r="H128" s="1"/>
      <c r="I128" s="1"/>
      <c r="J128" s="1"/>
      <c r="K128" s="1" t="s">
        <v>975</v>
      </c>
    </row>
    <row r="129" ht="27">
      <c r="A129" s="1"/>
      <c r="B129" s="111" t="s">
        <v>976</v>
      </c>
      <c r="C129" s="31">
        <f>D47</f>
        <v>0.12</v>
      </c>
      <c r="D129" s="1"/>
      <c r="E129" s="1"/>
      <c r="F129" s="1"/>
      <c r="G129" s="1"/>
      <c r="H129" s="1"/>
      <c r="I129" s="1"/>
      <c r="J129" s="1"/>
      <c r="K129" s="1" t="s">
        <v>977</v>
      </c>
    </row>
    <row r="130" ht="27">
      <c r="A130" s="1"/>
      <c r="B130" s="111" t="s">
        <v>978</v>
      </c>
      <c r="C130" s="92">
        <v>0.122</v>
      </c>
      <c r="D130" s="1"/>
      <c r="E130" s="1"/>
      <c r="F130" s="1"/>
      <c r="G130" s="1"/>
      <c r="H130" s="1"/>
      <c r="I130" s="1"/>
      <c r="J130" s="1"/>
      <c r="K130" s="1" t="s">
        <v>979</v>
      </c>
    </row>
    <row r="131" ht="27">
      <c r="A131" s="1"/>
      <c r="B131" s="111" t="s">
        <v>980</v>
      </c>
      <c r="C131" s="24">
        <v>7620</v>
      </c>
      <c r="D131" s="1"/>
      <c r="E131" s="1"/>
      <c r="F131" s="1"/>
      <c r="G131" s="1"/>
      <c r="H131" s="1"/>
      <c r="I131" s="1"/>
      <c r="J131" s="1"/>
      <c r="K131" s="1" t="s">
        <v>745</v>
      </c>
    </row>
    <row r="132" ht="27">
      <c r="A132" s="1"/>
      <c r="B132" s="111" t="s">
        <v>981</v>
      </c>
      <c r="C132" s="1" t="s">
        <v>982</v>
      </c>
      <c r="D132" s="1"/>
      <c r="E132" s="1"/>
      <c r="F132" s="1"/>
      <c r="G132" s="1"/>
      <c r="H132" s="1"/>
      <c r="I132" s="1"/>
      <c r="J132" s="1"/>
      <c r="K132" s="1" t="s">
        <v>703</v>
      </c>
    </row>
  </sheetData>
</worksheet>
</file>