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omments13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USCS" sheetId="3"/>
    <sheet r:id="rId4" name="Segment - CS" sheetId="4"/>
    <sheet r:id="rId5" name="Segment - ICS" sheetId="5"/>
    <sheet r:id="rId6" name="Segment - GMNS" sheetId="6"/>
    <sheet r:id="rId7" name="Income Statement" sheetId="7"/>
    <sheet r:id="rId8" name="Balance Sheet" sheetId="8"/>
    <sheet r:id="rId9" name="Cash Flow Statement" sheetId="9"/>
    <sheet r:id="rId10" name="Share Count" sheetId="10"/>
    <sheet r:id="rId11" name="Guidance" sheetId="11"/>
    <sheet r:id="rId12" name="Sources" sheetId="12"/>
    <sheet r:id="rId13" name="Inputs" sheetId="13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4" authorId="0">
      <text>
        <r>
          <rPr>
            <sz val="9"/>
            <color rgb="FF000000"/>
            <rFont val="Arial"/>
            <family val="2"/>
          </rPr>
          <t>q226exhibit992.htm | Billed business - total ($bn), Q3'25 | 421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q226exhibit992.htm | Billed business - total ($bn), Q4'25 | 445.1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q425exhibit992.htm | Billed business - total ($bn), FY'25 | 1,669.8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q226exhibit992.htm | Billed business - total ($bn), Q1'26 | 428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q226exhibit992.htm | Billed business - total ($bn), Q2'26 | 455.8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q226exhibit992.htm | Goods &amp; services billed growth - reported, Q3'25 | 9.0%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q226exhibit992.htm | Goods &amp; services billed growth - reported, Q4'25 | 9.0%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q425exhibit992.htm | Goods &amp; services billed growth - reported, FY'25 | 8.0%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q226exhibit992.htm | Goods &amp; services billed growth - reported, Q1'26 | 10.0%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q226exhibit992.htm | Goods &amp; services billed growth - reported, Q2'26 | 9.0%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q226exhibit992.htm | Goods &amp; services billed growth - FX-adjusted, Q3'25 | 9.0%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q226exhibit992.htm | Goods &amp; services billed growth - FX-adjusted, Q4'25 | 8.0%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q425exhibit992.htm | Goods &amp; services billed growth - FX-adjusted, FY'25 | 8.0%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q226exhibit992.htm | Goods &amp; services billed growth - FX-adjusted, Q1'26 | 8.0%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q226exhibit992.htm | Goods &amp; services billed growth - FX-adjusted, Q2'26 | 9.0%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q226exhibit992.htm | T&amp;E billed growth - reported, Q3'25 | 8.0%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q226exhibit992.htm | T&amp;E billed growth - reported, Q4'25 | 9.0%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q425exhibit992.htm | T&amp;E billed growth - reported, FY'25 | 8.0%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q226exhibit992.htm | T&amp;E billed growth - reported, Q1'26 | 12.0%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q226exhibit992.htm | T&amp;E billed growth - reported, Q2'26 | 10.0%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q226exhibit992.htm | T&amp;E billed growth - FX-adjusted, Q3'25 | 8.0%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q226exhibit992.htm | T&amp;E billed growth - FX-adjusted, Q4'25 | 8.0%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q425exhibit992.htm | T&amp;E billed growth - FX-adjusted, FY'25 | 7.0%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q226exhibit992.htm | T&amp;E billed growth - FX-adjusted, Q1'26 | 9.0%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q226exhibit992.htm | T&amp;E billed growth - FX-adjusted, Q2'26 | 10.0%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q226exhibit992.htm | Goods &amp; services share of billed business, Q3'25 | 73.0%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q226exhibit992.htm | Goods &amp; services share of billed business, Q4'25 | 74.0%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q226exhibit992.htm | Goods &amp; services share of billed business, Q2'26 | 71.0%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q226exhibit992.htm | T&amp;E share of billed business, Q3'25 | 27.0%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q226exhibit992.htm | T&amp;E share of billed business, Q4'25 | 26.0%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q226exhibit992.htm | T&amp;E share of billed business, Q2'26 | 28.0%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q226exhibit992.htm | Network volumes - total ($bn), Q3'25 | 479.2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q226exhibit992.htm | Network volumes - total ($bn), Q4'25 | 506.2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q425exhibit992.htm | Network volumes - total ($bn), FY'25 | 1,897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q226exhibit992.htm | Network volumes - total ($bn), Q1'26 | 486.3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q226exhibit992.htm | Network volumes - total ($bn), Q2'26 | 516.8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q226exhibit992.htm | Gross additions - proprietary new cards acquired (m), Q3'25 | 3.2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q226exhibit992.htm | Gross additions - proprietary new cards acquired (m), Q4'25 | 2.9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q425exhibit992.htm | Gross additions - proprietary new cards acquired (m), FY'25 | 12.5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q226exhibit992.htm | Gross additions - proprietary new cards acquired (m), Q1'26 | 3.1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q226exhibit992.htm | Gross additions - proprietary new cards acquired (m), Q2'26 | 3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q226exhibit992.htm | Proprietary cards-in-force - closing (m), Q3'25 | 86</t>
        </r>
      </text>
    </comment>
    <comment ref="D72" authorId="0">
      <text>
        <r>
          <rPr>
            <sz val="9"/>
            <color rgb="FF000000"/>
            <rFont val="Arial"/>
            <family val="2"/>
          </rPr>
          <t>q226exhibit992.htm | Proprietary cards-in-force - closing (m), Q4'25 | 86.6</t>
        </r>
      </text>
    </comment>
    <comment ref="E72" authorId="0">
      <text>
        <r>
          <rPr>
            <sz val="9"/>
            <color rgb="FF000000"/>
            <rFont val="Arial"/>
            <family val="2"/>
          </rPr>
          <t>q425exhibit992.htm | Proprietary cards-in-force - closing (m), FY'25 | 86.6</t>
        </r>
      </text>
    </comment>
    <comment ref="F72" authorId="0">
      <text>
        <r>
          <rPr>
            <sz val="9"/>
            <color rgb="FF000000"/>
            <rFont val="Arial"/>
            <family val="2"/>
          </rPr>
          <t>q226exhibit992.htm | Proprietary cards-in-force - closing (m), Q1'26 | 87.2</t>
        </r>
      </text>
    </comment>
    <comment ref="G72" authorId="0">
      <text>
        <r>
          <rPr>
            <sz val="9"/>
            <color rgb="FF000000"/>
            <rFont val="Arial"/>
            <family val="2"/>
          </rPr>
          <t>q226exhibit992.htm | Proprietary cards-in-force - closing (m), Q2'26 | 87.6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q226exhibit992.htm | Proprietary basic cards-in-force (m), Q3'25 | 66.2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q226exhibit992.htm | Proprietary basic cards-in-force (m), Q4'25 | 66.7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q425exhibit992.htm | Proprietary basic cards-in-force (m), FY'25 | 66.7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q226exhibit992.htm | Proprietary basic cards-in-force (m), Q1'26 | 67.2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q226exhibit992.htm | Proprietary basic cards-in-force (m), Q2'26 | 67.5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q226exhibit992.htm | Total cards-in-force (m), Q3'25 | 151.2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q226exhibit992.htm | Total cards-in-force (m), Q4'25 | 152.8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q425exhibit992.htm | Total cards-in-force (m), FY'25 | 152.8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q226exhibit992.htm | Total cards-in-force (m), Q1'26 | 153.9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q226exhibit992.htm | Total cards-in-force (m), Q2'26 | 155.1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q226exhibit992.htm | Basic cards-in-force incl. partners (m), Q3'25 | 127.6</t>
        </r>
      </text>
    </comment>
    <comment ref="D90" authorId="0">
      <text>
        <r>
          <rPr>
            <sz val="9"/>
            <color rgb="FF000000"/>
            <rFont val="Arial"/>
            <family val="2"/>
          </rPr>
          <t>q226exhibit992.htm | Basic cards-in-force incl. partners (m), Q4'25 | 128.9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q425exhibit992.htm | Basic cards-in-force incl. partners (m), FY'25 | 128.9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q226exhibit992.htm | Basic cards-in-force incl. partners (m), Q1'26 | 130.1</t>
        </r>
      </text>
    </comment>
    <comment ref="G90" authorId="0">
      <text>
        <r>
          <rPr>
            <sz val="9"/>
            <color rgb="FF000000"/>
            <rFont val="Arial"/>
            <family val="2"/>
          </rPr>
          <t>q226exhibit992.htm | Basic cards-in-force incl. partners (m), Q2'26 | 130.6</t>
        </r>
      </text>
    </comment>
    <comment ref="C94" authorId="0">
      <text>
        <r>
          <rPr>
            <sz val="9"/>
            <color rgb="FF000000"/>
            <rFont val="Arial"/>
            <family val="2"/>
          </rPr>
          <t>q226exhibit992.htm | Avg proprietary basic CM spending ($), Q3'25 | 6,387</t>
        </r>
      </text>
    </comment>
    <comment ref="D94" authorId="0">
      <text>
        <r>
          <rPr>
            <sz val="9"/>
            <color rgb="FF000000"/>
            <rFont val="Arial"/>
            <family val="2"/>
          </rPr>
          <t>q226exhibit992.htm | Avg proprietary basic CM spending ($), Q4'25 | 6,696</t>
        </r>
      </text>
    </comment>
    <comment ref="E94" authorId="0">
      <text>
        <r>
          <rPr>
            <sz val="9"/>
            <color rgb="FF000000"/>
            <rFont val="Arial"/>
            <family val="2"/>
          </rPr>
          <t>q425exhibit992.htm | Avg proprietary basic CM spending ($), FY'25 | 25,453</t>
        </r>
      </text>
    </comment>
    <comment ref="F94" authorId="0">
      <text>
        <r>
          <rPr>
            <sz val="9"/>
            <color rgb="FF000000"/>
            <rFont val="Arial"/>
            <family val="2"/>
          </rPr>
          <t>q226exhibit992.htm | Avg proprietary basic CM spending ($), Q1'26 | 6,393</t>
        </r>
      </text>
    </comment>
    <comment ref="G94" authorId="0">
      <text>
        <r>
          <rPr>
            <sz val="9"/>
            <color rgb="FF000000"/>
            <rFont val="Arial"/>
            <family val="2"/>
          </rPr>
          <t>q226exhibit992.htm | Avg proprietary basic CM spending ($), Q2'26 | 6,759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q226exhibit992.htm | Average fee per card - annualized ($), Q3'25 | 119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q226exhibit992.htm | Average fee per card - annualized ($), Q4'25 | 122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q425exhibit992.htm | Average fee per card - annualized ($), FY'25 | 117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q226exhibit992.htm | Average fee per card - annualized ($), Q1'26 | 127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q226exhibit992.htm | Average fee per card - annualized ($), Q2'26 | 131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2" authorId="0">
      <text>
        <r>
          <rPr>
            <sz val="9"/>
            <color rgb="FF000000"/>
            <rFont val="Arial"/>
            <family val="2"/>
          </rPr>
          <t>q226exhibit992.htm | Proprietary cards-in-force - closing (m), Q3'25 | 47.8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q226exhibit992.htm | Proprietary cards-in-force - closing (m), Q4'25 | 48.3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q425exhibit992.htm | Proprietary cards-in-force - closing (m), FY'25 | 48.3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q226exhibit992.htm | Proprietary cards-in-force - closing (m), Q1'26 | 48.7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q226exhibit992.htm | Proprietary cards-in-force - closing (m), Q2'26 | 49.2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Q3'25 | 33.7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Q4'25 | 34.1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q425exhibit992.htm | Proprietary basic cards-in-force - closing (m), FY'25 | 34.1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Q1'26 | 34.6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Q2'26 | 35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Q3'25 | 5,291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Q4'25 | 5,574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q425exhibit992.htm | Average proprietary basic Card Member spending ($), FY'25 | 21,215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Q1'26 | 5,248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Q2'26 | 5,654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q226exhibit992.htm | Billed business ($bn), Q3'25 | 177.5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q226exhibit992.htm | Billed business ($bn), Q4'25 | 189.2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q425exhibit992.htm | Billed business ($bn), FY'25 | 707.5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q226exhibit992.htm | Billed business ($bn), Q1'26 | 180.2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q226exhibit992.htm | Billed business ($bn), Q2'26 | 196.4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q226exhibit992.htm | Card balances - closing ($m), Q3'25 | 106,969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q226exhibit992.htm | Card balances - closing ($m), Q4'25 | 114,368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q425exhibit992.htm | Card balances - closing ($m), FY'25 | 114,368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q226exhibit992.htm | Card balances - closing ($m), Q1'26 | 110,849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q226exhibit992.htm | Card balances - closing ($m), Q2'26 | 113,796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q226exhibit992.htm | Average Card balances ($m), Q3'25 | 106,753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q226exhibit992.htm | Average Card balances ($m), Q4'25 | 110,161</t>
        </r>
      </text>
    </comment>
    <comment ref="E55" authorId="0">
      <text>
        <r>
          <rPr>
            <sz val="9"/>
            <color rgb="FF000000"/>
            <rFont val="Arial"/>
            <family val="2"/>
          </rPr>
          <t>q425exhibit992.htm | Average Card balances ($m), FY'25 | 106,377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q226exhibit992.htm | Average Card balances ($m), Q1'26 | 110,664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q226exhibit992.htm | Average Card balances ($m), Q2'26 | 112,449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Q3'25 | 2.3%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Q4'25 | 2.6%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q425exhibit992.htm | Net write-off rate - principal, interest &amp; fees, FY'25 | 2.5%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Q1'26 | 2.4%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Q2'26 | 2.3%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q226exhibit992.htm | Net write-off rate - principal only (memo), Q3'25 | 1.8%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q226exhibit992.htm | Net write-off rate - principal only (memo), Q4'25 | 2.1%</t>
        </r>
      </text>
    </comment>
    <comment ref="E65" authorId="0">
      <text>
        <r>
          <rPr>
            <sz val="9"/>
            <color rgb="FF000000"/>
            <rFont val="Arial"/>
            <family val="2"/>
          </rPr>
          <t>q425exhibit992.htm | Net write-off rate - principal only (memo), FY'25 | 2.0%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q226exhibit992.htm | Net write-off rate - principal only (memo), Q1'26 | 1.9%</t>
        </r>
      </text>
    </comment>
    <comment ref="G65" authorId="0">
      <text>
        <r>
          <rPr>
            <sz val="9"/>
            <color rgb="FF000000"/>
            <rFont val="Arial"/>
            <family val="2"/>
          </rPr>
          <t>q226exhibit992.htm | Net write-off rate - principal only (memo), Q2'26 | 1.8%</t>
        </r>
      </text>
    </comment>
    <comment ref="C69" authorId="0">
      <text>
        <r>
          <rPr>
            <sz val="9"/>
            <color rgb="FF000000"/>
            <rFont val="Arial"/>
            <family val="2"/>
          </rPr>
          <t>q226exhibit992.htm | 30+ days past due (% of total), Q3'25 | 1.3%</t>
        </r>
      </text>
    </comment>
    <comment ref="D69" authorId="0">
      <text>
        <r>
          <rPr>
            <sz val="9"/>
            <color rgb="FF000000"/>
            <rFont val="Arial"/>
            <family val="2"/>
          </rPr>
          <t>q226exhibit992.htm | 30+ days past due (% of total), Q4'25 | 1.3%</t>
        </r>
      </text>
    </comment>
    <comment ref="E69" authorId="0">
      <text>
        <r>
          <rPr>
            <sz val="9"/>
            <color rgb="FF000000"/>
            <rFont val="Arial"/>
            <family val="2"/>
          </rPr>
          <t>q425exhibit992.htm | 30+ days past due (% of total), FY'25 | 1.3%</t>
        </r>
      </text>
    </comment>
    <comment ref="F69" authorId="0">
      <text>
        <r>
          <rPr>
            <sz val="9"/>
            <color rgb="FF000000"/>
            <rFont val="Arial"/>
            <family val="2"/>
          </rPr>
          <t>q226exhibit992.htm | 30+ days past due (% of total), Q1'26 | 1.3%</t>
        </r>
      </text>
    </comment>
    <comment ref="G69" authorId="0">
      <text>
        <r>
          <rPr>
            <sz val="9"/>
            <color rgb="FF000000"/>
            <rFont val="Arial"/>
            <family val="2"/>
          </rPr>
          <t>q226exhibit992.htm | 30+ days past due (% of total), Q2'26 | 1.1%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q226exhibit992.htm | Non-interest revenues, Q3'25 | 5,620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q226exhibit992.htm | Non-interest revenues, Q4'25 | 5,904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q425exhibit992.htm | Non-interest revenues, FY'25 | 22,307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q226exhibit992.htm | Non-interest revenues, Q1'26 | 5,803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q226exhibit992.htm | Non-interest revenues, Q2'26 | 6,229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q226exhibit992.htm | Interest income, Q3'25 | 4,025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q226exhibit992.htm | Interest income, Q4'25 | 4,072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q425exhibit992.htm | Interest income, FY'25 | 15,655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q226exhibit992.htm | Interest income, Q1'26 | 4,072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q226exhibit992.htm | Interest income, Q2'26 | 4,052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q226exhibit992.htm | Interest expense, Q3'25 | 789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q226exhibit992.htm | Interest expense, Q4'25 | 820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q425exhibit992.htm | Interest expense, FY'25 | 3,148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q226exhibit992.htm | Interest expense, Q1'26 | 751</t>
        </r>
      </text>
    </comment>
    <comment ref="G87" authorId="0">
      <text>
        <r>
          <rPr>
            <sz val="9"/>
            <color rgb="FF000000"/>
            <rFont val="Arial"/>
            <family val="2"/>
          </rPr>
          <t>q226exhibit992.htm | Interest expense, Q2'26 | 757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q226exhibit992.htm | Total provisions for credit losses, Q3'25 | 734</t>
        </r>
      </text>
    </comment>
    <comment ref="D110" authorId="0">
      <text>
        <r>
          <rPr>
            <sz val="9"/>
            <color rgb="FF000000"/>
            <rFont val="Arial"/>
            <family val="2"/>
          </rPr>
          <t>q226exhibit992.htm | Total provisions for credit losses, Q4'25 | 773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q425exhibit992.htm | Total provisions for credit losses, FY'25 | 2,967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q226exhibit992.htm | Total provisions for credit losses, Q1'26 | 631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q226exhibit992.htm | Total provisions for credit losses, Q2'26 | 498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Q3'25 | 4,145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Q4'25 | 4,563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q425exhibit992.htm | Card Member rewards, business development and Card Member services, FY'25 | 16,557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Q1'26 | 4,605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Q2'26 | 4,745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q226exhibit992.htm | Marketing, Q3'25 | 825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q226exhibit992.htm | Marketing, Q4'25 | 797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q425exhibit992.htm | Marketing, FY'25 | 3,187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q226exhibit992.htm | Marketing, Q1'26 | 764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q226exhibit992.htm | Marketing, Q2'26 | 813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Q3'25 | 1,300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Q4'25 | 1,473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q425exhibit992.htm | Salaries and employee benefits and other operating expenses, FY'25 | 5,293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Q1'26 | 1,367</t>
        </r>
      </text>
    </comment>
    <comment ref="G13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Q2'26 | 1,403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q226exhibit992.htm | Pretax segment income - as reported (memo), Q3'25 | 1,852</t>
        </r>
      </text>
    </comment>
    <comment ref="D144" authorId="0">
      <text>
        <r>
          <rPr>
            <sz val="9"/>
            <color rgb="FF000000"/>
            <rFont val="Arial"/>
            <family val="2"/>
          </rPr>
          <t>q226exhibit992.htm | Pretax segment income - as reported (memo), Q4'25 | 1,550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q425exhibit992.htm | Pretax segment income - as reported (memo), FY'25 | 6,810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q226exhibit992.htm | Pretax segment income - as reported (memo), Q1'26 | 1,757</t>
        </r>
      </text>
    </comment>
    <comment ref="G144" authorId="0">
      <text>
        <r>
          <rPr>
            <sz val="9"/>
            <color rgb="FF000000"/>
            <rFont val="Arial"/>
            <family val="2"/>
          </rPr>
          <t>q226exhibit992.htm | Pretax segment income - as reported (memo), Q2'26 | 2,065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2" authorId="0">
      <text>
        <r>
          <rPr>
            <sz val="9"/>
            <color rgb="FF000000"/>
            <rFont val="Arial"/>
            <family val="2"/>
          </rPr>
          <t>q226exhibit992.htm | Proprietary cards-in-force - closing (m), Q3'25 | 15.4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q226exhibit992.htm | Proprietary cards-in-force - closing (m), Q4'25 | 15.3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q425exhibit992.htm | Proprietary cards-in-force - closing (m), FY'25 | 15.3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q226exhibit992.htm | Proprietary cards-in-force - closing (m), Q1'26 | 15.3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q226exhibit992.htm | Proprietary cards-in-force - closing (m), Q2'26 | 14.6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Q3'25 | 8,833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Q4'25 | 9,151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q425exhibit992.htm | Average proprietary basic Card Member spending ($), FY'25 | 35,153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Q1'26 | 8,793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Q2'26 | 9,607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q226exhibit992.htm | Billed business ($bn), Q3'25 | 136.3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q226exhibit992.htm | Billed business ($bn), Q4'25 | 140.9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q425exhibit992.htm | Billed business ($bn), FY'25 | 541.9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q226exhibit992.htm | Billed business ($bn), Q1'26 | 134.4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q226exhibit992.htm | Billed business ($bn), Q2'26 | 141.8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q226exhibit992.htm | Billed growth - reported (issuer, rounded), Q3'25 | 4.0%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q226exhibit992.htm | Billed growth - reported (issuer, rounded), Q4'25 | 4.0%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q425exhibit992.htm | Billed growth - reported (issuer, rounded), FY'25 | 3.0%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q226exhibit992.htm | Billed growth - reported (issuer, rounded), Q1'26 | 4.0%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q226exhibit992.htm | Billed growth - reported (issuer, rounded), Q2'26 | 5.0%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Q3'25 | 4.0%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Q4'25 | 3.0%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q425exhibit992.htm | Billed growth - FX-adjusted (issuer, rounded), FY'25 | 3.0%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Q1'26 | 4.0%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Q2'26 | 5.0%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q226exhibit992.htm | Card balances - closing ($m), Q3'25 | 57,379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q226exhibit992.htm | Card balances - closing ($m), Q4'25 | 56,086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q425exhibit992.htm | Card balances - closing ($m), FY'25 | 56,086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q226exhibit992.htm | Card balances - closing ($m), Q1'26 | 58,754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q226exhibit992.htm | Card balances - closing ($m), Q2'26 | 58,952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q226exhibit992.htm | Average Card balances ($m), Q3'25 | 56,444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q226exhibit992.htm | Average Card balances ($m), Q4'25 | 57,689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q425exhibit992.htm | Average Card balances ($m), FY'25 | 56,711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q226exhibit992.htm | Average Card balances ($m), Q1'26 | 57,283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q226exhibit992.htm | Average Card balances ($m), Q2'26 | 59,287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Q3'25 | 2.2%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Q4'25 | 2.2%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q425exhibit992.htm | Net write-off rate - principal, interest &amp; fees, FY'25 | 2.2%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Q1'26 | 2.4%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Q2'26 | 2.3%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q226exhibit992.htm | Net write-off rate - principal only (memo), Q3'25 | 2.3%</t>
        </r>
      </text>
    </comment>
    <comment ref="D52" authorId="0">
      <text>
        <r>
          <rPr>
            <sz val="9"/>
            <color rgb="FF000000"/>
            <rFont val="Arial"/>
            <family val="2"/>
          </rPr>
          <t>q226exhibit992.htm | Net write-off rate - principal only (memo), Q4'25 | 2.3%</t>
        </r>
      </text>
    </comment>
    <comment ref="E52" authorId="0">
      <text>
        <r>
          <rPr>
            <sz val="9"/>
            <color rgb="FF000000"/>
            <rFont val="Arial"/>
            <family val="2"/>
          </rPr>
          <t>q425exhibit992.htm | Net write-off rate - principal only (memo), FY'25 | 2.3%</t>
        </r>
      </text>
    </comment>
    <comment ref="F52" authorId="0">
      <text>
        <r>
          <rPr>
            <sz val="9"/>
            <color rgb="FF000000"/>
            <rFont val="Arial"/>
            <family val="2"/>
          </rPr>
          <t>q226exhibit992.htm | Net write-off rate - principal only (memo), Q1'26 | 2.5%</t>
        </r>
      </text>
    </comment>
    <comment ref="G52" authorId="0">
      <text>
        <r>
          <rPr>
            <sz val="9"/>
            <color rgb="FF000000"/>
            <rFont val="Arial"/>
            <family val="2"/>
          </rPr>
          <t>q226exhibit992.htm | Net write-off rate - principal only (memo), Q2'26 | 2.4%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q226exhibit992.htm | 30+ days past due (% of total), Q3'25 | 1.5%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q226exhibit992.htm | 30+ days past due (% of total), Q4'25 | 1.5%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q425exhibit992.htm | 30+ days past due (% of total), FY'25 | 1.5%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q226exhibit992.htm | 30+ days past due (% of total), Q1'26 | 1.6%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q226exhibit992.htm | 30+ days past due (% of total), Q2'26 | 1.4%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q226exhibit992.htm | 90+ days past billing - corporate (%), Q3'25 | 0.4%</t>
        </r>
      </text>
    </comment>
    <comment ref="D59" authorId="0">
      <text>
        <r>
          <rPr>
            <sz val="9"/>
            <color rgb="FF000000"/>
            <rFont val="Arial"/>
            <family val="2"/>
          </rPr>
          <t>q226exhibit992.htm | 90+ days past billing - corporate (%), Q4'25 | 0.5%</t>
        </r>
      </text>
    </comment>
    <comment ref="E59" authorId="0">
      <text>
        <r>
          <rPr>
            <sz val="9"/>
            <color rgb="FF000000"/>
            <rFont val="Arial"/>
            <family val="2"/>
          </rPr>
          <t>q425exhibit992.htm | 90+ days past billing - corporate (%), FY'25 | 0.5%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q226exhibit992.htm | 90+ days past billing - corporate (%), Q1'26 | 0.4%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q226exhibit992.htm | 90+ days past billing - corporate (%), Q2'26 | 0.4%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q226exhibit992.htm | Non-interest revenues, Q3'25 | 3,441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q226exhibit992.htm | Non-interest revenues, Q4'25 | 3,526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q425exhibit992.htm | Non-interest revenues, FY'25 | 13,654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q226exhibit992.htm | Non-interest revenues, Q1'26 | 3,408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q226exhibit992.htm | Non-interest revenues, Q2'26 | 3,591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q226exhibit992.htm | Interest income, Q3'25 | 1,302</t>
        </r>
      </text>
    </comment>
    <comment ref="D74" authorId="0">
      <text>
        <r>
          <rPr>
            <sz val="9"/>
            <color rgb="FF000000"/>
            <rFont val="Arial"/>
            <family val="2"/>
          </rPr>
          <t>q226exhibit992.htm | Interest income, Q4'25 | 1,333</t>
        </r>
      </text>
    </comment>
    <comment ref="E74" authorId="0">
      <text>
        <r>
          <rPr>
            <sz val="9"/>
            <color rgb="FF000000"/>
            <rFont val="Arial"/>
            <family val="2"/>
          </rPr>
          <t>q425exhibit992.htm | Interest income, FY'25 | 5,077</t>
        </r>
      </text>
    </comment>
    <comment ref="F74" authorId="0">
      <text>
        <r>
          <rPr>
            <sz val="9"/>
            <color rgb="FF000000"/>
            <rFont val="Arial"/>
            <family val="2"/>
          </rPr>
          <t>q226exhibit992.htm | Interest income, Q1'26 | 1,345</t>
        </r>
      </text>
    </comment>
    <comment ref="G74" authorId="0">
      <text>
        <r>
          <rPr>
            <sz val="9"/>
            <color rgb="FF000000"/>
            <rFont val="Arial"/>
            <family val="2"/>
          </rPr>
          <t>q226exhibit992.htm | Interest income, Q2'26 | 1,343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q226exhibit992.htm | Interest expense, Q3'25 | 462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q226exhibit992.htm | Interest expense, Q4'25 | 461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q425exhibit992.htm | Interest expense, FY'25 | 1,805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q226exhibit992.htm | Interest expense, Q1'26 | 432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q226exhibit992.htm | Interest expense, Q2'26 | 432</t>
        </r>
      </text>
    </comment>
    <comment ref="C100" authorId="0">
      <text>
        <r>
          <rPr>
            <sz val="9"/>
            <color rgb="FF000000"/>
            <rFont val="Arial"/>
            <family val="2"/>
          </rPr>
          <t>q226exhibit992.htm | Total provisions for credit losses, Q3'25 | 332</t>
        </r>
      </text>
    </comment>
    <comment ref="D100" authorId="0">
      <text>
        <r>
          <rPr>
            <sz val="9"/>
            <color rgb="FF000000"/>
            <rFont val="Arial"/>
            <family val="2"/>
          </rPr>
          <t>q226exhibit992.htm | Total provisions for credit losses, Q4'25 | 359</t>
        </r>
      </text>
    </comment>
    <comment ref="E100" authorId="0">
      <text>
        <r>
          <rPr>
            <sz val="9"/>
            <color rgb="FF000000"/>
            <rFont val="Arial"/>
            <family val="2"/>
          </rPr>
          <t>q425exhibit992.htm | Total provisions for credit losses, FY'25 | 1,380</t>
        </r>
      </text>
    </comment>
    <comment ref="F100" authorId="0">
      <text>
        <r>
          <rPr>
            <sz val="9"/>
            <color rgb="FF000000"/>
            <rFont val="Arial"/>
            <family val="2"/>
          </rPr>
          <t>q226exhibit992.htm | Total provisions for credit losses, Q1'26 | 380</t>
        </r>
      </text>
    </comment>
    <comment ref="G100" authorId="0">
      <text>
        <r>
          <rPr>
            <sz val="9"/>
            <color rgb="FF000000"/>
            <rFont val="Arial"/>
            <family val="2"/>
          </rPr>
          <t>q226exhibit992.htm | Total provisions for credit losses, Q2'26 | 353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Q3'25 | 1,730</t>
        </r>
      </text>
    </comment>
    <comment ref="D11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Q4'25 | 1,900</t>
        </r>
      </text>
    </comment>
    <comment ref="E113" authorId="0">
      <text>
        <r>
          <rPr>
            <sz val="9"/>
            <color rgb="FF000000"/>
            <rFont val="Arial"/>
            <family val="2"/>
          </rPr>
          <t>q425exhibit992.htm | Card Member rewards, business development and Card Member services, FY'25 | 7,166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Q1'26 | 1,986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Q2'26 | 1,994</t>
        </r>
      </text>
    </comment>
    <comment ref="C117" authorId="0">
      <text>
        <r>
          <rPr>
            <sz val="9"/>
            <color rgb="FF000000"/>
            <rFont val="Arial"/>
            <family val="2"/>
          </rPr>
          <t>q226exhibit992.htm | Marketing, Q3'25 | 313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q226exhibit992.htm | Marketing, Q4'25 | 350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q425exhibit992.htm | Marketing, FY'25 | 1,331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q226exhibit992.htm | Marketing, Q1'26 | 311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q226exhibit992.htm | Marketing, Q2'26 | 379</t>
        </r>
      </text>
    </comment>
    <comment ref="C12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Q3'25 | 816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Q4'25 | 952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q425exhibit992.htm | Salaries and employee benefits and other operating expenses, FY'25 | 3,381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Q1'26 | 828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Q2'26 | 806</t>
        </r>
      </text>
    </comment>
    <comment ref="C134" authorId="0">
      <text>
        <r>
          <rPr>
            <sz val="9"/>
            <color rgb="FF000000"/>
            <rFont val="Arial"/>
            <family val="2"/>
          </rPr>
          <t>q226exhibit992.htm | Pretax segment income - as reported (memo), Q3'25 | 1,090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q226exhibit992.htm | Pretax segment income - as reported (memo), Q4'25 | 837</t>
        </r>
      </text>
    </comment>
    <comment ref="E134" authorId="0">
      <text>
        <r>
          <rPr>
            <sz val="9"/>
            <color rgb="FF000000"/>
            <rFont val="Arial"/>
            <family val="2"/>
          </rPr>
          <t>q425exhibit992.htm | Pretax segment income - as reported (memo), FY'25 | 3,668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q226exhibit992.htm | Pretax segment income - as reported (memo), Q1'26 | 816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q226exhibit992.htm | Pretax segment income - as reported (memo), Q2'26 | 970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2" authorId="0">
      <text>
        <r>
          <rPr>
            <sz val="9"/>
            <color rgb="FF000000"/>
            <rFont val="Arial"/>
            <family val="2"/>
          </rPr>
          <t>q226exhibit992.htm | Proprietary cards-in-force - closing (m), Q3'25 | 22.8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q226exhibit992.htm | Proprietary cards-in-force - closing (m), Q4'25 | 23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q425exhibit992.htm | Proprietary cards-in-force - closing (m), FY'25 | 23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q226exhibit992.htm | Proprietary cards-in-force - closing (m), Q1'26 | 23.2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q226exhibit992.htm | Proprietary cards-in-force - closing (m), Q2'26 | 23.9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Q3'25 | 17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Q4'25 | 17.2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q425exhibit992.htm | Proprietary basic cards-in-force - closing (m), FY'25 | 17.2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Q1'26 | 17.4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q226exhibit992.htm | Proprietary basic cards-in-force - closing (m), Q2'26 | 18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Q3'25 | 6,307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Q4'25 | 6,675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q425exhibit992.htm | Average proprietary basic Card Member spending ($), FY'25 | 24,822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Q1'26 | 6,452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Q2'26 | 6,535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q226exhibit992.htm | Billed business ($bn), Q3'25 | 106.9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q226exhibit992.htm | Billed business ($bn), Q4'25 | 114.3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q425exhibit992.htm | Billed business ($bn), FY'25 | 418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q226exhibit992.htm | Billed business ($bn), Q1'26 | 111.7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q226exhibit992.htm | Billed business ($bn), Q2'26 | 117.2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q226exhibit992.htm | Billed growth - reported (issuer, rounded), Q3'25 | 14.0%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q226exhibit992.htm | Billed growth - reported (issuer, rounded), Q4'25 | 17.0%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q425exhibit992.htm | Billed growth - reported (issuer, rounded), FY'25 | 14.0%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q226exhibit992.htm | Billed growth - reported (issuer, rounded), Q1'26 | 20.0%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q226exhibit992.htm | Billed growth - reported (issuer, rounded), Q2'26 | 13.0%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Q3'25 | 13.0%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Q4'25 | 12.0%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q425exhibit992.htm | Billed growth - FX-adjusted (issuer, rounded), FY'25 | 13.0%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Q1'26 | 13.0%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q226exhibit992.htm | Billed growth - FX-adjusted (issuer, rounded), Q2'26 | 12.0%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q226exhibit992.htm | Card balances - closing ($m), Q3'25 | 41,488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q226exhibit992.htm | Card balances - closing ($m), Q4'25 | 43,409</t>
        </r>
      </text>
    </comment>
    <comment ref="E53" authorId="0">
      <text>
        <r>
          <rPr>
            <sz val="9"/>
            <color rgb="FF000000"/>
            <rFont val="Arial"/>
            <family val="2"/>
          </rPr>
          <t>q425exhibit992.htm | Card balances - closing ($m), FY'25 | 43,409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q226exhibit992.htm | Card balances - closing ($m), Q1'26 | 43,708</t>
        </r>
      </text>
    </comment>
    <comment ref="G53" authorId="0">
      <text>
        <r>
          <rPr>
            <sz val="9"/>
            <color rgb="FF000000"/>
            <rFont val="Arial"/>
            <family val="2"/>
          </rPr>
          <t>q226exhibit992.htm | Card balances - closing ($m), Q2'26 | 45,305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q226exhibit992.htm | Average Card balances ($m), Q3'25 | 40,948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q226exhibit992.htm | Average Card balances ($m), Q4'25 | 42,590</t>
        </r>
      </text>
    </comment>
    <comment ref="E57" authorId="0">
      <text>
        <r>
          <rPr>
            <sz val="9"/>
            <color rgb="FF000000"/>
            <rFont val="Arial"/>
            <family val="2"/>
          </rPr>
          <t>q425exhibit992.htm | Average Card balances ($m), FY'25 | 39,886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q226exhibit992.htm | Average Card balances ($m), Q1'26 | 43,950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q226exhibit992.htm | Average Card balances ($m), Q2'26 | 44,975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Q3'25 | 2.0%</t>
        </r>
      </text>
    </comment>
    <comment ref="D64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Q4'25 | 1.9%</t>
        </r>
      </text>
    </comment>
    <comment ref="E64" authorId="0">
      <text>
        <r>
          <rPr>
            <sz val="9"/>
            <color rgb="FF000000"/>
            <rFont val="Arial"/>
            <family val="2"/>
          </rPr>
          <t>q425exhibit992.htm | Net write-off rate - principal, interest &amp; fees, FY'25 | 1.9%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Q1'26 | 2.0%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q226exhibit992.htm | Net write-off rate - principal, interest &amp; fees, Q2'26 | 2.0%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q226exhibit992.htm | Net write-off rate - principal only (memo), Q3'25 | 1.8%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q226exhibit992.htm | Net write-off rate - principal only (memo), Q4'25 | 1.7%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q425exhibit992.htm | Net write-off rate - principal only (memo), FY'25 | 1.8%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q226exhibit992.htm | Net write-off rate - principal only (memo), Q1'26 | 1.8%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q226exhibit992.htm | Net write-off rate - principal only (memo), Q2'26 | 1.8%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q226exhibit992.htm | 30+ days past due (% of total), Q3'25 | 1.1%</t>
        </r>
      </text>
    </comment>
    <comment ref="D71" authorId="0">
      <text>
        <r>
          <rPr>
            <sz val="9"/>
            <color rgb="FF000000"/>
            <rFont val="Arial"/>
            <family val="2"/>
          </rPr>
          <t>q226exhibit992.htm | 30+ days past due (% of total), Q4'25 | 1.1%</t>
        </r>
      </text>
    </comment>
    <comment ref="E71" authorId="0">
      <text>
        <r>
          <rPr>
            <sz val="9"/>
            <color rgb="FF000000"/>
            <rFont val="Arial"/>
            <family val="2"/>
          </rPr>
          <t>q425exhibit992.htm | 30+ days past due (% of total), FY'25 | 1.1%</t>
        </r>
      </text>
    </comment>
    <comment ref="F71" authorId="0">
      <text>
        <r>
          <rPr>
            <sz val="9"/>
            <color rgb="FF000000"/>
            <rFont val="Arial"/>
            <family val="2"/>
          </rPr>
          <t>q226exhibit992.htm | 30+ days past due (% of total), Q1'26 | 1.2%</t>
        </r>
      </text>
    </comment>
    <comment ref="G71" authorId="0">
      <text>
        <r>
          <rPr>
            <sz val="9"/>
            <color rgb="FF000000"/>
            <rFont val="Arial"/>
            <family val="2"/>
          </rPr>
          <t>q226exhibit992.htm | 30+ days past due (% of total), Q2'26 | 1.1%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q226exhibit992.htm | Non-interest revenues, Q3'25 | 3,034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q226exhibit992.htm | Non-interest revenues, Q4'25 | 3,192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q425exhibit992.htm | Non-interest revenues, FY'25 | 11,819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q226exhibit992.htm | Non-interest revenues, Q1'26 | 3,164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q226exhibit992.htm | Non-interest revenues, Q2'26 | 3,261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q226exhibit992.htm | Interest income, Q3'25 | 652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q226exhibit992.htm | Interest income, Q4'25 | 666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q425exhibit992.htm | Interest income, FY'25 | 2,534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q226exhibit992.htm | Interest income, Q1'26 | 728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q226exhibit992.htm | Interest income, Q2'26 | 733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q226exhibit992.htm | Interest expense, Q3'25 | 350</t>
        </r>
      </text>
    </comment>
    <comment ref="D89" authorId="0">
      <text>
        <r>
          <rPr>
            <sz val="9"/>
            <color rgb="FF000000"/>
            <rFont val="Arial"/>
            <family val="2"/>
          </rPr>
          <t>q226exhibit992.htm | Interest expense, Q4'25 | 362</t>
        </r>
      </text>
    </comment>
    <comment ref="E89" authorId="0">
      <text>
        <r>
          <rPr>
            <sz val="9"/>
            <color rgb="FF000000"/>
            <rFont val="Arial"/>
            <family val="2"/>
          </rPr>
          <t>q425exhibit992.htm | Interest expense, FY'25 | 1,353</t>
        </r>
      </text>
    </comment>
    <comment ref="F89" authorId="0">
      <text>
        <r>
          <rPr>
            <sz val="9"/>
            <color rgb="FF000000"/>
            <rFont val="Arial"/>
            <family val="2"/>
          </rPr>
          <t>q226exhibit992.htm | Interest expense, Q1'26 | 360</t>
        </r>
      </text>
    </comment>
    <comment ref="G89" authorId="0">
      <text>
        <r>
          <rPr>
            <sz val="9"/>
            <color rgb="FF000000"/>
            <rFont val="Arial"/>
            <family val="2"/>
          </rPr>
          <t>q226exhibit992.htm | Interest expense, Q2'26 | 375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q226exhibit992.htm | Total provisions for credit losses, Q3'25 | 218</t>
        </r>
      </text>
    </comment>
    <comment ref="D112" authorId="0">
      <text>
        <r>
          <rPr>
            <sz val="9"/>
            <color rgb="FF000000"/>
            <rFont val="Arial"/>
            <family val="2"/>
          </rPr>
          <t>q226exhibit992.htm | Total provisions for credit losses, Q4'25 | 211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q425exhibit992.htm | Total provisions for credit losses, FY'25 | 831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q226exhibit992.htm | Total provisions for credit losses, Q1'26 | 238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q226exhibit992.htm | Total provisions for credit losses, Q2'26 | 223</t>
        </r>
      </text>
    </comment>
    <comment ref="C125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Q3'25 | 1,512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Q4'25 | 1,674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q425exhibit992.htm | Card Member rewards, business development and Card Member services, FY'25 | 5,950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Q1'26 | 1,551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q226exhibit992.htm | Card Member rewards, business development and Card Member services, Q2'26 | 1,683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q226exhibit992.htm | Marketing, Q3'25 | 350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q226exhibit992.htm | Marketing, Q4'25 | 347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q425exhibit992.htm | Marketing, FY'25 | 1,319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q226exhibit992.htm | Marketing, Q1'26 | 332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q226exhibit992.htm | Marketing, Q2'26 | 352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Q3'25 | 815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Q4'25 | 948</t>
        </r>
      </text>
    </comment>
    <comment ref="E133" authorId="0">
      <text>
        <r>
          <rPr>
            <sz val="9"/>
            <color rgb="FF000000"/>
            <rFont val="Arial"/>
            <family val="2"/>
          </rPr>
          <t>q425exhibit992.htm | Salaries and employee benefits and other operating expenses, FY'25 | 3,297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Q1'26 | 630</t>
        </r>
      </text>
    </comment>
    <comment ref="G13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Q2'26 | 884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q226exhibit992.htm | Pretax segment income - as reported (memo), Q3'25 | 441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q226exhibit992.htm | Pretax segment income - as reported (memo), Q4'25 | 316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q425exhibit992.htm | Pretax segment income - as reported (memo), FY'25 | 1,603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q226exhibit992.htm | Pretax segment income - as reported (memo), Q1'26 | 781</t>
        </r>
      </text>
    </comment>
    <comment ref="G146" authorId="0">
      <text>
        <r>
          <rPr>
            <sz val="9"/>
            <color rgb="FF000000"/>
            <rFont val="Arial"/>
            <family val="2"/>
          </rPr>
          <t>q226exhibit992.htm | Pretax segment income - as reported (memo), Q2'26 | 477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7" authorId="0">
      <text>
        <r>
          <rPr>
            <sz val="9"/>
            <color rgb="FF000000"/>
            <rFont val="Arial"/>
            <family val="2"/>
          </rPr>
          <t>q226exhibit992.htm | Network volume growth - reported (issuer, rounded), Q3'25 | 9.0%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q226exhibit992.htm | Network volume growth - reported (issuer, rounded), Q4'25 | 9.0%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q425exhibit992.htm | Network volume growth - reported (issuer, rounded), FY'25 | 7.0%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q226exhibit992.htm | Network volume growth - reported (issuer, rounded), Q1'26 | 11.0%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q226exhibit992.htm | Network volume growth - reported (issuer, rounded), Q2'26 | 9.0%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q226exhibit992.htm | Network volume growth - FX-adjusted (issuer, rounded), Q3'25 | 8.0%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q226exhibit992.htm | Network volume growth - FX-adjusted (issuer, rounded), Q4'25 | 8.0%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q425exhibit992.htm | Network volume growth - FX-adjusted (issuer, rounded), FY'25 | 7.0%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q226exhibit992.htm | Network volume growth - FX-adjusted (issuer, rounded), Q1'26 | 9.0%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q226exhibit992.htm | Network volume growth - FX-adjusted (issuer, rounded), Q2'26 | 9.0%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q226exhibit992.htm | Non-interest revenues, Q3'25 | 1,782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q226exhibit992.htm | Non-interest revenues, Q4'25 | 1,858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q425exhibit992.htm | Non-interest revenues, FY'25 | 7,058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q226exhibit992.htm | Non-interest revenues, Q1'26 | 1,825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q226exhibit992.htm | Non-interest revenues, Q2'26 | 1,919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q226exhibit992.htm | Interest income, Q3'25 | 9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q226exhibit992.htm | Interest income, Q4'25 | 9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q425exhibit992.htm | Interest income, FY'25 | 40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q226exhibit992.htm | Interest income, Q1'26 | 10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q226exhibit992.htm | Interest income, Q2'26 | 8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q226exhibit992.htm | Interest expense / (benefit), Q3'25 | (181)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q226exhibit992.htm | Interest expense / (benefit), Q4'25 | (172)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q425exhibit992.htm | Interest expense / (benefit), FY'25 | (661)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q226exhibit992.htm | Interest expense / (benefit), Q1'26 | (169)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q226exhibit992.htm | Interest expense / (benefit), Q2'26 | (169)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q226exhibit992.htm | Total provisions for credit losses, Q3'25 | 5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q226exhibit992.htm | Total provisions for credit losses, Q4'25 | 70</t>
        </r>
      </text>
    </comment>
    <comment ref="E57" authorId="0">
      <text>
        <r>
          <rPr>
            <sz val="9"/>
            <color rgb="FF000000"/>
            <rFont val="Arial"/>
            <family val="2"/>
          </rPr>
          <t>q425exhibit992.htm | Total provisions for credit losses, FY'25 | 78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q226exhibit992.htm | Total provisions for credit losses, Q1'26 | 4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q226exhibit992.htm | Total provisions for credit losses, Q2'26 | 10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q226exhibit992.htm | Business development and Card Member services, Q3'25 | 298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q226exhibit992.htm | Business development and Card Member services, Q4'25 | 341</t>
        </r>
      </text>
    </comment>
    <comment ref="E65" authorId="0">
      <text>
        <r>
          <rPr>
            <sz val="9"/>
            <color rgb="FF000000"/>
            <rFont val="Arial"/>
            <family val="2"/>
          </rPr>
          <t>q425exhibit992.htm | Business development and Card Member services, FY'25 | 1,210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q226exhibit992.htm | Business development and Card Member services, Q1'26 | 306</t>
        </r>
      </text>
    </comment>
    <comment ref="G65" authorId="0">
      <text>
        <r>
          <rPr>
            <sz val="9"/>
            <color rgb="FF000000"/>
            <rFont val="Arial"/>
            <family val="2"/>
          </rPr>
          <t>q226exhibit992.htm | Business development and Card Member services, Q2'26 | 328</t>
        </r>
      </text>
    </comment>
    <comment ref="C69" authorId="0">
      <text>
        <r>
          <rPr>
            <sz val="9"/>
            <color rgb="FF000000"/>
            <rFont val="Arial"/>
            <family val="2"/>
          </rPr>
          <t>q226exhibit992.htm | Marketing, Q3'25 | 105</t>
        </r>
      </text>
    </comment>
    <comment ref="D69" authorId="0">
      <text>
        <r>
          <rPr>
            <sz val="9"/>
            <color rgb="FF000000"/>
            <rFont val="Arial"/>
            <family val="2"/>
          </rPr>
          <t>q226exhibit992.htm | Marketing, Q4'25 | 116</t>
        </r>
      </text>
    </comment>
    <comment ref="E69" authorId="0">
      <text>
        <r>
          <rPr>
            <sz val="9"/>
            <color rgb="FF000000"/>
            <rFont val="Arial"/>
            <family val="2"/>
          </rPr>
          <t>q425exhibit992.htm | Marketing, FY'25 | 393</t>
        </r>
      </text>
    </comment>
    <comment ref="F69" authorId="0">
      <text>
        <r>
          <rPr>
            <sz val="9"/>
            <color rgb="FF000000"/>
            <rFont val="Arial"/>
            <family val="2"/>
          </rPr>
          <t>q226exhibit992.htm | Marketing, Q1'26 | 65</t>
        </r>
      </text>
    </comment>
    <comment ref="G69" authorId="0">
      <text>
        <r>
          <rPr>
            <sz val="9"/>
            <color rgb="FF000000"/>
            <rFont val="Arial"/>
            <family val="2"/>
          </rPr>
          <t>q226exhibit992.htm | Marketing, Q2'26 | 100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Q3'25 | 524</t>
        </r>
      </text>
    </comment>
    <comment ref="D7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Q4'25 | 628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q425exhibit992.htm | Salaries and employee benefits and other operating expenses, FY'25 | 2,110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Q1'26 | 514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q226exhibit992.htm | Salaries and employee benefits and other operating expenses, Q2'26 | 530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q226exhibit992.htm | Pretax segment income - as reported (memo), Q3'25 | 1,040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q226exhibit992.htm | Pretax segment income - as reported (memo), Q4'25 | 884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q425exhibit992.htm | Pretax segment income - as reported (memo), FY'25 | 3,968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q226exhibit992.htm | Pretax segment income - as reported (memo), Q1'26 | 1,115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q226exhibit992.htm | Pretax segment income - as reported (memo), Q2'26 | 1,128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q226exhibit992.htm | Discount revenue, Q3'25 | 9,413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q226exhibit992.htm | Discount revenue, Q4'25 | 9,884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q425exhibit992.htm | Discount revenue, FY'25 | 37,401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q226exhibit992.htm | Discount revenue, Q1'26 | 9,512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q226exhibit992.htm | Discount revenue, Q2'26 | 10,163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q226exhibit992.htm | Net card fees, Q3'25 | 2,551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q226exhibit992.htm | Net card fees, Q4'25 | 2,629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q425exhibit992.htm | Net card fees, FY'25 | 9,993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q226exhibit992.htm | Net card fees, Q1'26 | 2,752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q226exhibit992.htm | Net card fees, Q2'26 | 2,862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q226exhibit992.htm | Service fees and other revenue, Q3'25 | 1,976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q226exhibit992.htm | Service fees and other revenue, Q4'25 | 1,945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q425exhibit992.htm | Service fees and other revenue, FY'25 | 7,471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q226exhibit992.htm | Service fees and other revenue, Q1'26 | 1,951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q226exhibit992.htm | Service fees and other revenue, Q2'26 | 1,963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q226exhibit992.htm | Interest on Card balances and Other loans, Q3'25 | 5,970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q226exhibit992.htm | Interest on Card balances and Other loans, Q4'25 | 6,064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q425exhibit992.htm | Interest on Card balances and Other loans, FY'25 | 23,234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q226exhibit992.htm | Interest on Card balances and Other loans, Q1'26 | 6,136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q226exhibit992.htm | Interest on Card balances and Other loans, Q2'26 | 6,119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q226exhibit992.htm | Interest and dividends on investment securities, Q3'25 | 15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q226exhibit992.htm | Interest and dividends on investment securities, Q4'25 | 17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q425exhibit992.htm | Interest and dividends on investment securities, FY'25 | 63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q226exhibit992.htm | Interest and dividends on investment securities, Q1'26 | 17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q226exhibit992.htm | Interest and dividends on investment securities, Q2'26 | 36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q226exhibit992.htm | Deposits with banks and other, Q3'25 | 632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q226exhibit992.htm | Deposits with banks and other, Q4'25 | 501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q425exhibit992.htm | Deposits with banks and other, FY'25 | 2,301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q226exhibit992.htm | Deposits with banks and other, Q1'26 | 512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q226exhibit992.htm | Deposits with banks and other, Q2'26 | 452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q226exhibit992.htm | Interest expense - deposits, Q3'25 | 1,371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q226exhibit992.htm | Interest expense - deposits, Q4'25 | 1,343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q425exhibit992.htm | Interest expense - deposits, FY'25 | 5,425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q226exhibit992.htm | Interest expense - deposits, Q1'26 | 1,287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q226exhibit992.htm | Interest expense - deposits, Q2'26 | 1,276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q226exhibit992.htm | Interest expense - long-term debt and other, Q3'25 | 760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q226exhibit992.htm | Interest expense - long-term debt and other, Q4'25 | 717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q425exhibit992.htm | Interest expense - long-term debt and other, FY'25 | 2,809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q226exhibit992.htm | Interest expense - long-term debt and other, Q1'26 | 686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q226exhibit992.htm | Interest expense - long-term debt and other, Q2'26 | 682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q226exhibit992.htm | Average Card balances and Other loans, Q3'25 | 214,470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q226exhibit992.htm | Average Card balances and Other loans, Q4'25 | 221,187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q425exhibit992.htm | Average Card balances and Other loans, FY'25 | 213,105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q226exhibit992.htm | Average Card balances and Other loans, Q1'26 | 222,813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q226exhibit992.htm | Average Card balances and Other loans, Q2'26 | 227,814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q226exhibit992.htm | Net interest yield - issuer reported (memo), Q3'25 | 8.2%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q226exhibit992.htm | Net interest yield - issuer reported (memo), Q4'25 | 8.0%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q425exhibit992.htm | Net interest yield - issuer reported (memo), FY'25 | 8.1%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q226exhibit992.htm | Net interest yield - issuer reported (memo), Q1'26 | 8.4%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q226exhibit992.htm | Net interest yield - issuer reported (memo), Q2'26 | 8.1%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q226exhibit992.htm | Card balances, Q3'25 | 1,220</t>
        </r>
      </text>
    </comment>
    <comment ref="D66" authorId="0">
      <text>
        <r>
          <rPr>
            <sz val="9"/>
            <color rgb="FF000000"/>
            <rFont val="Arial"/>
            <family val="2"/>
          </rPr>
          <t>q226exhibit992.htm | Card balances, Q4'25 | 1,231</t>
        </r>
      </text>
    </comment>
    <comment ref="E66" authorId="0">
      <text>
        <r>
          <rPr>
            <sz val="9"/>
            <color rgb="FF000000"/>
            <rFont val="Arial"/>
            <family val="2"/>
          </rPr>
          <t>q425exhibit992.htm | Card balances, FY'25 | 4,818</t>
        </r>
      </text>
    </comment>
    <comment ref="F66" authorId="0">
      <text>
        <r>
          <rPr>
            <sz val="9"/>
            <color rgb="FF000000"/>
            <rFont val="Arial"/>
            <family val="2"/>
          </rPr>
          <t>q226exhibit992.htm | Card balances, Q1'26 | 1,187</t>
        </r>
      </text>
    </comment>
    <comment ref="G66" authorId="0">
      <text>
        <r>
          <rPr>
            <sz val="9"/>
            <color rgb="FF000000"/>
            <rFont val="Arial"/>
            <family val="2"/>
          </rPr>
          <t>q226exhibit992.htm | Card balances, Q2'26 | 1,017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q226exhibit992.htm | Other, Q3'25 | 67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q226exhibit992.htm | Other, Q4'25 | 183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q425exhibit992.htm | Other, FY'25 | 438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q226exhibit992.htm | Other, Q1'26 | 64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q226exhibit992.htm | Other, Q2'26 | 67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q226exhibit992.htm | Card Member rewards, Q3'25 | 4,608</t>
        </r>
      </text>
    </comment>
    <comment ref="D76" authorId="0">
      <text>
        <r>
          <rPr>
            <sz val="9"/>
            <color rgb="FF000000"/>
            <rFont val="Arial"/>
            <family val="2"/>
          </rPr>
          <t>q226exhibit992.htm | Card Member rewards, Q4'25 | 4,805</t>
        </r>
      </text>
    </comment>
    <comment ref="E76" authorId="0">
      <text>
        <r>
          <rPr>
            <sz val="9"/>
            <color rgb="FF000000"/>
            <rFont val="Arial"/>
            <family val="2"/>
          </rPr>
          <t>q425exhibit992.htm | Card Member rewards, FY'25 | 18,409</t>
        </r>
      </text>
    </comment>
    <comment ref="F76" authorId="0">
      <text>
        <r>
          <rPr>
            <sz val="9"/>
            <color rgb="FF000000"/>
            <rFont val="Arial"/>
            <family val="2"/>
          </rPr>
          <t>q226exhibit992.htm | Card Member rewards, Q1'26 | 4,891</t>
        </r>
      </text>
    </comment>
    <comment ref="G76" authorId="0">
      <text>
        <r>
          <rPr>
            <sz val="9"/>
            <color rgb="FF000000"/>
            <rFont val="Arial"/>
            <family val="2"/>
          </rPr>
          <t>q226exhibit992.htm | Card Member rewards, Q2'26 | 5,051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q226exhibit992.htm | Business development, Q3'25 | 1,611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q226exhibit992.htm | Business development, Q4'25 | 1,728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q425exhibit992.htm | Business development, FY'25 | 6,457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q226exhibit992.htm | Business development, Q1'26 | 1,591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q226exhibit992.htm | Business development, Q2'26 | 1,755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q226exhibit992.htm | Card Member services, Q3'25 | 1,477</t>
        </r>
      </text>
    </comment>
    <comment ref="D90" authorId="0">
      <text>
        <r>
          <rPr>
            <sz val="9"/>
            <color rgb="FF000000"/>
            <rFont val="Arial"/>
            <family val="2"/>
          </rPr>
          <t>q226exhibit992.htm | Card Member services, Q4'25 | 1,951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q425exhibit992.htm | Card Member services, FY'25 | 6,057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q226exhibit992.htm | Card Member services, Q1'26 | 1,975</t>
        </r>
      </text>
    </comment>
    <comment ref="G90" authorId="0">
      <text>
        <r>
          <rPr>
            <sz val="9"/>
            <color rgb="FF000000"/>
            <rFont val="Arial"/>
            <family val="2"/>
          </rPr>
          <t>q226exhibit992.htm | Card Member services, Q2'26 | 1,949</t>
        </r>
      </text>
    </comment>
    <comment ref="C98" authorId="0">
      <text>
        <r>
          <rPr>
            <sz val="9"/>
            <color rgb="FF000000"/>
            <rFont val="Arial"/>
            <family val="2"/>
          </rPr>
          <t>q226exhibit992.htm | Marketing, Q3'25 | 1,599</t>
        </r>
      </text>
    </comment>
    <comment ref="D98" authorId="0">
      <text>
        <r>
          <rPr>
            <sz val="9"/>
            <color rgb="FF000000"/>
            <rFont val="Arial"/>
            <family val="2"/>
          </rPr>
          <t>q226exhibit992.htm | Marketing, Q4'25 | 1,612</t>
        </r>
      </text>
    </comment>
    <comment ref="E98" authorId="0">
      <text>
        <r>
          <rPr>
            <sz val="9"/>
            <color rgb="FF000000"/>
            <rFont val="Arial"/>
            <family val="2"/>
          </rPr>
          <t>q425exhibit992.htm | Marketing, FY'25 | 6,252</t>
        </r>
      </text>
    </comment>
    <comment ref="F98" authorId="0">
      <text>
        <r>
          <rPr>
            <sz val="9"/>
            <color rgb="FF000000"/>
            <rFont val="Arial"/>
            <family val="2"/>
          </rPr>
          <t>q226exhibit992.htm | Marketing, Q1'26 | 1,480</t>
        </r>
      </text>
    </comment>
    <comment ref="G98" authorId="0">
      <text>
        <r>
          <rPr>
            <sz val="9"/>
            <color rgb="FF000000"/>
            <rFont val="Arial"/>
            <family val="2"/>
          </rPr>
          <t>q226exhibit992.htm | Marketing, Q2'26 | 1,650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q226exhibit992.htm | Salaries and employee benefits, Q3'25 | 2,239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q226exhibit992.htm | Salaries and employee benefits, Q4'25 | 2,505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q425exhibit992.htm | Salaries and employee benefits, FY'25 | 9,016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q226exhibit992.htm | Salaries and employee benefits, Q1'26 | 2,482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q226exhibit992.htm | Salaries and employee benefits, Q2'26 | 2,344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q226exhibit992.htm | Professional services, Q3'25 | 623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q226exhibit992.htm | Professional services, Q4'25 | 669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q425exhibit992.htm | Professional services, FY'25 | 2,424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q226exhibit992.htm | Professional services, Q1'26 | 545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q226exhibit992.htm | Professional services, Q2'26 | 622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q226exhibit992.htm | Data processing and equipment, Q3'25 | 751</t>
        </r>
      </text>
    </comment>
    <comment ref="D110" authorId="0">
      <text>
        <r>
          <rPr>
            <sz val="9"/>
            <color rgb="FF000000"/>
            <rFont val="Arial"/>
            <family val="2"/>
          </rPr>
          <t>q226exhibit992.htm | Data processing and equipment, Q4'25 | 810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q425exhibit992.htm | Data processing and equipment, FY'25 | 2,986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q226exhibit992.htm | Data processing and equipment, Q1'26 | 767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q226exhibit992.htm | Data processing and equipment, Q2'26 | 817</t>
        </r>
      </text>
    </comment>
    <comment ref="C114" authorId="0">
      <text>
        <r>
          <rPr>
            <sz val="9"/>
            <color rgb="FF000000"/>
            <rFont val="Arial"/>
            <family val="2"/>
          </rPr>
          <t>q226exhibit992.htm | Other, net (excl. GBTG gain and AML penalty remainder), Q3'25 | 406</t>
        </r>
      </text>
    </comment>
    <comment ref="D114" authorId="0">
      <text>
        <r>
          <rPr>
            <sz val="9"/>
            <color rgb="FF000000"/>
            <rFont val="Arial"/>
            <family val="2"/>
          </rPr>
          <t>q226exhibit992.htm | Other, net (excl. GBTG gain and AML penalty remainder), Q4'25 | 396</t>
        </r>
      </text>
    </comment>
    <comment ref="E114" authorId="0">
      <text>
        <r>
          <rPr>
            <sz val="9"/>
            <color rgb="FF000000"/>
            <rFont val="Arial"/>
            <family val="2"/>
          </rPr>
          <t>q425exhibit992.htm | Other, net (excl. GBTG gain and AML penalty remainder), FY'25 | 1,577</t>
        </r>
      </text>
    </comment>
    <comment ref="F114" authorId="0">
      <text>
        <r>
          <rPr>
            <sz val="9"/>
            <color rgb="FF000000"/>
            <rFont val="Arial"/>
            <family val="2"/>
          </rPr>
          <t>q226exhibit992.htm | Other, net (excl. GBTG gain and AML penalty remainder), Q1'26 | 147</t>
        </r>
      </text>
    </comment>
    <comment ref="G114" authorId="0">
      <text>
        <r>
          <rPr>
            <sz val="9"/>
            <color rgb="FF000000"/>
            <rFont val="Arial"/>
            <family val="2"/>
          </rPr>
          <t>q226exhibit992.htm | Other, net (excl. GBTG gain and AML penalty remainder), Q2'26 | 294</t>
        </r>
      </text>
    </comment>
    <comment ref="C140" authorId="0">
      <text>
        <r>
          <rPr>
            <sz val="9"/>
            <color rgb="FF000000"/>
            <rFont val="Arial"/>
            <family val="2"/>
          </rPr>
          <t>q226exhibit992.htm | Income tax provision, Q3'25 | 923</t>
        </r>
      </text>
    </comment>
    <comment ref="D140" authorId="0">
      <text>
        <r>
          <rPr>
            <sz val="9"/>
            <color rgb="FF000000"/>
            <rFont val="Arial"/>
            <family val="2"/>
          </rPr>
          <t>q226exhibit992.htm | Income tax provision, Q4'25 | 628</t>
        </r>
      </text>
    </comment>
    <comment ref="E140" authorId="0">
      <text>
        <r>
          <rPr>
            <sz val="9"/>
            <color rgb="FF000000"/>
            <rFont val="Arial"/>
            <family val="2"/>
          </rPr>
          <t>q425exhibit992.htm | Income tax provision, FY'25 | 2,962</t>
        </r>
      </text>
    </comment>
    <comment ref="F140" authorId="0">
      <text>
        <r>
          <rPr>
            <sz val="9"/>
            <color rgb="FF000000"/>
            <rFont val="Arial"/>
            <family val="2"/>
          </rPr>
          <t>q226exhibit992.htm | Income tax provision, Q1'26 | 807</t>
        </r>
      </text>
    </comment>
    <comment ref="G140" authorId="0">
      <text>
        <r>
          <rPr>
            <sz val="9"/>
            <color rgb="FF000000"/>
            <rFont val="Arial"/>
            <family val="2"/>
          </rPr>
          <t>q226exhibit992.htm | Income tax provision, Q2'26 | 961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q226exhibit992.htm | Preferred share dividends, Q3'25 | 14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q226exhibit992.htm | Preferred share dividends, Q4'25 | 15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q425exhibit992.htm | Preferred share dividends, FY'25 | 58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q226exhibit992.htm | Preferred share dividends, Q1'26 | 14</t>
        </r>
      </text>
    </comment>
    <comment ref="G149" authorId="0">
      <text>
        <r>
          <rPr>
            <sz val="9"/>
            <color rgb="FF000000"/>
            <rFont val="Arial"/>
            <family val="2"/>
          </rPr>
          <t>q226exhibit992.htm | Preferred share dividends, Q2'26 | 15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q226exhibit992.htm | Earnings allocated to participating share awards, Q3'25 | 20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q226exhibit992.htm | Earnings allocated to participating share awards, Q4'25 | 18</t>
        </r>
      </text>
    </comment>
    <comment ref="E153" authorId="0">
      <text>
        <r>
          <rPr>
            <sz val="9"/>
            <color rgb="FF000000"/>
            <rFont val="Arial"/>
            <family val="2"/>
          </rPr>
          <t>q425exhibit992.htm | Earnings allocated to participating share awards, FY'25 | 74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q226exhibit992.htm | Earnings allocated to participating share awards, Q1'26 | 19</t>
        </r>
      </text>
    </comment>
    <comment ref="G153" authorId="0">
      <text>
        <r>
          <rPr>
            <sz val="9"/>
            <color rgb="FF000000"/>
            <rFont val="Arial"/>
            <family val="2"/>
          </rPr>
          <t>q226exhibit992.htm | Earnings allocated to participating share awards, Q2'26 | 20</t>
        </r>
      </text>
    </comment>
    <comment ref="C161" authorId="0">
      <text>
        <r>
          <rPr>
            <sz val="9"/>
            <color rgb="FF000000"/>
            <rFont val="Arial"/>
            <family val="2"/>
          </rPr>
          <t>q226exhibit992.htm | Diluted EPS - as reported (memo), Q3'25 | 4.14</t>
        </r>
      </text>
    </comment>
    <comment ref="D161" authorId="0">
      <text>
        <r>
          <rPr>
            <sz val="9"/>
            <color rgb="FF000000"/>
            <rFont val="Arial"/>
            <family val="2"/>
          </rPr>
          <t>q226exhibit992.htm | Diluted EPS - as reported (memo), Q4'25 | 3.53</t>
        </r>
      </text>
    </comment>
    <comment ref="E161" authorId="0">
      <text>
        <r>
          <rPr>
            <sz val="9"/>
            <color rgb="FF000000"/>
            <rFont val="Arial"/>
            <family val="2"/>
          </rPr>
          <t>q425exhibit992.htm | Diluted EPS - as reported (memo), FY'25 | 15.38</t>
        </r>
      </text>
    </comment>
    <comment ref="F161" authorId="0">
      <text>
        <r>
          <rPr>
            <sz val="9"/>
            <color rgb="FF000000"/>
            <rFont val="Arial"/>
            <family val="2"/>
          </rPr>
          <t>q226exhibit992.htm | Diluted EPS - as reported (memo), Q1'26 | 4.28</t>
        </r>
      </text>
    </comment>
    <comment ref="G161" authorId="0">
      <text>
        <r>
          <rPr>
            <sz val="9"/>
            <color rgb="FF000000"/>
            <rFont val="Arial"/>
            <family val="2"/>
          </rPr>
          <t>q226exhibit992.htm | Diluted EPS - as reported (memo), Q2'26 | 4.53</t>
        </r>
      </text>
    </comment>
    <comment ref="C163" authorId="0">
      <text>
        <r>
          <rPr>
            <sz val="9"/>
            <color rgb="FF000000"/>
            <rFont val="Arial"/>
            <family val="2"/>
          </rPr>
          <t>q226exhibit992.htm | Cash dividends declared per common share, Q3'25 | 0.82</t>
        </r>
      </text>
    </comment>
    <comment ref="D163" authorId="0">
      <text>
        <r>
          <rPr>
            <sz val="9"/>
            <color rgb="FF000000"/>
            <rFont val="Arial"/>
            <family val="2"/>
          </rPr>
          <t>q226exhibit992.htm | Cash dividends declared per common share, Q4'25 | 0.82</t>
        </r>
      </text>
    </comment>
    <comment ref="E163" authorId="0">
      <text>
        <r>
          <rPr>
            <sz val="9"/>
            <color rgb="FF000000"/>
            <rFont val="Arial"/>
            <family val="2"/>
          </rPr>
          <t>q425exhibit992.htm | Cash dividends declared per common share, FY'25 | 3.28</t>
        </r>
      </text>
    </comment>
    <comment ref="F163" authorId="0">
      <text>
        <r>
          <rPr>
            <sz val="9"/>
            <color rgb="FF000000"/>
            <rFont val="Arial"/>
            <family val="2"/>
          </rPr>
          <t>q226exhibit992.htm | Cash dividends declared per common share, Q1'26 | 0.95</t>
        </r>
      </text>
    </comment>
    <comment ref="G163" authorId="0">
      <text>
        <r>
          <rPr>
            <sz val="9"/>
            <color rgb="FF000000"/>
            <rFont val="Arial"/>
            <family val="2"/>
          </rPr>
          <t>q226exhibit992.htm | Cash dividends declared per common share, Q2'26 | 0.95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3,234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3,559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axp-20260331.htm | Consolidated Balance Sheets, March 31, 2026 | 3,186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axp-20260630.htm | Consolidated Balance Sheets, June 30, 2026 | 3,453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50,201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43,491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axp-20260331.htm | Consolidated Balance Sheets, March 31, 2026 | 50,281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axp-20260630.htm | Consolidated Balance Sheets, June 30, 2026 | 41,469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1,271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742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axp-20260331.htm | Consolidated Balance Sheets, March 31, 2026 | 290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axp-20260630.htm | Consolidated Balance Sheets, June 30, 2026 | 321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205,837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213,863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axp-20260331.htm | Consolidated Balance Sheets, March 31, 2026 | 213,311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axp-20260630.htm | Consolidated Balance Sheets, June 30, 2026 | 218,054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6,068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6,089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axp-20260331.htm | Consolidated Balance Sheets, March 31, 2026 | 6,065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axp-20260630.htm | Consolidated Balance Sheets, June 30, 2026 | 5,866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199,769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207,774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axp-20260331.htm | Consolidated Balance Sheets, March 31, 2026 | 207,247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axp-20260630.htm | Consolidated Balance Sheets, June 30, 2026 | 212,188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2,424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2,457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axp-20260331.htm | Consolidated Balance Sheets, March 31, 2026 | 2,477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axp-20260630.htm | Consolidated Balance Sheets, June 30, 2026 | 1,752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q226exhibit992.htm | Other loans (gross), Q3'25 | 10,518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q226exhibit992.htm | Other loans (gross), Q4'25 | 10,928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q226exhibit992.htm | Other loans (gross), Q1'26 | 10,849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q226exhibit992.htm | Other loans (gross), Q2'26 | 11,428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q226exhibit992.htm | Less: reserves for credit losses - Other loans, Q3'25 | 287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q226exhibit992.htm | Less: reserves for credit losses - Other loans, Q4'25 | 323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q226exhibit992.htm | Less: reserves for credit losses - Other loans, Q1'26 | 314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q226exhibit992.htm | Less: reserves for credit losses - Other loans, Q2'26 | 312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10,231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10,605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axp-20260331.htm | Consolidated Balance Sheets, March 31, 2026 | 10,535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axp-20260630.htm | Consolidated Balance Sheets, June 30, 2026 | 11,115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1,374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1,043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axp-20260331.htm | Consolidated Balance Sheets, March 31, 2026 | 2,625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axp-20260630.htm | Consolidated Balance Sheets, June 30, 2026 | 4,073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5,861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6,118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axp-20260331.htm | Consolidated Balance Sheets, March 31, 2026 | 7,240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axp-20260630.htm | Consolidated Balance Sheets, June 30, 2026 | 7,689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23,185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24,263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axp-20260331.htm | Consolidated Balance Sheets, March 31, 2026 | 25,013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axp-20260630.htm | Consolidated Balance Sheets, June 30, 2026 | 26,143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149,883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152,488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axp-20260331.htm | Consolidated Balance Sheets, March 31, 2026 | 157,948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axp-20260630.htm | Consolidated Balance Sheets, June 30, 2026 | 156,973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14,708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14,700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axp-20260331.htm | Consolidated Balance Sheets, March 31, 2026 | 14,635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axp-20260630.htm | Consolidated Balance Sheets, June 30, 2026 | 15,441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1,446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1,371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axp-20260331.htm | Consolidated Balance Sheets, March 31, 2026 | 1,692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axp-20260630.htm | Consolidated Balance Sheets, June 30, 2026 | 2,032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57,787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56,387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axp-20260331.htm | Consolidated Balance Sheets, March 31, 2026 | 58,750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axp-20260630.htm | Consolidated Balance Sheets, June 30, 2026 | 57,017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41,309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41,632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axp-20260331.htm | Consolidated Balance Sheets, March 31, 2026 | 41,874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axp-20260630.htm | Consolidated Balance Sheets, June 30, 2026 | 42,460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q226exhibit992.htm | Par value per common share ($), Q3'25 | 0.2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q226exhibit992.htm | Par value per common share ($), Q4'25 | 0.2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q425exhibit992.htm | Par value per common share ($), FY'25 | 0.2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q226exhibit992.htm | Par value per common share ($), Q1'26 | 0.2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q226exhibit992.htm | Par value per common share ($), Q2'26 | 0.2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138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138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axp-20260331.htm | Consolidated Balance Sheets, March 31, 2026 | 137</t>
        </r>
      </text>
    </comment>
    <comment ref="G46" authorId="0">
      <text>
        <r>
          <rPr>
            <sz val="9"/>
            <color rgb="FF000000"/>
            <rFont val="Arial"/>
            <family val="2"/>
          </rPr>
          <t>axp-20260630.htm | Consolidated Balance Sheets, June 30, 2026 | 135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11,059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11,126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axp-20260331.htm | Consolidated Balance Sheets, March 31, 2026 | 11,081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axp-20260630.htm | Consolidated Balance Sheets, June 30, 2026 | 11,121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24,469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25,487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axp-20260331.htm | Consolidated Balance Sheets, March 31, 2026 | 26,088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axp-20260630.htm | Consolidated Balance Sheets, June 30, 2026 | 26,379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axp-20250930.htm | Consolidated Balance Sheets, September 30, 2025 | (3,249)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axp-20260630.htm | Consolidated Balance Sheets, December 31, 2025 | (3,277)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axp-20260331.htm | Consolidated Balance Sheets, March 31, 2026 | (3,311)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axp-20260630.htm | Consolidated Balance Sheets, June 30, 2026 | (3,355)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q226exhibit992.htm | Consumer, Q3'25 | 135,403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q226exhibit992.htm | Consumer, Q4'25 | 144,324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q226exhibit992.htm | Consumer, Q1'26 | 140,908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q226exhibit992.htm | Consumer, Q2'26 | 144,974</t>
        </r>
      </text>
    </comment>
    <comment ref="C60" authorId="0">
      <text>
        <r>
          <rPr>
            <sz val="9"/>
            <color rgb="FF000000"/>
            <rFont val="Arial"/>
            <family val="2"/>
          </rPr>
          <t>q226exhibit992.htm | Small business, Q3'25 | 53,007</t>
        </r>
      </text>
    </comment>
    <comment ref="D60" authorId="0">
      <text>
        <r>
          <rPr>
            <sz val="9"/>
            <color rgb="FF000000"/>
            <rFont val="Arial"/>
            <family val="2"/>
          </rPr>
          <t>q226exhibit992.htm | Small business, Q4'25 | 53,632</t>
        </r>
      </text>
    </comment>
    <comment ref="F60" authorId="0">
      <text>
        <r>
          <rPr>
            <sz val="9"/>
            <color rgb="FF000000"/>
            <rFont val="Arial"/>
            <family val="2"/>
          </rPr>
          <t>q226exhibit992.htm | Small business, Q1'26 | 55,098</t>
        </r>
      </text>
    </comment>
    <comment ref="G60" authorId="0">
      <text>
        <r>
          <rPr>
            <sz val="9"/>
            <color rgb="FF000000"/>
            <rFont val="Arial"/>
            <family val="2"/>
          </rPr>
          <t>q226exhibit992.htm | Small business, Q2'26 | 56,172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q226exhibit992.htm | Corporate, Q3'25 | 17,426</t>
        </r>
      </text>
    </comment>
    <comment ref="D64" authorId="0">
      <text>
        <r>
          <rPr>
            <sz val="9"/>
            <color rgb="FF000000"/>
            <rFont val="Arial"/>
            <family val="2"/>
          </rPr>
          <t>q226exhibit992.htm | Corporate, Q4'25 | 15,907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q226exhibit992.htm | Corporate, Q1'26 | 17,306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q226exhibit992.htm | Corporate, Q2'26 | 16,908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q226exhibit992.htm | Pay-in-full Card balances (memo, overlaps above), Q3'25 | 61,023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q226exhibit992.htm | Pay-in-full Card balances (memo, overlaps above), Q4'25 | 62,031</t>
        </r>
      </text>
    </comment>
    <comment ref="F68" authorId="0">
      <text>
        <r>
          <rPr>
            <sz val="9"/>
            <color rgb="FF000000"/>
            <rFont val="Arial"/>
            <family val="2"/>
          </rPr>
          <t>q226exhibit992.htm | Pay-in-full Card balances (memo, overlaps above), Q1'26 | 61,096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q226exhibit992.htm | Pay-in-full Card balances (memo, overlaps above), Q2'26 | 62,026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q226exhibit992.htm | Memo: preferred equity ($m), Q3'25 | 1,584</t>
        </r>
      </text>
    </comment>
    <comment ref="D73" authorId="0">
      <text>
        <r>
          <rPr>
            <sz val="9"/>
            <color rgb="FF000000"/>
            <rFont val="Arial"/>
            <family val="2"/>
          </rPr>
          <t>q226exhibit992.htm | Memo: preferred equity ($m), Q4'25 | 1,584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q425exhibit992.htm | Memo: preferred equity ($m), FY'25 | 1,584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q226exhibit992.htm | Memo: preferred equity ($m), Q1'26 | 1,584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q226exhibit992.htm | Memo: preferred equity ($m), Q2'26 | 1,584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q226exhibit992.htm | Repurchase of common shares (m), Q3'25 | (7)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q226exhibit992.htm | Repurchase of common shares (m), Q4'25 | (2)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q425exhibit992.htm | Repurchase of common shares (m), FY'25 | (16)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q226exhibit992.htm | Repurchase of common shares (m), Q1'26 | (5)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q226exhibit992.htm | Repurchase of common shares (m), Q2'26 | (7)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q226exhibit992.htm | Common shares outstanding - closing (m), Q3'25 | 689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q226exhibit992.htm | Common shares outstanding - closing (m), Q4'25 | 686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q425exhibit992.htm | Common shares outstanding - closing (m), FY'25 | 686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q226exhibit992.htm | Common shares outstanding - closing (m), Q1'26 | 682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q226exhibit992.htm | Common shares outstanding - closing (m), Q2'26 | 675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q226exhibit992.htm | Weighted average shares - basic (m), Q3'25 | 692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q226exhibit992.htm | Weighted average shares - basic (m), Q4'25 | 687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q425exhibit992.htm | Weighted average shares - basic (m), FY'25 | 695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q226exhibit992.htm | Weighted average shares - basic (m), Q1'26 | 685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q226exhibit992.htm | Weighted average shares - basic (m), Q2'26 | 678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q226exhibit992.htm | Weighted average shares - diluted (m), Q3'25 | 693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q226exhibit992.htm | Weighted average shares - diluted (m), Q4'25 | 688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q425exhibit992.htm | Weighted average shares - diluted (m), FY'25 | 696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q226exhibit992.htm | Weighted average shares - diluted (m), Q1'26 | 686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q226exhibit992.htm | Weighted average shares - diluted (m), Q2'26 | 679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20" authorId="0">
      <text>
        <r>
          <rPr>
            <sz val="9"/>
            <color rgb="FF000000"/>
            <rFont val="Arial"/>
            <family val="2"/>
          </rPr>
          <t>AXP_history.csv | row 1 column eps_normalized_consensus | 3.47</t>
        </r>
      </text>
    </comment>
    <comment ref="E120" authorId="0">
      <text>
        <r>
          <rPr>
            <sz val="9"/>
            <color rgb="FF000000"/>
            <rFont val="Arial"/>
            <family val="2"/>
          </rPr>
          <t>AXP_history.csv | row 1 column eps_normalized_actual | 3.64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AXP_history.csv | row 1 column eps_gaap_consensus | 3.47</t>
        </r>
      </text>
    </comment>
    <comment ref="G120" authorId="0">
      <text>
        <r>
          <rPr>
            <sz val="9"/>
            <color rgb="FF000000"/>
            <rFont val="Arial"/>
            <family val="2"/>
          </rPr>
          <t>AXP_history.csv | row 1 column eps_gaap_actual | 3.64</t>
        </r>
      </text>
    </comment>
    <comment ref="H120" authorId="0">
      <text>
        <r>
          <rPr>
            <sz val="9"/>
            <color rgb="FF000000"/>
            <rFont val="Arial"/>
            <family val="2"/>
          </rPr>
          <t>AXP_history.csv | row 1 column revenue_m_consensus | 16927.86</t>
        </r>
      </text>
    </comment>
    <comment ref="I120" authorId="0">
      <text>
        <r>
          <rPr>
            <sz val="9"/>
            <color rgb="FF000000"/>
            <rFont val="Arial"/>
            <family val="2"/>
          </rPr>
          <t>AXP_history.csv | row 1 column revenue_m_actual | 16967.0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AXP_history.csv | row 2 column eps_normalized_consensus | 3.88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AXP_history.csv | row 2 column eps_normalized_actual | 4.08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AXP_history.csv | row 2 column eps_gaap_consensus | 3.88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AXP_history.csv | row 2 column eps_gaap_actual | 4.08</t>
        </r>
      </text>
    </comment>
    <comment ref="H121" authorId="0">
      <text>
        <r>
          <rPr>
            <sz val="9"/>
            <color rgb="FF000000"/>
            <rFont val="Arial"/>
            <family val="2"/>
          </rPr>
          <t>AXP_history.csv | row 2 column revenue_m_consensus | 17704.72</t>
        </r>
      </text>
    </comment>
    <comment ref="I121" authorId="0">
      <text>
        <r>
          <rPr>
            <sz val="9"/>
            <color rgb="FF000000"/>
            <rFont val="Arial"/>
            <family val="2"/>
          </rPr>
          <t>AXP_history.csv | row 2 column revenue_m_actual | 17856.0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AXP_history.csv | row 3 column eps_normalized_consensus | 3.98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AXP_history.csv | row 3 column eps_normalized_actual | 4.14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AXP_history.csv | row 3 column eps_gaap_consensus | 4.0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AXP_history.csv | row 3 column eps_gaap_actual | 4.14</t>
        </r>
      </text>
    </comment>
    <comment ref="H122" authorId="0">
      <text>
        <r>
          <rPr>
            <sz val="9"/>
            <color rgb="FF000000"/>
            <rFont val="Arial"/>
            <family val="2"/>
          </rPr>
          <t>AXP_history.csv | row 3 column revenue_m_consensus | 18048.64</t>
        </r>
      </text>
    </comment>
    <comment ref="I122" authorId="0">
      <text>
        <r>
          <rPr>
            <sz val="9"/>
            <color rgb="FF000000"/>
            <rFont val="Arial"/>
            <family val="2"/>
          </rPr>
          <t>AXP_history.csv | row 3 column revenue_m_actual | 18426.0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AXP_history.csv | row 4 column eps_normalized_consensus | 3.55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AXP_history.csv | row 4 column eps_normalized_actual | 3.53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AXP_history.csv | row 4 column eps_gaap_consensus | 3.53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AXP_history.csv | row 4 column eps_gaap_actual | 3.53</t>
        </r>
      </text>
    </comment>
    <comment ref="H123" authorId="0">
      <text>
        <r>
          <rPr>
            <sz val="9"/>
            <color rgb="FF000000"/>
            <rFont val="Arial"/>
            <family val="2"/>
          </rPr>
          <t>AXP_history.csv | row 4 column revenue_m_consensus | 18926.49</t>
        </r>
      </text>
    </comment>
    <comment ref="I123" authorId="0">
      <text>
        <r>
          <rPr>
            <sz val="9"/>
            <color rgb="FF000000"/>
            <rFont val="Arial"/>
            <family val="2"/>
          </rPr>
          <t>AXP_history.csv | row 4 column revenue_m_actual | 18980.0</t>
        </r>
      </text>
    </comment>
    <comment ref="D124" authorId="0">
      <text>
        <r>
          <rPr>
            <sz val="9"/>
            <color rgb="FF000000"/>
            <rFont val="Arial"/>
            <family val="2"/>
          </rPr>
          <t>AXP_history.csv | row 5 column eps_normalized_consensus | 3.99</t>
        </r>
      </text>
    </comment>
    <comment ref="E124" authorId="0">
      <text>
        <r>
          <rPr>
            <sz val="9"/>
            <color rgb="FF000000"/>
            <rFont val="Arial"/>
            <family val="2"/>
          </rPr>
          <t>AXP_history.csv | row 5 column eps_normalized_actual | 4.28</t>
        </r>
      </text>
    </comment>
    <comment ref="F124" authorId="0">
      <text>
        <r>
          <rPr>
            <sz val="9"/>
            <color rgb="FF000000"/>
            <rFont val="Arial"/>
            <family val="2"/>
          </rPr>
          <t>AXP_history.csv | row 5 column eps_gaap_consensus | 3.99</t>
        </r>
      </text>
    </comment>
    <comment ref="G124" authorId="0">
      <text>
        <r>
          <rPr>
            <sz val="9"/>
            <color rgb="FF000000"/>
            <rFont val="Arial"/>
            <family val="2"/>
          </rPr>
          <t>AXP_history.csv | row 5 column eps_gaap_actual | 4.28</t>
        </r>
      </text>
    </comment>
    <comment ref="H124" authorId="0">
      <text>
        <r>
          <rPr>
            <sz val="9"/>
            <color rgb="FF000000"/>
            <rFont val="Arial"/>
            <family val="2"/>
          </rPr>
          <t>AXP_history.csv | row 5 column revenue_m_consensus | 18608.8</t>
        </r>
      </text>
    </comment>
    <comment ref="I124" authorId="0">
      <text>
        <r>
          <rPr>
            <sz val="9"/>
            <color rgb="FF000000"/>
            <rFont val="Arial"/>
            <family val="2"/>
          </rPr>
          <t>AXP_history.csv | row 5 column revenue_m_actual | 18907.0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AXP_history.csv | row 6 column eps_normalized_consensus | 4.41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AXP_history.csv | row 6 column eps_normalized_actual | 4.53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AXP_history.csv | row 6 column eps_gaap_consensus | 4.4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AXP_history.csv | row 6 column eps_gaap_actual | 4.53</t>
        </r>
      </text>
    </comment>
    <comment ref="H125" authorId="0">
      <text>
        <r>
          <rPr>
            <sz val="9"/>
            <color rgb="FF000000"/>
            <rFont val="Arial"/>
            <family val="2"/>
          </rPr>
          <t>AXP_history.csv | row 6 column revenue_m_consensus | 19702.98</t>
        </r>
      </text>
    </comment>
    <comment ref="I125" authorId="0">
      <text>
        <r>
          <rPr>
            <sz val="9"/>
            <color rgb="FF000000"/>
            <rFont val="Arial"/>
            <family val="2"/>
          </rPr>
          <t>AXP_history.csv | row 6 column revenue_m_actual | 19637.0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stockanalysis.com/stocks/axp/market-cap | Market Cap Oct 16, 2026 | 211.77B</t>
        </r>
      </text>
    </comment>
    <comment ref="C152" authorId="0">
      <text>
        <r>
          <rPr>
            <sz val="9"/>
            <color rgb="FF000000"/>
            <rFont val="Arial"/>
            <family val="2"/>
          </rPr>
          <t>q325exhibit992.htm | Tolerance - $m identities, Q3'24 | 0.5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q325exhibit992.htm | Tolerance - segment pretax vs reported, Q3'24 | 1.5</t>
        </r>
      </text>
    </comment>
    <comment ref="C154" authorId="0">
      <text>
        <r>
          <rPr>
            <sz val="9"/>
            <color rgb="FF000000"/>
            <rFont val="Arial"/>
            <family val="2"/>
          </rPr>
          <t>q325exhibit992.htm | Tolerance - EPS vs reported ($/share), Q3'24 | 0.01</t>
        </r>
      </text>
    </comment>
    <comment ref="C155" authorId="0">
      <text>
        <r>
          <rPr>
            <sz val="9"/>
            <color rgb="FF000000"/>
            <rFont val="Arial"/>
            <family val="2"/>
          </rPr>
          <t>q325exhibit992.htm | Tolerance - exact identities, Q3'24 | 0</t>
        </r>
      </text>
    </comment>
    <comment ref="C165" authorId="0">
      <text>
        <r>
          <rPr>
            <sz val="9"/>
            <color rgb="FF000000"/>
            <rFont val="Arial"/>
            <family val="2"/>
          </rPr>
          <t>q226exhibit992.htm | Consolidated Statements of Income, YTD'25 | 34,823</t>
        </r>
      </text>
    </comment>
    <comment ref="C166" authorId="0">
      <text>
        <r>
          <rPr>
            <sz val="9"/>
            <color rgb="FF000000"/>
            <rFont val="Arial"/>
            <family val="2"/>
          </rPr>
          <t>q226exhibit992.htm | Consolidated Statements of Income, YTD'25 | 2,555</t>
        </r>
      </text>
    </comment>
    <comment ref="C167" authorId="0">
      <text>
        <r>
          <rPr>
            <sz val="9"/>
            <color rgb="FF000000"/>
            <rFont val="Arial"/>
            <family val="2"/>
          </rPr>
          <t>q226exhibit992.htm | Consolidated Statements of Income, YTD'25 | 25,388</t>
        </r>
      </text>
    </comment>
    <comment ref="C168" authorId="0">
      <text>
        <r>
          <rPr>
            <sz val="9"/>
            <color rgb="FF000000"/>
            <rFont val="Arial"/>
            <family val="2"/>
          </rPr>
          <t>q226exhibit992.htm | Consolidated Statements of Income, YTD'25 | 6,880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q226exhibit992.htm | Consolidated Statements of Income, YTD'25 | 5,469</t>
        </r>
      </text>
    </comment>
    <comment ref="C170" authorId="0">
      <text>
        <r>
          <rPr>
            <sz val="9"/>
            <color rgb="FF000000"/>
            <rFont val="Arial"/>
            <family val="2"/>
          </rPr>
          <t>q226exhibit992.htm | Consolidated Statements of Income, YTD'25 | 5,404</t>
        </r>
      </text>
    </comment>
    <comment ref="C174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5,469</t>
        </r>
      </text>
    </comment>
    <comment ref="D174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8,371</t>
        </r>
      </text>
    </comment>
    <comment ref="E174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10,833</t>
        </r>
      </text>
    </comment>
    <comment ref="F174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2,971</t>
        </r>
      </text>
    </comment>
    <comment ref="G174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6,082</t>
        </r>
      </text>
    </comment>
    <comment ref="C175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2,555</t>
        </r>
      </text>
    </comment>
    <comment ref="D175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3,842</t>
        </r>
      </text>
    </comment>
    <comment ref="E175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5,256</t>
        </r>
      </text>
    </comment>
    <comment ref="F175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1,251</t>
        </r>
      </text>
    </comment>
    <comment ref="G175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2,336</t>
        </r>
      </text>
    </comment>
    <comment ref="C176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860</t>
        </r>
      </text>
    </comment>
    <comment ref="D176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1,315</t>
        </r>
      </text>
    </comment>
    <comment ref="E176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1,777</t>
        </r>
      </text>
    </comment>
    <comment ref="F176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468</t>
        </r>
      </text>
    </comment>
    <comment ref="G176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956</t>
        </r>
      </text>
    </comment>
    <comment ref="C177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285</t>
        </r>
      </text>
    </comment>
    <comment ref="D177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410</t>
        </r>
      </text>
    </comment>
    <comment ref="E177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551</t>
        </r>
      </text>
    </comment>
    <comment ref="F177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203</t>
        </r>
      </text>
    </comment>
    <comment ref="G177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358</t>
        </r>
      </text>
    </comment>
    <comment ref="C178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(385)</t>
        </r>
      </text>
    </comment>
    <comment ref="D178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(642)</t>
        </r>
      </text>
    </comment>
    <comment ref="E178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(542)</t>
        </r>
      </text>
    </comment>
    <comment ref="F178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145</t>
        </r>
      </text>
    </comment>
    <comment ref="G178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71</t>
        </r>
      </text>
    </comment>
    <comment ref="C179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61</t>
        </r>
      </text>
    </comment>
    <comment ref="D179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74</t>
        </r>
      </text>
    </comment>
    <comment ref="E179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(237)</t>
        </r>
      </text>
    </comment>
    <comment ref="F179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(282)</t>
        </r>
      </text>
    </comment>
    <comment ref="G179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(937)</t>
        </r>
      </text>
    </comment>
    <comment ref="C180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0</t>
        </r>
      </text>
    </comment>
    <comment ref="D180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0</t>
        </r>
      </text>
    </comment>
    <comment ref="E180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(74)</t>
        </r>
      </text>
    </comment>
    <comment ref="F180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(42)</t>
        </r>
      </text>
    </comment>
    <comment ref="G180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(67)</t>
        </r>
      </text>
    </comment>
    <comment ref="C181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(1,152)</t>
        </r>
      </text>
    </comment>
    <comment ref="D181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(1,333)</t>
        </r>
      </text>
    </comment>
    <comment ref="E181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(2,781)</t>
        </r>
      </text>
    </comment>
    <comment ref="F181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(1,386)</t>
        </r>
      </text>
    </comment>
    <comment ref="G181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(1,836)</t>
        </r>
      </text>
    </comment>
    <comment ref="C182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1,435</t>
        </r>
      </text>
    </comment>
    <comment ref="D182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3,324</t>
        </r>
      </text>
    </comment>
    <comment ref="E182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3,645</t>
        </r>
      </text>
    </comment>
    <comment ref="F182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476</t>
        </r>
      </text>
    </comment>
    <comment ref="G182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2,212</t>
        </r>
      </text>
    </comment>
    <comment ref="C183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1</t>
        </r>
      </text>
    </comment>
    <comment ref="D183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42</t>
        </r>
      </text>
    </comment>
    <comment ref="E183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47</t>
        </r>
      </text>
    </comment>
    <comment ref="F183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8</t>
        </r>
      </text>
    </comment>
    <comment ref="G183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24</t>
        </r>
      </text>
    </comment>
    <comment ref="C184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587</t>
        </r>
      </text>
    </comment>
    <comment ref="D184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876</t>
        </r>
      </text>
    </comment>
    <comment ref="E184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1,453</t>
        </r>
      </text>
    </comment>
    <comment ref="F184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233</t>
        </r>
      </text>
    </comment>
    <comment ref="G184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536</t>
        </r>
      </text>
    </comment>
    <comment ref="C185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(769)</t>
        </r>
      </text>
    </comment>
    <comment ref="D185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(1,314)</t>
        </r>
      </text>
    </comment>
    <comment ref="E185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(1,760)</t>
        </r>
      </text>
    </comment>
    <comment ref="F185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(1,978)</t>
        </r>
      </text>
    </comment>
    <comment ref="G185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(3,855)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(4,483)</t>
        </r>
      </text>
    </comment>
    <comment ref="D186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(10,212)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(19,573)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512</t>
        </r>
      </text>
    </comment>
    <comment ref="G186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(5,983)</t>
        </r>
      </text>
    </comment>
    <comment ref="C187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(1,049)</t>
        </r>
      </text>
    </comment>
    <comment ref="D187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(1,703)</t>
        </r>
      </text>
    </comment>
    <comment ref="E187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(2,425)</t>
        </r>
      </text>
    </comment>
    <comment ref="F187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(1,149)</t>
        </r>
      </text>
    </comment>
    <comment ref="G187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(2,047)</t>
        </r>
      </text>
    </comment>
    <comment ref="C188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(633)</t>
        </r>
      </text>
    </comment>
    <comment ref="D188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(633)</t>
        </r>
      </text>
    </comment>
    <comment ref="E188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(633)</t>
        </r>
      </text>
    </comment>
    <comment ref="F188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(498)</t>
        </r>
      </text>
    </comment>
    <comment ref="G188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(524)</t>
        </r>
      </text>
    </comment>
    <comment ref="C189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0</t>
        </r>
      </text>
    </comment>
    <comment ref="D189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0</t>
        </r>
      </text>
    </comment>
    <comment ref="E189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0</t>
        </r>
      </text>
    </comment>
    <comment ref="F189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0</t>
        </r>
      </text>
    </comment>
    <comment ref="G189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0</t>
        </r>
      </text>
    </comment>
    <comment ref="C190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9,943</t>
        </r>
      </text>
    </comment>
    <comment ref="D190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10,439</t>
        </r>
      </text>
    </comment>
    <comment ref="E190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13,045</t>
        </r>
      </text>
    </comment>
    <comment ref="F190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5,375</t>
        </r>
      </text>
    </comment>
    <comment ref="G190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4,404</t>
        </r>
      </text>
    </comment>
    <comment ref="C191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21</t>
        </r>
      </text>
    </comment>
    <comment ref="D191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1</t>
        </r>
      </text>
    </comment>
    <comment ref="E191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(27)</t>
        </r>
      </text>
    </comment>
    <comment ref="F191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110</t>
        </r>
      </text>
    </comment>
    <comment ref="G191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481</t>
        </r>
      </text>
    </comment>
    <comment ref="C192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15,896</t>
        </r>
      </text>
    </comment>
    <comment ref="D192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22,375</t>
        </r>
      </text>
    </comment>
    <comment ref="E192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24,377</t>
        </r>
      </text>
    </comment>
    <comment ref="F192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3,502</t>
        </r>
      </text>
    </comment>
    <comment ref="G192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6,116</t>
        </r>
      </text>
    </comment>
    <comment ref="C193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(7,895)</t>
        </r>
      </text>
    </comment>
    <comment ref="D193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(14,896)</t>
        </r>
      </text>
    </comment>
    <comment ref="E193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(18,157)</t>
        </r>
      </text>
    </comment>
    <comment ref="F193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(1,524)</t>
        </r>
      </text>
    </comment>
    <comment ref="G193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(5,471)</t>
        </r>
      </text>
    </comment>
    <comment ref="C194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22</t>
        </r>
      </text>
    </comment>
    <comment ref="D194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48</t>
        </r>
      </text>
    </comment>
    <comment ref="E194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57</t>
        </r>
      </text>
    </comment>
    <comment ref="F194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7</t>
        </r>
      </text>
    </comment>
    <comment ref="G194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7</t>
        </r>
      </text>
    </comment>
    <comment ref="C195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(2,564)</t>
        </r>
      </text>
    </comment>
    <comment ref="D195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(4,915)</t>
        </r>
      </text>
    </comment>
    <comment ref="E195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(5,814)</t>
        </r>
      </text>
    </comment>
    <comment ref="F195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(1,911)</t>
        </r>
      </text>
    </comment>
    <comment ref="G195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(4,215)</t>
        </r>
      </text>
    </comment>
    <comment ref="C196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(1,102)</t>
        </r>
      </text>
    </comment>
    <comment ref="D196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(1,688)</t>
        </r>
      </text>
    </comment>
    <comment ref="E196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(2,271)</t>
        </r>
      </text>
    </comment>
    <comment ref="F196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(583)</t>
        </r>
      </text>
    </comment>
    <comment ref="G196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(1,248)</t>
        </r>
      </text>
    </comment>
    <comment ref="C197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194</t>
        </r>
      </text>
    </comment>
    <comment ref="D197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285</t>
        </r>
      </text>
    </comment>
    <comment ref="E197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405</t>
        </r>
      </text>
    </comment>
    <comment ref="F197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57</t>
        </r>
      </text>
    </comment>
    <comment ref="G197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51</t>
        </r>
      </text>
    </comment>
    <comment ref="C198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9,128</t>
        </r>
      </text>
    </comment>
    <comment ref="D198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15,361</t>
        </r>
      </text>
    </comment>
    <comment ref="E198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18,428</t>
        </r>
      </text>
    </comment>
    <comment ref="F198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3,804</t>
        </r>
      </text>
    </comment>
    <comment ref="G198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9,175</t>
        </r>
      </text>
    </comment>
    <comment ref="C199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(6,346)</t>
        </r>
      </text>
    </comment>
    <comment ref="D199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(12,944)</t>
        </r>
      </text>
    </comment>
    <comment ref="E199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(22,891)</t>
        </r>
      </text>
    </comment>
    <comment ref="F199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(2,872)</t>
        </r>
      </text>
    </comment>
    <comment ref="G199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(11,849)</t>
        </r>
      </text>
    </comment>
    <comment ref="C200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14,321</t>
        </r>
      </text>
    </comment>
    <comment ref="D200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11,364</t>
        </r>
      </text>
    </comment>
    <comment ref="E200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11,210</t>
        </r>
      </text>
    </comment>
    <comment ref="F200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4,976</t>
        </r>
      </text>
    </comment>
    <comment ref="G200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74</t>
        </r>
      </text>
    </comment>
    <comment ref="C201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2025 | 17,297</t>
        </r>
      </text>
    </comment>
    <comment ref="D201" authorId="0">
      <text>
        <r>
          <rPr>
            <sz val="9"/>
            <color rgb="FF000000"/>
            <rFont val="Arial"/>
            <family val="2"/>
          </rPr>
          <t>axp-20250930.htm | Consolidated Statements of Cash Flows, Nine months ended September 30, 2025 | 14,066</t>
        </r>
      </text>
    </comment>
    <comment ref="E201" authorId="0">
      <text>
        <r>
          <rPr>
            <sz val="9"/>
            <color rgb="FF000000"/>
            <rFont val="Arial"/>
            <family val="2"/>
          </rPr>
          <t>axp-20251231 10-K R8.htm | Consolidated Statements of Cash Flows, Year ended December 31, 2025 | 7,152</t>
        </r>
      </text>
    </comment>
    <comment ref="F201" authorId="0">
      <text>
        <r>
          <rPr>
            <sz val="9"/>
            <color rgb="FF000000"/>
            <rFont val="Arial"/>
            <family val="2"/>
          </rPr>
          <t>axp-20260331.htm | Consolidated Statements of Cash Flows, Three months ended March 31, 2026 | 5,965</t>
        </r>
      </text>
    </comment>
    <comment ref="G201" authorId="0">
      <text>
        <r>
          <rPr>
            <sz val="9"/>
            <color rgb="FF000000"/>
            <rFont val="Arial"/>
            <family val="2"/>
          </rPr>
          <t>axp-20260630.htm | Consolidated Statements of Cash Flows, Six months ended June 30, 2026 | (2,549)</t>
        </r>
      </text>
    </comment>
    <comment ref="C205" authorId="0">
      <text>
        <r>
          <rPr>
            <sz val="9"/>
            <color rgb="FF000000"/>
            <rFont val="Arial"/>
            <family val="2"/>
          </rPr>
          <t>q325exhibit992.htm | Days in comparative period, Q3'24 | 92</t>
        </r>
      </text>
    </comment>
    <comment ref="D205" authorId="0">
      <text>
        <r>
          <rPr>
            <sz val="9"/>
            <color rgb="FF000000"/>
            <rFont val="Arial"/>
            <family val="2"/>
          </rPr>
          <t>q425exhibit992.htm | Days in comparative period, Q4'24 | 92</t>
        </r>
      </text>
    </comment>
    <comment ref="E205" authorId="0">
      <text>
        <r>
          <rPr>
            <sz val="9"/>
            <color rgb="FF000000"/>
            <rFont val="Arial"/>
            <family val="2"/>
          </rPr>
          <t>q425exhibit992.htm | Days in comparative period, FY'24 | 366</t>
        </r>
      </text>
    </comment>
    <comment ref="F205" authorId="0">
      <text>
        <r>
          <rPr>
            <sz val="9"/>
            <color rgb="FF000000"/>
            <rFont val="Arial"/>
            <family val="2"/>
          </rPr>
          <t>q425exhibit992.htm | Days in comparative period, Q1'25 | 90</t>
        </r>
      </text>
    </comment>
    <comment ref="G205" authorId="0">
      <text>
        <r>
          <rPr>
            <sz val="9"/>
            <color rgb="FF000000"/>
            <rFont val="Arial"/>
            <family val="2"/>
          </rPr>
          <t>q226exhibit992.htm | Days in comparative period, Q2'25 | 91</t>
        </r>
      </text>
    </comment>
    <comment ref="C206" authorId="0">
      <text>
        <r>
          <rPr>
            <sz val="9"/>
            <color rgb="FF000000"/>
            <rFont val="Arial"/>
            <family val="2"/>
          </rPr>
          <t>q325exhibit992.htm | Consolidated disc, Q3'24 | 8,780</t>
        </r>
      </text>
    </comment>
    <comment ref="D206" authorId="0">
      <text>
        <r>
          <rPr>
            <sz val="9"/>
            <color rgb="FF000000"/>
            <rFont val="Arial"/>
            <family val="2"/>
          </rPr>
          <t>q425exhibit992.htm | Consolidated disc, Q4'24 | 9,177</t>
        </r>
      </text>
    </comment>
    <comment ref="E206" authorId="0">
      <text>
        <r>
          <rPr>
            <sz val="9"/>
            <color rgb="FF000000"/>
            <rFont val="Arial"/>
            <family val="2"/>
          </rPr>
          <t>q425exhibit992.htm | Consolidated disc, FY'24 | 35,192</t>
        </r>
      </text>
    </comment>
    <comment ref="F206" authorId="0">
      <text>
        <r>
          <rPr>
            <sz val="9"/>
            <color rgb="FF000000"/>
            <rFont val="Arial"/>
            <family val="2"/>
          </rPr>
          <t>q425exhibit992.htm | Consolidated disc, Q1'25 | 8,743</t>
        </r>
      </text>
    </comment>
    <comment ref="G206" authorId="0">
      <text>
        <r>
          <rPr>
            <sz val="9"/>
            <color rgb="FF000000"/>
            <rFont val="Arial"/>
            <family val="2"/>
          </rPr>
          <t>q226exhibit992.htm | Consolidated disc, Q2'25 | 9,361</t>
        </r>
      </text>
    </comment>
    <comment ref="C207" authorId="0">
      <text>
        <r>
          <rPr>
            <sz val="9"/>
            <color rgb="FF000000"/>
            <rFont val="Arial"/>
            <family val="2"/>
          </rPr>
          <t>q325exhibit992.htm | Consolidated fees, Q3'24 | 2,170</t>
        </r>
      </text>
    </comment>
    <comment ref="D207" authorId="0">
      <text>
        <r>
          <rPr>
            <sz val="9"/>
            <color rgb="FF000000"/>
            <rFont val="Arial"/>
            <family val="2"/>
          </rPr>
          <t>q425exhibit992.htm | Consolidated fees, Q4'24 | 2,245</t>
        </r>
      </text>
    </comment>
    <comment ref="E207" authorId="0">
      <text>
        <r>
          <rPr>
            <sz val="9"/>
            <color rgb="FF000000"/>
            <rFont val="Arial"/>
            <family val="2"/>
          </rPr>
          <t>q425exhibit992.htm | Consolidated fees, FY'24 | 8,449</t>
        </r>
      </text>
    </comment>
    <comment ref="F207" authorId="0">
      <text>
        <r>
          <rPr>
            <sz val="9"/>
            <color rgb="FF000000"/>
            <rFont val="Arial"/>
            <family val="2"/>
          </rPr>
          <t>q425exhibit992.htm | Consolidated fees, Q1'25 | 2,333</t>
        </r>
      </text>
    </comment>
    <comment ref="G207" authorId="0">
      <text>
        <r>
          <rPr>
            <sz val="9"/>
            <color rgb="FF000000"/>
            <rFont val="Arial"/>
            <family val="2"/>
          </rPr>
          <t>q226exhibit992.htm | Consolidated fees, Q2'25 | 2,480</t>
        </r>
      </text>
    </comment>
    <comment ref="C208" authorId="0">
      <text>
        <r>
          <rPr>
            <sz val="9"/>
            <color rgb="FF000000"/>
            <rFont val="Arial"/>
            <family val="2"/>
          </rPr>
          <t>q325exhibit992.htm | Consolidated svc, Q3'24 | 1,680</t>
        </r>
      </text>
    </comment>
    <comment ref="D208" authorId="0">
      <text>
        <r>
          <rPr>
            <sz val="9"/>
            <color rgb="FF000000"/>
            <rFont val="Arial"/>
            <family val="2"/>
          </rPr>
          <t>q425exhibit992.htm | Consolidated svc, Q4'24 | 1,719</t>
        </r>
      </text>
    </comment>
    <comment ref="E208" authorId="0">
      <text>
        <r>
          <rPr>
            <sz val="9"/>
            <color rgb="FF000000"/>
            <rFont val="Arial"/>
            <family val="2"/>
          </rPr>
          <t>q425exhibit992.htm | Consolidated svc, FY'24 | 6,765</t>
        </r>
      </text>
    </comment>
    <comment ref="F208" authorId="0">
      <text>
        <r>
          <rPr>
            <sz val="9"/>
            <color rgb="FF000000"/>
            <rFont val="Arial"/>
            <family val="2"/>
          </rPr>
          <t>q425exhibit992.htm | Consolidated svc, Q1'25 | 1,722</t>
        </r>
      </text>
    </comment>
    <comment ref="G208" authorId="0">
      <text>
        <r>
          <rPr>
            <sz val="9"/>
            <color rgb="FF000000"/>
            <rFont val="Arial"/>
            <family val="2"/>
          </rPr>
          <t>q226exhibit992.htm | Consolidated svc, Q2'25 | 1,828</t>
        </r>
      </text>
    </comment>
    <comment ref="C209" authorId="0">
      <text>
        <r>
          <rPr>
            <sz val="9"/>
            <color rgb="FF000000"/>
            <rFont val="Arial"/>
            <family val="2"/>
          </rPr>
          <t>q325exhibit992.htm | Consolidated nir, Q3'24 | 12,630</t>
        </r>
      </text>
    </comment>
    <comment ref="D209" authorId="0">
      <text>
        <r>
          <rPr>
            <sz val="9"/>
            <color rgb="FF000000"/>
            <rFont val="Arial"/>
            <family val="2"/>
          </rPr>
          <t>q425exhibit992.htm | Consolidated nir, Q4'24 | 13,141</t>
        </r>
      </text>
    </comment>
    <comment ref="E209" authorId="0">
      <text>
        <r>
          <rPr>
            <sz val="9"/>
            <color rgb="FF000000"/>
            <rFont val="Arial"/>
            <family val="2"/>
          </rPr>
          <t>q425exhibit992.htm | Consolidated nir, FY'24 | 50,406</t>
        </r>
      </text>
    </comment>
    <comment ref="F209" authorId="0">
      <text>
        <r>
          <rPr>
            <sz val="9"/>
            <color rgb="FF000000"/>
            <rFont val="Arial"/>
            <family val="2"/>
          </rPr>
          <t>q425exhibit992.htm | Consolidated nir, Q1'25 | 12,798</t>
        </r>
      </text>
    </comment>
    <comment ref="G209" authorId="0">
      <text>
        <r>
          <rPr>
            <sz val="9"/>
            <color rgb="FF000000"/>
            <rFont val="Arial"/>
            <family val="2"/>
          </rPr>
          <t>q226exhibit992.htm | Consolidated nir, Q2'25 | 13,669</t>
        </r>
      </text>
    </comment>
    <comment ref="C210" authorId="0">
      <text>
        <r>
          <rPr>
            <sz val="9"/>
            <color rgb="FF000000"/>
            <rFont val="Arial"/>
            <family val="2"/>
          </rPr>
          <t>q325exhibit992.htm | Consolidated ii_loans, Q3'24 | 5,442</t>
        </r>
      </text>
    </comment>
    <comment ref="D210" authorId="0">
      <text>
        <r>
          <rPr>
            <sz val="9"/>
            <color rgb="FF000000"/>
            <rFont val="Arial"/>
            <family val="2"/>
          </rPr>
          <t>q425exhibit992.htm | Consolidated ii_loans, Q4'24 | 5,503</t>
        </r>
      </text>
    </comment>
    <comment ref="E210" authorId="0">
      <text>
        <r>
          <rPr>
            <sz val="9"/>
            <color rgb="FF000000"/>
            <rFont val="Arial"/>
            <family val="2"/>
          </rPr>
          <t>q425exhibit992.htm | Consolidated ii_loans, FY'24 | 21,095</t>
        </r>
      </text>
    </comment>
    <comment ref="F210" authorId="0">
      <text>
        <r>
          <rPr>
            <sz val="9"/>
            <color rgb="FF000000"/>
            <rFont val="Arial"/>
            <family val="2"/>
          </rPr>
          <t>q425exhibit992.htm | Consolidated ii_loans, Q1'25 | 5,552</t>
        </r>
      </text>
    </comment>
    <comment ref="G210" authorId="0">
      <text>
        <r>
          <rPr>
            <sz val="9"/>
            <color rgb="FF000000"/>
            <rFont val="Arial"/>
            <family val="2"/>
          </rPr>
          <t>q226exhibit992.htm | Consolidated ii_loans, Q2'25 | 5,648</t>
        </r>
      </text>
    </comment>
    <comment ref="C211" authorId="0">
      <text>
        <r>
          <rPr>
            <sz val="9"/>
            <color rgb="FF000000"/>
            <rFont val="Arial"/>
            <family val="2"/>
          </rPr>
          <t>q325exhibit992.htm | Consolidated ii_inv, Q3'24 | 18</t>
        </r>
      </text>
    </comment>
    <comment ref="D211" authorId="0">
      <text>
        <r>
          <rPr>
            <sz val="9"/>
            <color rgb="FF000000"/>
            <rFont val="Arial"/>
            <family val="2"/>
          </rPr>
          <t>q425exhibit992.htm | Consolidated ii_inv, Q4'24 | 18</t>
        </r>
      </text>
    </comment>
    <comment ref="E211" authorId="0">
      <text>
        <r>
          <rPr>
            <sz val="9"/>
            <color rgb="FF000000"/>
            <rFont val="Arial"/>
            <family val="2"/>
          </rPr>
          <t>q425exhibit992.htm | Consolidated ii_inv, FY'24 | 86</t>
        </r>
      </text>
    </comment>
    <comment ref="F211" authorId="0">
      <text>
        <r>
          <rPr>
            <sz val="9"/>
            <color rgb="FF000000"/>
            <rFont val="Arial"/>
            <family val="2"/>
          </rPr>
          <t>q425exhibit992.htm | Consolidated ii_inv, Q1'25 | 14</t>
        </r>
      </text>
    </comment>
    <comment ref="G211" authorId="0">
      <text>
        <r>
          <rPr>
            <sz val="9"/>
            <color rgb="FF000000"/>
            <rFont val="Arial"/>
            <family val="2"/>
          </rPr>
          <t>q226exhibit992.htm | Consolidated ii_inv, Q2'25 | 17</t>
        </r>
      </text>
    </comment>
    <comment ref="C212" authorId="0">
      <text>
        <r>
          <rPr>
            <sz val="9"/>
            <color rgb="FF000000"/>
            <rFont val="Arial"/>
            <family val="2"/>
          </rPr>
          <t>q325exhibit992.htm | Consolidated ii_dep, Q3'24 | 689</t>
        </r>
      </text>
    </comment>
    <comment ref="D212" authorId="0">
      <text>
        <r>
          <rPr>
            <sz val="9"/>
            <color rgb="FF000000"/>
            <rFont val="Arial"/>
            <family val="2"/>
          </rPr>
          <t>q425exhibit992.htm | Consolidated ii_dep, Q4'24 | 556</t>
        </r>
      </text>
    </comment>
    <comment ref="E212" authorId="0">
      <text>
        <r>
          <rPr>
            <sz val="9"/>
            <color rgb="FF000000"/>
            <rFont val="Arial"/>
            <family val="2"/>
          </rPr>
          <t>q425exhibit992.htm | Consolidated ii_dep, FY'24 | 2,614</t>
        </r>
      </text>
    </comment>
    <comment ref="F212" authorId="0">
      <text>
        <r>
          <rPr>
            <sz val="9"/>
            <color rgb="FF000000"/>
            <rFont val="Arial"/>
            <family val="2"/>
          </rPr>
          <t>q425exhibit992.htm | Consolidated ii_dep, Q1'25 | 569</t>
        </r>
      </text>
    </comment>
    <comment ref="G212" authorId="0">
      <text>
        <r>
          <rPr>
            <sz val="9"/>
            <color rgb="FF000000"/>
            <rFont val="Arial"/>
            <family val="2"/>
          </rPr>
          <t>q226exhibit992.htm | Consolidated ii_dep, Q2'25 | 599</t>
        </r>
      </text>
    </comment>
    <comment ref="C213" authorId="0">
      <text>
        <r>
          <rPr>
            <sz val="9"/>
            <color rgb="FF000000"/>
            <rFont val="Arial"/>
            <family val="2"/>
          </rPr>
          <t>q325exhibit992.htm | Consolidated ie_dep, Q3'24 | 1,446</t>
        </r>
      </text>
    </comment>
    <comment ref="D213" authorId="0">
      <text>
        <r>
          <rPr>
            <sz val="9"/>
            <color rgb="FF000000"/>
            <rFont val="Arial"/>
            <family val="2"/>
          </rPr>
          <t>q425exhibit992.htm | Consolidated ie_dep, Q4'24 | 1,397</t>
        </r>
      </text>
    </comment>
    <comment ref="E213" authorId="0">
      <text>
        <r>
          <rPr>
            <sz val="9"/>
            <color rgb="FF000000"/>
            <rFont val="Arial"/>
            <family val="2"/>
          </rPr>
          <t>q425exhibit992.htm | Consolidated ie_dep, FY'24 | 5,695</t>
        </r>
      </text>
    </comment>
    <comment ref="F213" authorId="0">
      <text>
        <r>
          <rPr>
            <sz val="9"/>
            <color rgb="FF000000"/>
            <rFont val="Arial"/>
            <family val="2"/>
          </rPr>
          <t>q425exhibit992.htm | Consolidated ie_dep, Q1'25 | 1,337</t>
        </r>
      </text>
    </comment>
    <comment ref="G213" authorId="0">
      <text>
        <r>
          <rPr>
            <sz val="9"/>
            <color rgb="FF000000"/>
            <rFont val="Arial"/>
            <family val="2"/>
          </rPr>
          <t>q226exhibit992.htm | Consolidated ie_dep, Q2'25 | 1,374</t>
        </r>
      </text>
    </comment>
    <comment ref="C214" authorId="0">
      <text>
        <r>
          <rPr>
            <sz val="9"/>
            <color rgb="FF000000"/>
            <rFont val="Arial"/>
            <family val="2"/>
          </rPr>
          <t>q325exhibit992.htm | Consolidated ie_ltd, Q3'24 | 697</t>
        </r>
      </text>
    </comment>
    <comment ref="D214" authorId="0">
      <text>
        <r>
          <rPr>
            <sz val="9"/>
            <color rgb="FF000000"/>
            <rFont val="Arial"/>
            <family val="2"/>
          </rPr>
          <t>q425exhibit992.htm | Consolidated ie_ltd, Q4'24 | 642</t>
        </r>
      </text>
    </comment>
    <comment ref="E214" authorId="0">
      <text>
        <r>
          <rPr>
            <sz val="9"/>
            <color rgb="FF000000"/>
            <rFont val="Arial"/>
            <family val="2"/>
          </rPr>
          <t>q425exhibit992.htm | Consolidated ie_ltd, FY'24 | 2,557</t>
        </r>
      </text>
    </comment>
    <comment ref="F214" authorId="0">
      <text>
        <r>
          <rPr>
            <sz val="9"/>
            <color rgb="FF000000"/>
            <rFont val="Arial"/>
            <family val="2"/>
          </rPr>
          <t>q425exhibit992.htm | Consolidated ie_ltd, Q1'25 | 629</t>
        </r>
      </text>
    </comment>
    <comment ref="G214" authorId="0">
      <text>
        <r>
          <rPr>
            <sz val="9"/>
            <color rgb="FF000000"/>
            <rFont val="Arial"/>
            <family val="2"/>
          </rPr>
          <t>q226exhibit992.htm | Consolidated ie_ltd, Q2'25 | 703</t>
        </r>
      </text>
    </comment>
    <comment ref="C215" authorId="0">
      <text>
        <r>
          <rPr>
            <sz val="9"/>
            <color rgb="FF000000"/>
            <rFont val="Arial"/>
            <family val="2"/>
          </rPr>
          <t>q325exhibit992.htm | Consolidated nii, Q3'24 | 4,006</t>
        </r>
      </text>
    </comment>
    <comment ref="D215" authorId="0">
      <text>
        <r>
          <rPr>
            <sz val="9"/>
            <color rgb="FF000000"/>
            <rFont val="Arial"/>
            <family val="2"/>
          </rPr>
          <t>q425exhibit992.htm | Consolidated nii, Q4'24 | 4,038</t>
        </r>
      </text>
    </comment>
    <comment ref="E215" authorId="0">
      <text>
        <r>
          <rPr>
            <sz val="9"/>
            <color rgb="FF000000"/>
            <rFont val="Arial"/>
            <family val="2"/>
          </rPr>
          <t>q425exhibit992.htm | Consolidated nii, FY'24 | 15,543</t>
        </r>
      </text>
    </comment>
    <comment ref="F215" authorId="0">
      <text>
        <r>
          <rPr>
            <sz val="9"/>
            <color rgb="FF000000"/>
            <rFont val="Arial"/>
            <family val="2"/>
          </rPr>
          <t>q425exhibit992.htm | Consolidated nii, Q1'25 | 4,169</t>
        </r>
      </text>
    </comment>
    <comment ref="G215" authorId="0">
      <text>
        <r>
          <rPr>
            <sz val="9"/>
            <color rgb="FF000000"/>
            <rFont val="Arial"/>
            <family val="2"/>
          </rPr>
          <t>q226exhibit992.htm | Consolidated nii, Q2'25 | 4,187</t>
        </r>
      </text>
    </comment>
    <comment ref="C216" authorId="0">
      <text>
        <r>
          <rPr>
            <sz val="9"/>
            <color rgb="FF000000"/>
            <rFont val="Arial"/>
            <family val="2"/>
          </rPr>
          <t>q325exhibit992.htm | Consolidated rev, Q3'24 | 16,636</t>
        </r>
      </text>
    </comment>
    <comment ref="D216" authorId="0">
      <text>
        <r>
          <rPr>
            <sz val="9"/>
            <color rgb="FF000000"/>
            <rFont val="Arial"/>
            <family val="2"/>
          </rPr>
          <t>q425exhibit992.htm | Consolidated rev, Q4'24 | 17,179</t>
        </r>
      </text>
    </comment>
    <comment ref="E216" authorId="0">
      <text>
        <r>
          <rPr>
            <sz val="9"/>
            <color rgb="FF000000"/>
            <rFont val="Arial"/>
            <family val="2"/>
          </rPr>
          <t>q425exhibit992.htm | Consolidated rev, FY'24 | 65,949</t>
        </r>
      </text>
    </comment>
    <comment ref="F216" authorId="0">
      <text>
        <r>
          <rPr>
            <sz val="9"/>
            <color rgb="FF000000"/>
            <rFont val="Arial"/>
            <family val="2"/>
          </rPr>
          <t>q425exhibit992.htm | Consolidated rev, Q1'25 | 16,967</t>
        </r>
      </text>
    </comment>
    <comment ref="G216" authorId="0">
      <text>
        <r>
          <rPr>
            <sz val="9"/>
            <color rgb="FF000000"/>
            <rFont val="Arial"/>
            <family val="2"/>
          </rPr>
          <t>q226exhibit992.htm | Consolidated rev, Q2'25 | 17,856</t>
        </r>
      </text>
    </comment>
    <comment ref="C217" authorId="0">
      <text>
        <r>
          <rPr>
            <sz val="9"/>
            <color rgb="FF000000"/>
            <rFont val="Arial"/>
            <family val="2"/>
          </rPr>
          <t>q325exhibit992.htm | Consolidated prov, Q3'24 | 1,356</t>
        </r>
      </text>
    </comment>
    <comment ref="D217" authorId="0">
      <text>
        <r>
          <rPr>
            <sz val="9"/>
            <color rgb="FF000000"/>
            <rFont val="Arial"/>
            <family val="2"/>
          </rPr>
          <t>q425exhibit992.htm | Consolidated prov, Q4'24 | 1,292</t>
        </r>
      </text>
    </comment>
    <comment ref="E217" authorId="0">
      <text>
        <r>
          <rPr>
            <sz val="9"/>
            <color rgb="FF000000"/>
            <rFont val="Arial"/>
            <family val="2"/>
          </rPr>
          <t>q425exhibit992.htm | Consolidated prov, FY'24 | 5,185</t>
        </r>
      </text>
    </comment>
    <comment ref="F217" authorId="0">
      <text>
        <r>
          <rPr>
            <sz val="9"/>
            <color rgb="FF000000"/>
            <rFont val="Arial"/>
            <family val="2"/>
          </rPr>
          <t>q425exhibit992.htm | Consolidated prov, Q1'25 | 1,150</t>
        </r>
      </text>
    </comment>
    <comment ref="G217" authorId="0">
      <text>
        <r>
          <rPr>
            <sz val="9"/>
            <color rgb="FF000000"/>
            <rFont val="Arial"/>
            <family val="2"/>
          </rPr>
          <t>q226exhibit992.htm | Consolidated prov, Q2'25 | 1,405</t>
        </r>
      </text>
    </comment>
    <comment ref="C218" authorId="0">
      <text>
        <r>
          <rPr>
            <sz val="9"/>
            <color rgb="FF000000"/>
            <rFont val="Arial"/>
            <family val="2"/>
          </rPr>
          <t>q325exhibit992.htm | Consolidated rew, Q3'24 | 4,168</t>
        </r>
      </text>
    </comment>
    <comment ref="D218" authorId="0">
      <text>
        <r>
          <rPr>
            <sz val="9"/>
            <color rgb="FF000000"/>
            <rFont val="Arial"/>
            <family val="2"/>
          </rPr>
          <t>q425exhibit992.htm | Consolidated rew, Q4'24 | 4,430</t>
        </r>
      </text>
    </comment>
    <comment ref="E218" authorId="0">
      <text>
        <r>
          <rPr>
            <sz val="9"/>
            <color rgb="FF000000"/>
            <rFont val="Arial"/>
            <family val="2"/>
          </rPr>
          <t>q425exhibit992.htm | Consolidated rew, FY'24 | 16,599</t>
        </r>
      </text>
    </comment>
    <comment ref="F218" authorId="0">
      <text>
        <r>
          <rPr>
            <sz val="9"/>
            <color rgb="FF000000"/>
            <rFont val="Arial"/>
            <family val="2"/>
          </rPr>
          <t>q425exhibit992.htm | Consolidated rew, Q1'25 | 4,378</t>
        </r>
      </text>
    </comment>
    <comment ref="G218" authorId="0">
      <text>
        <r>
          <rPr>
            <sz val="9"/>
            <color rgb="FF000000"/>
            <rFont val="Arial"/>
            <family val="2"/>
          </rPr>
          <t>q226exhibit992.htm | Consolidated rew, Q2'25 | 4,618</t>
        </r>
      </text>
    </comment>
    <comment ref="C219" authorId="0">
      <text>
        <r>
          <rPr>
            <sz val="9"/>
            <color rgb="FF000000"/>
            <rFont val="Arial"/>
            <family val="2"/>
          </rPr>
          <t>q325exhibit992.htm | Consolidated bd, Q3'24 | 1,430</t>
        </r>
      </text>
    </comment>
    <comment ref="D219" authorId="0">
      <text>
        <r>
          <rPr>
            <sz val="9"/>
            <color rgb="FF000000"/>
            <rFont val="Arial"/>
            <family val="2"/>
          </rPr>
          <t>q425exhibit992.htm | Consolidated bd, Q4'24 | 1,637</t>
        </r>
      </text>
    </comment>
    <comment ref="E219" authorId="0">
      <text>
        <r>
          <rPr>
            <sz val="9"/>
            <color rgb="FF000000"/>
            <rFont val="Arial"/>
            <family val="2"/>
          </rPr>
          <t>q425exhibit992.htm | Consolidated bd, FY'24 | 5,886</t>
        </r>
      </text>
    </comment>
    <comment ref="F219" authorId="0">
      <text>
        <r>
          <rPr>
            <sz val="9"/>
            <color rgb="FF000000"/>
            <rFont val="Arial"/>
            <family val="2"/>
          </rPr>
          <t>q425exhibit992.htm | Consolidated bd, Q1'25 | 1,529</t>
        </r>
      </text>
    </comment>
    <comment ref="G219" authorId="0">
      <text>
        <r>
          <rPr>
            <sz val="9"/>
            <color rgb="FF000000"/>
            <rFont val="Arial"/>
            <family val="2"/>
          </rPr>
          <t>q226exhibit992.htm | Consolidated bd, Q2'25 | 1,589</t>
        </r>
      </text>
    </comment>
    <comment ref="C220" authorId="0">
      <text>
        <r>
          <rPr>
            <sz val="9"/>
            <color rgb="FF000000"/>
            <rFont val="Arial"/>
            <family val="2"/>
          </rPr>
          <t>q325exhibit992.htm | Consolidated cms, Q3'24 | 1,179</t>
        </r>
      </text>
    </comment>
    <comment ref="D220" authorId="0">
      <text>
        <r>
          <rPr>
            <sz val="9"/>
            <color rgb="FF000000"/>
            <rFont val="Arial"/>
            <family val="2"/>
          </rPr>
          <t>q425exhibit992.htm | Consolidated cms, Q4'24 | 1,278</t>
        </r>
      </text>
    </comment>
    <comment ref="E220" authorId="0">
      <text>
        <r>
          <rPr>
            <sz val="9"/>
            <color rgb="FF000000"/>
            <rFont val="Arial"/>
            <family val="2"/>
          </rPr>
          <t>q425exhibit992.htm | Consolidated cms, FY'24 | 4,782</t>
        </r>
      </text>
    </comment>
    <comment ref="F220" authorId="0">
      <text>
        <r>
          <rPr>
            <sz val="9"/>
            <color rgb="FF000000"/>
            <rFont val="Arial"/>
            <family val="2"/>
          </rPr>
          <t>q425exhibit992.htm | Consolidated cms, Q1'25 | 1,328</t>
        </r>
      </text>
    </comment>
    <comment ref="G220" authorId="0">
      <text>
        <r>
          <rPr>
            <sz val="9"/>
            <color rgb="FF000000"/>
            <rFont val="Arial"/>
            <family val="2"/>
          </rPr>
          <t>q226exhibit992.htm | Consolidated cms, Q2'25 | 1,301</t>
        </r>
      </text>
    </comment>
    <comment ref="C221" authorId="0">
      <text>
        <r>
          <rPr>
            <sz val="9"/>
            <color rgb="FF000000"/>
            <rFont val="Arial"/>
            <family val="2"/>
          </rPr>
          <t>q325exhibit992.htm | Consolidated mkt, Q3'24 | 1,470</t>
        </r>
      </text>
    </comment>
    <comment ref="D221" authorId="0">
      <text>
        <r>
          <rPr>
            <sz val="9"/>
            <color rgb="FF000000"/>
            <rFont val="Arial"/>
            <family val="2"/>
          </rPr>
          <t>q425exhibit992.htm | Consolidated mkt, Q4'24 | 1,614</t>
        </r>
      </text>
    </comment>
    <comment ref="E221" authorId="0">
      <text>
        <r>
          <rPr>
            <sz val="9"/>
            <color rgb="FF000000"/>
            <rFont val="Arial"/>
            <family val="2"/>
          </rPr>
          <t>q425exhibit992.htm | Consolidated mkt, FY'24 | 6,040</t>
        </r>
      </text>
    </comment>
    <comment ref="F221" authorId="0">
      <text>
        <r>
          <rPr>
            <sz val="9"/>
            <color rgb="FF000000"/>
            <rFont val="Arial"/>
            <family val="2"/>
          </rPr>
          <t>q425exhibit992.htm | Consolidated mkt, Q1'25 | 1,486</t>
        </r>
      </text>
    </comment>
    <comment ref="G221" authorId="0">
      <text>
        <r>
          <rPr>
            <sz val="9"/>
            <color rgb="FF000000"/>
            <rFont val="Arial"/>
            <family val="2"/>
          </rPr>
          <t>q226exhibit992.htm | Consolidated mkt, Q2'25 | 1,555</t>
        </r>
      </text>
    </comment>
    <comment ref="C222" authorId="0">
      <text>
        <r>
          <rPr>
            <sz val="9"/>
            <color rgb="FF000000"/>
            <rFont val="Arial"/>
            <family val="2"/>
          </rPr>
          <t>q325exhibit992.htm | Consolidated opex, Q3'24 | 3,829</t>
        </r>
      </text>
    </comment>
    <comment ref="D222" authorId="0">
      <text>
        <r>
          <rPr>
            <sz val="9"/>
            <color rgb="FF000000"/>
            <rFont val="Arial"/>
            <family val="2"/>
          </rPr>
          <t>q425exhibit992.htm | Consolidated opex, Q4'24 | 4,172</t>
        </r>
      </text>
    </comment>
    <comment ref="E222" authorId="0">
      <text>
        <r>
          <rPr>
            <sz val="9"/>
            <color rgb="FF000000"/>
            <rFont val="Arial"/>
            <family val="2"/>
          </rPr>
          <t>q425exhibit992.htm | Consolidated opex, FY'24 | 14,562</t>
        </r>
      </text>
    </comment>
    <comment ref="F222" authorId="0">
      <text>
        <r>
          <rPr>
            <sz val="9"/>
            <color rgb="FF000000"/>
            <rFont val="Arial"/>
            <family val="2"/>
          </rPr>
          <t>q425exhibit992.htm | Consolidated opex, Q1'25 | 3,766</t>
        </r>
      </text>
    </comment>
    <comment ref="G222" authorId="0">
      <text>
        <r>
          <rPr>
            <sz val="9"/>
            <color rgb="FF000000"/>
            <rFont val="Arial"/>
            <family val="2"/>
          </rPr>
          <t>q226exhibit992.htm | Consolidated opex, Q2'25 | 3,838</t>
        </r>
      </text>
    </comment>
    <comment ref="C223" authorId="0">
      <text>
        <r>
          <rPr>
            <sz val="9"/>
            <color rgb="FF000000"/>
            <rFont val="Arial"/>
            <family val="2"/>
          </rPr>
          <t>q325exhibit992.htm | Consolidated texp, Q3'24 | 12,076</t>
        </r>
      </text>
    </comment>
    <comment ref="D223" authorId="0">
      <text>
        <r>
          <rPr>
            <sz val="9"/>
            <color rgb="FF000000"/>
            <rFont val="Arial"/>
            <family val="2"/>
          </rPr>
          <t>q425exhibit992.htm | Consolidated texp, Q4'24 | 13,131</t>
        </r>
      </text>
    </comment>
    <comment ref="E223" authorId="0">
      <text>
        <r>
          <rPr>
            <sz val="9"/>
            <color rgb="FF000000"/>
            <rFont val="Arial"/>
            <family val="2"/>
          </rPr>
          <t>q425exhibit992.htm | Consolidated texp, FY'24 | 47,869</t>
        </r>
      </text>
    </comment>
    <comment ref="F223" authorId="0">
      <text>
        <r>
          <rPr>
            <sz val="9"/>
            <color rgb="FF000000"/>
            <rFont val="Arial"/>
            <family val="2"/>
          </rPr>
          <t>q425exhibit992.htm | Consolidated texp, Q1'25 | 12,487</t>
        </r>
      </text>
    </comment>
    <comment ref="G223" authorId="0">
      <text>
        <r>
          <rPr>
            <sz val="9"/>
            <color rgb="FF000000"/>
            <rFont val="Arial"/>
            <family val="2"/>
          </rPr>
          <t>q226exhibit992.htm | Consolidated texp, Q2'25 | 12,901</t>
        </r>
      </text>
    </comment>
    <comment ref="C224" authorId="0">
      <text>
        <r>
          <rPr>
            <sz val="9"/>
            <color rgb="FF000000"/>
            <rFont val="Arial"/>
            <family val="2"/>
          </rPr>
          <t>q325exhibit992.htm | Consolidated pretax, Q3'24 | 3,204</t>
        </r>
      </text>
    </comment>
    <comment ref="D224" authorId="0">
      <text>
        <r>
          <rPr>
            <sz val="9"/>
            <color rgb="FF000000"/>
            <rFont val="Arial"/>
            <family val="2"/>
          </rPr>
          <t>q425exhibit992.htm | Consolidated pretax, Q4'24 | 2,756</t>
        </r>
      </text>
    </comment>
    <comment ref="E224" authorId="0">
      <text>
        <r>
          <rPr>
            <sz val="9"/>
            <color rgb="FF000000"/>
            <rFont val="Arial"/>
            <family val="2"/>
          </rPr>
          <t>q425exhibit992.htm | Consolidated pretax, FY'24 | 12,895</t>
        </r>
      </text>
    </comment>
    <comment ref="F224" authorId="0">
      <text>
        <r>
          <rPr>
            <sz val="9"/>
            <color rgb="FF000000"/>
            <rFont val="Arial"/>
            <family val="2"/>
          </rPr>
          <t>q425exhibit992.htm | Consolidated pretax, Q1'25 | 3,330</t>
        </r>
      </text>
    </comment>
    <comment ref="G224" authorId="0">
      <text>
        <r>
          <rPr>
            <sz val="9"/>
            <color rgb="FF000000"/>
            <rFont val="Arial"/>
            <family val="2"/>
          </rPr>
          <t>q226exhibit992.htm | Consolidated pretax, Q2'25 | 3,550</t>
        </r>
      </text>
    </comment>
    <comment ref="C225" authorId="0">
      <text>
        <r>
          <rPr>
            <sz val="9"/>
            <color rgb="FF000000"/>
            <rFont val="Arial"/>
            <family val="2"/>
          </rPr>
          <t>q325exhibit992.htm | Consolidated ni, Q3'24 | 2,507</t>
        </r>
      </text>
    </comment>
    <comment ref="D225" authorId="0">
      <text>
        <r>
          <rPr>
            <sz val="9"/>
            <color rgb="FF000000"/>
            <rFont val="Arial"/>
            <family val="2"/>
          </rPr>
          <t>q425exhibit992.htm | Consolidated ni, Q4'24 | 2,170</t>
        </r>
      </text>
    </comment>
    <comment ref="E225" authorId="0">
      <text>
        <r>
          <rPr>
            <sz val="9"/>
            <color rgb="FF000000"/>
            <rFont val="Arial"/>
            <family val="2"/>
          </rPr>
          <t>q425exhibit992.htm | Consolidated ni, FY'24 | 10,129</t>
        </r>
      </text>
    </comment>
    <comment ref="F225" authorId="0">
      <text>
        <r>
          <rPr>
            <sz val="9"/>
            <color rgb="FF000000"/>
            <rFont val="Arial"/>
            <family val="2"/>
          </rPr>
          <t>q425exhibit992.htm | Consolidated ni, Q1'25 | 2,584</t>
        </r>
      </text>
    </comment>
    <comment ref="G225" authorId="0">
      <text>
        <r>
          <rPr>
            <sz val="9"/>
            <color rgb="FF000000"/>
            <rFont val="Arial"/>
            <family val="2"/>
          </rPr>
          <t>q226exhibit992.htm | Consolidated ni, Q2'25 | 2,885</t>
        </r>
      </text>
    </comment>
    <comment ref="C226" authorId="0">
      <text>
        <r>
          <rPr>
            <sz val="9"/>
            <color rgb="FF000000"/>
            <rFont val="Arial"/>
            <family val="2"/>
          </rPr>
          <t>q325exhibit992.htm | Consolidated nic, Q3'24 | 2,474</t>
        </r>
      </text>
    </comment>
    <comment ref="D226" authorId="0">
      <text>
        <r>
          <rPr>
            <sz val="9"/>
            <color rgb="FF000000"/>
            <rFont val="Arial"/>
            <family val="2"/>
          </rPr>
          <t>q425exhibit992.htm | Consolidated nic, Q4'24 | 2,139</t>
        </r>
      </text>
    </comment>
    <comment ref="E226" authorId="0">
      <text>
        <r>
          <rPr>
            <sz val="9"/>
            <color rgb="FF000000"/>
            <rFont val="Arial"/>
            <family val="2"/>
          </rPr>
          <t>q425exhibit992.htm | Consolidated nic, FY'24 | 9,995</t>
        </r>
      </text>
    </comment>
    <comment ref="F226" authorId="0">
      <text>
        <r>
          <rPr>
            <sz val="9"/>
            <color rgb="FF000000"/>
            <rFont val="Arial"/>
            <family val="2"/>
          </rPr>
          <t>q425exhibit992.htm | Consolidated nic, Q1'25 | 2,552</t>
        </r>
      </text>
    </comment>
    <comment ref="G226" authorId="0">
      <text>
        <r>
          <rPr>
            <sz val="9"/>
            <color rgb="FF000000"/>
            <rFont val="Arial"/>
            <family val="2"/>
          </rPr>
          <t>q226exhibit992.htm | Consolidated nic, Q2'25 | 2,852</t>
        </r>
      </text>
    </comment>
    <comment ref="C227" authorId="0">
      <text>
        <r>
          <rPr>
            <sz val="9"/>
            <color rgb="FF000000"/>
            <rFont val="Arial"/>
            <family val="2"/>
          </rPr>
          <t>q325exhibit992.htm | Consolidated eps, Q3'24 | 3.49</t>
        </r>
      </text>
    </comment>
    <comment ref="D227" authorId="0">
      <text>
        <r>
          <rPr>
            <sz val="9"/>
            <color rgb="FF000000"/>
            <rFont val="Arial"/>
            <family val="2"/>
          </rPr>
          <t>q425exhibit992.htm | Consolidated eps, Q4'24 | 3.04</t>
        </r>
      </text>
    </comment>
    <comment ref="E227" authorId="0">
      <text>
        <r>
          <rPr>
            <sz val="9"/>
            <color rgb="FF000000"/>
            <rFont val="Arial"/>
            <family val="2"/>
          </rPr>
          <t>q425exhibit992.htm | Consolidated eps, FY'24 | 14.01</t>
        </r>
      </text>
    </comment>
    <comment ref="F227" authorId="0">
      <text>
        <r>
          <rPr>
            <sz val="9"/>
            <color rgb="FF000000"/>
            <rFont val="Arial"/>
            <family val="2"/>
          </rPr>
          <t>q425exhibit992.htm | Consolidated eps, Q1'25 | 3.64</t>
        </r>
      </text>
    </comment>
    <comment ref="G227" authorId="0">
      <text>
        <r>
          <rPr>
            <sz val="9"/>
            <color rgb="FF000000"/>
            <rFont val="Arial"/>
            <family val="2"/>
          </rPr>
          <t>q226exhibit992.htm | Consolidated eps, Q2'25 | 4.08</t>
        </r>
      </text>
    </comment>
    <comment ref="C228" authorId="0">
      <text>
        <r>
          <rPr>
            <sz val="9"/>
            <color rgb="FF000000"/>
            <rFont val="Arial"/>
            <family val="2"/>
          </rPr>
          <t>q325exhibit991v2.htm | Consolidated rev_fxadj_py, Q3'24 FX-adjusted | 16,674</t>
        </r>
      </text>
    </comment>
    <comment ref="D228" authorId="0">
      <text>
        <r>
          <rPr>
            <sz val="9"/>
            <color rgb="FF000000"/>
            <rFont val="Arial"/>
            <family val="2"/>
          </rPr>
          <t>q425exhibit991.htm | Consolidated rev_fxadj_py, Q4'24 FX-adjusted | 17,349</t>
        </r>
      </text>
    </comment>
    <comment ref="E228" authorId="0">
      <text>
        <r>
          <rPr>
            <sz val="9"/>
            <color rgb="FF000000"/>
            <rFont val="Arial"/>
            <family val="2"/>
          </rPr>
          <t>q425exhibit991.htm | Consolidated rev_fxadj_py, FY'24 FX-adjusted | 66,083</t>
        </r>
      </text>
    </comment>
    <comment ref="F228" authorId="0">
      <text>
        <r>
          <rPr>
            <sz val="9"/>
            <color rgb="FF000000"/>
            <rFont val="Arial"/>
            <family val="2"/>
          </rPr>
          <t>q126exhibit991.htm | Consolidated rev_fxadj_py, Q1'25 FX-adjusted | 17,210</t>
        </r>
      </text>
    </comment>
    <comment ref="G228" authorId="0">
      <text>
        <r>
          <rPr>
            <sz val="9"/>
            <color rgb="FF000000"/>
            <rFont val="Arial"/>
            <family val="2"/>
          </rPr>
          <t>q226exhibit991.htm | Consolidated rev_fxadj_py, Q2'25 FX-adjusted | 17,880</t>
        </r>
      </text>
    </comment>
    <comment ref="C229" authorId="0">
      <text>
        <r>
          <rPr>
            <sz val="9"/>
            <color rgb="FF000000"/>
            <rFont val="Arial"/>
            <family val="2"/>
          </rPr>
          <t>q325exhibit991v2.htm | Consolidated billed_fxadj_py, Q3'24 FX-adjusted | 388.1</t>
        </r>
      </text>
    </comment>
    <comment ref="D229" authorId="0">
      <text>
        <r>
          <rPr>
            <sz val="9"/>
            <color rgb="FF000000"/>
            <rFont val="Arial"/>
            <family val="2"/>
          </rPr>
          <t>q425exhibit991.htm | Consolidated billed_fxadj_py, Q4'24 FX-adjusted | 412.7</t>
        </r>
      </text>
    </comment>
    <comment ref="E229" authorId="0">
      <text>
        <r>
          <rPr>
            <sz val="9"/>
            <color rgb="FF000000"/>
            <rFont val="Arial"/>
            <family val="2"/>
          </rPr>
          <t>q425exhibit991.htm | Consolidated billed_fxadj_py, FY'24 FX-adjusted | 1,555.5</t>
        </r>
      </text>
    </comment>
    <comment ref="F229" authorId="0">
      <text>
        <r>
          <rPr>
            <sz val="9"/>
            <color rgb="FF000000"/>
            <rFont val="Arial"/>
            <family val="2"/>
          </rPr>
          <t>q126exhibit991.htm | Consolidated billed_fxadj_py, Q1'25 FX-adjusted | 393.6</t>
        </r>
      </text>
    </comment>
    <comment ref="G229" authorId="0">
      <text>
        <r>
          <rPr>
            <sz val="9"/>
            <color rgb="FF000000"/>
            <rFont val="Arial"/>
            <family val="2"/>
          </rPr>
          <t>q226exhibit991.htm | Consolidated billed_fxadj_py, Q2'25 FX-adjusted | 416.8</t>
        </r>
      </text>
    </comment>
    <comment ref="C230" authorId="0">
      <text>
        <r>
          <rPr>
            <sz val="9"/>
            <color rgb="FF000000"/>
            <rFont val="Arial"/>
            <family val="2"/>
          </rPr>
          <t>q325exhibit992.htm | Consolidated billed, Q3'24 | 387.3</t>
        </r>
      </text>
    </comment>
    <comment ref="D230" authorId="0">
      <text>
        <r>
          <rPr>
            <sz val="9"/>
            <color rgb="FF000000"/>
            <rFont val="Arial"/>
            <family val="2"/>
          </rPr>
          <t>q425exhibit992.htm | Consolidated billed, Q4'24 | 408.4</t>
        </r>
      </text>
    </comment>
    <comment ref="E230" authorId="0">
      <text>
        <r>
          <rPr>
            <sz val="9"/>
            <color rgb="FF000000"/>
            <rFont val="Arial"/>
            <family val="2"/>
          </rPr>
          <t>q425exhibit992.htm | Consolidated billed, FY'24 | 1,550.9</t>
        </r>
      </text>
    </comment>
    <comment ref="F230" authorId="0">
      <text>
        <r>
          <rPr>
            <sz val="9"/>
            <color rgb="FF000000"/>
            <rFont val="Arial"/>
            <family val="2"/>
          </rPr>
          <t>q425exhibit992.htm | Consolidated billed, Q1'25 | 387.4</t>
        </r>
      </text>
    </comment>
    <comment ref="G230" authorId="0">
      <text>
        <r>
          <rPr>
            <sz val="9"/>
            <color rgb="FF000000"/>
            <rFont val="Arial"/>
            <family val="2"/>
          </rPr>
          <t>q226exhibit992.htm | Consolidated billed, Q2'25 | 416.3</t>
        </r>
      </text>
    </comment>
    <comment ref="C231" authorId="0">
      <text>
        <r>
          <rPr>
            <sz val="9"/>
            <color rgb="FF000000"/>
            <rFont val="Arial"/>
            <family val="2"/>
          </rPr>
          <t>q325exhibit992.htm | Consolidated nv, Q3'24 | 441</t>
        </r>
      </text>
    </comment>
    <comment ref="D231" authorId="0">
      <text>
        <r>
          <rPr>
            <sz val="9"/>
            <color rgb="FF000000"/>
            <rFont val="Arial"/>
            <family val="2"/>
          </rPr>
          <t>q425exhibit992.htm | Consolidated nv, Q4'24 | 464</t>
        </r>
      </text>
    </comment>
    <comment ref="E231" authorId="0">
      <text>
        <r>
          <rPr>
            <sz val="9"/>
            <color rgb="FF000000"/>
            <rFont val="Arial"/>
            <family val="2"/>
          </rPr>
          <t>q425exhibit992.htm | Consolidated nv, FY'24 | 1,764.8</t>
        </r>
      </text>
    </comment>
    <comment ref="F231" authorId="0">
      <text>
        <r>
          <rPr>
            <sz val="9"/>
            <color rgb="FF000000"/>
            <rFont val="Arial"/>
            <family val="2"/>
          </rPr>
          <t>q425exhibit992.htm | Consolidated nv, Q1'25 | 439.6</t>
        </r>
      </text>
    </comment>
    <comment ref="G231" authorId="0">
      <text>
        <r>
          <rPr>
            <sz val="9"/>
            <color rgb="FF000000"/>
            <rFont val="Arial"/>
            <family val="2"/>
          </rPr>
          <t>q226exhibit992.htm | Consolidated nv, Q2'25 | 472</t>
        </r>
      </text>
    </comment>
    <comment ref="C232" authorId="0">
      <text>
        <r>
          <rPr>
            <sz val="9"/>
            <color rgb="FF000000"/>
            <rFont val="Arial"/>
            <family val="2"/>
          </rPr>
          <t>q325exhibit992.htm | Consolidated prop_cif, Q3'24 | 82.9</t>
        </r>
      </text>
    </comment>
    <comment ref="D232" authorId="0">
      <text>
        <r>
          <rPr>
            <sz val="9"/>
            <color rgb="FF000000"/>
            <rFont val="Arial"/>
            <family val="2"/>
          </rPr>
          <t>q425exhibit992.htm | Consolidated prop_cif, Q4'24 | 83.6</t>
        </r>
      </text>
    </comment>
    <comment ref="E232" authorId="0">
      <text>
        <r>
          <rPr>
            <sz val="9"/>
            <color rgb="FF000000"/>
            <rFont val="Arial"/>
            <family val="2"/>
          </rPr>
          <t>q425exhibit992.htm | Consolidated prop_cif, FY'24 | 83.6</t>
        </r>
      </text>
    </comment>
    <comment ref="F232" authorId="0">
      <text>
        <r>
          <rPr>
            <sz val="9"/>
            <color rgb="FF000000"/>
            <rFont val="Arial"/>
            <family val="2"/>
          </rPr>
          <t>q425exhibit992.htm | Consolidated prop_cif, Q1'25 | 84.6</t>
        </r>
      </text>
    </comment>
    <comment ref="G232" authorId="0">
      <text>
        <r>
          <rPr>
            <sz val="9"/>
            <color rgb="FF000000"/>
            <rFont val="Arial"/>
            <family val="2"/>
          </rPr>
          <t>q226exhibit992.htm | Consolidated prop_cif, Q2'25 | 85.2</t>
        </r>
      </text>
    </comment>
    <comment ref="C233" authorId="0">
      <text>
        <r>
          <rPr>
            <sz val="9"/>
            <color rgb="FF000000"/>
            <rFont val="Arial"/>
            <family val="2"/>
          </rPr>
          <t>q325exhibit992.htm | Consolidated new_cards, Q3'24 | 3.3</t>
        </r>
      </text>
    </comment>
    <comment ref="D233" authorId="0">
      <text>
        <r>
          <rPr>
            <sz val="9"/>
            <color rgb="FF000000"/>
            <rFont val="Arial"/>
            <family val="2"/>
          </rPr>
          <t>q425exhibit992.htm | Consolidated new_cards, Q4'24 | 3</t>
        </r>
      </text>
    </comment>
    <comment ref="E233" authorId="0">
      <text>
        <r>
          <rPr>
            <sz val="9"/>
            <color rgb="FF000000"/>
            <rFont val="Arial"/>
            <family val="2"/>
          </rPr>
          <t>q425exhibit992.htm | Consolidated new_cards, FY'24 | 13</t>
        </r>
      </text>
    </comment>
    <comment ref="F233" authorId="0">
      <text>
        <r>
          <rPr>
            <sz val="9"/>
            <color rgb="FF000000"/>
            <rFont val="Arial"/>
            <family val="2"/>
          </rPr>
          <t>q425exhibit992.htm | Consolidated new_cards, Q1'25 | 3.4</t>
        </r>
      </text>
    </comment>
    <comment ref="G233" authorId="0">
      <text>
        <r>
          <rPr>
            <sz val="9"/>
            <color rgb="FF000000"/>
            <rFont val="Arial"/>
            <family val="2"/>
          </rPr>
          <t>q226exhibit992.htm | Consolidated new_cards, Q2'25 | 3.1</t>
        </r>
      </text>
    </comment>
    <comment ref="C234" authorId="0">
      <text>
        <r>
          <rPr>
            <sz val="9"/>
            <color rgb="FF000000"/>
            <rFont val="Arial"/>
            <family val="2"/>
          </rPr>
          <t>q325exhibit992.htm | Consolidated fee_per_card, Q3'24 | 105</t>
        </r>
      </text>
    </comment>
    <comment ref="D234" authorId="0">
      <text>
        <r>
          <rPr>
            <sz val="9"/>
            <color rgb="FF000000"/>
            <rFont val="Arial"/>
            <family val="2"/>
          </rPr>
          <t>q425exhibit992.htm | Consolidated fee_per_card, Q4'24 | 108</t>
        </r>
      </text>
    </comment>
    <comment ref="E234" authorId="0">
      <text>
        <r>
          <rPr>
            <sz val="9"/>
            <color rgb="FF000000"/>
            <rFont val="Arial"/>
            <family val="2"/>
          </rPr>
          <t>q425exhibit992.htm | Consolidated fee_per_card, FY'24 | 103</t>
        </r>
      </text>
    </comment>
    <comment ref="F234" authorId="0">
      <text>
        <r>
          <rPr>
            <sz val="9"/>
            <color rgb="FF000000"/>
            <rFont val="Arial"/>
            <family val="2"/>
          </rPr>
          <t>q425exhibit992.htm | Consolidated fee_per_card, Q1'25 | 111</t>
        </r>
      </text>
    </comment>
    <comment ref="G234" authorId="0">
      <text>
        <r>
          <rPr>
            <sz val="9"/>
            <color rgb="FF000000"/>
            <rFont val="Arial"/>
            <family val="2"/>
          </rPr>
          <t>q226exhibit992.htm | Consolidated fee_per_card, Q2'25 | 117</t>
        </r>
      </text>
    </comment>
    <comment ref="C235" authorId="0">
      <text>
        <r>
          <rPr>
            <sz val="9"/>
            <color rgb="FF000000"/>
            <rFont val="Arial"/>
            <family val="2"/>
          </rPr>
          <t>q325exhibit992.htm | Consolidated niy_rep, Q3'24 | 8.0%</t>
        </r>
      </text>
    </comment>
    <comment ref="D235" authorId="0">
      <text>
        <r>
          <rPr>
            <sz val="9"/>
            <color rgb="FF000000"/>
            <rFont val="Arial"/>
            <family val="2"/>
          </rPr>
          <t>q425exhibit992.htm | Consolidated niy_rep, Q4'24 | 7.8%</t>
        </r>
      </text>
    </comment>
    <comment ref="E235" authorId="0">
      <text>
        <r>
          <rPr>
            <sz val="9"/>
            <color rgb="FF000000"/>
            <rFont val="Arial"/>
            <family val="2"/>
          </rPr>
          <t>q425exhibit992.htm | Consolidated niy_rep, FY'24 | 7.9%</t>
        </r>
      </text>
    </comment>
    <comment ref="F235" authorId="0">
      <text>
        <r>
          <rPr>
            <sz val="9"/>
            <color rgb="FF000000"/>
            <rFont val="Arial"/>
            <family val="2"/>
          </rPr>
          <t>q425exhibit992.htm | Consolidated niy_rep, Q1'25 | 8.2%</t>
        </r>
      </text>
    </comment>
    <comment ref="G235" authorId="0">
      <text>
        <r>
          <rPr>
            <sz val="9"/>
            <color rgb="FF000000"/>
            <rFont val="Arial"/>
            <family val="2"/>
          </rPr>
          <t>q226exhibit992.htm | Consolidated niy_rep, Q2'25 | 7.9%</t>
        </r>
      </text>
    </comment>
    <comment ref="C236" authorId="0">
      <text>
        <r>
          <rPr>
            <sz val="9"/>
            <color rgb="FF000000"/>
            <rFont val="Arial"/>
            <family val="2"/>
          </rPr>
          <t>q325exhibit992.htm | Balance card_gross, Q3'24 | 193,590</t>
        </r>
      </text>
    </comment>
    <comment ref="D236" authorId="0">
      <text>
        <r>
          <rPr>
            <sz val="9"/>
            <color rgb="FF000000"/>
            <rFont val="Arial"/>
            <family val="2"/>
          </rPr>
          <t>q425exhibit992.htm | Balance card_gross, Q4'24 | 199,085</t>
        </r>
      </text>
    </comment>
    <comment ref="E236" authorId="0">
      <text>
        <r>
          <rPr>
            <sz val="9"/>
            <color rgb="FF000000"/>
            <rFont val="Arial"/>
            <family val="2"/>
          </rPr>
          <t>q425exhibit992.htm | Balance card_gross, FY'24 | 199,085</t>
        </r>
      </text>
    </comment>
    <comment ref="F236" authorId="0">
      <text>
        <r>
          <rPr>
            <sz val="9"/>
            <color rgb="FF000000"/>
            <rFont val="Arial"/>
            <family val="2"/>
          </rPr>
          <t>q425exhibit992.htm | Balance card_gross, Q1'25 | 197,706</t>
        </r>
      </text>
    </comment>
    <comment ref="G236" authorId="0">
      <text>
        <r>
          <rPr>
            <sz val="9"/>
            <color rgb="FF000000"/>
            <rFont val="Arial"/>
            <family val="2"/>
          </rPr>
          <t>q226exhibit992.htm | Balance card_gross, Q2'25 | 201,873</t>
        </r>
      </text>
    </comment>
    <comment ref="C237" authorId="0">
      <text>
        <r>
          <rPr>
            <sz val="9"/>
            <color rgb="FF000000"/>
            <rFont val="Arial"/>
            <family val="2"/>
          </rPr>
          <t>q325exhibit992.htm | Balance dep, Q3'24 | 135,438</t>
        </r>
      </text>
    </comment>
    <comment ref="D237" authorId="0">
      <text>
        <r>
          <rPr>
            <sz val="9"/>
            <color rgb="FF000000"/>
            <rFont val="Arial"/>
            <family val="2"/>
          </rPr>
          <t>q425exhibit992.htm | Balance dep, Q4'24 | 139,413</t>
        </r>
      </text>
    </comment>
    <comment ref="E237" authorId="0">
      <text>
        <r>
          <rPr>
            <sz val="9"/>
            <color rgb="FF000000"/>
            <rFont val="Arial"/>
            <family val="2"/>
          </rPr>
          <t>q425exhibit992.htm | Balance dep, FY'24 | 139,413</t>
        </r>
      </text>
    </comment>
    <comment ref="F237" authorId="0">
      <text>
        <r>
          <rPr>
            <sz val="9"/>
            <color rgb="FF000000"/>
            <rFont val="Arial"/>
            <family val="2"/>
          </rPr>
          <t>q425exhibit992.htm | Balance dep, Q1'25 | 146,396</t>
        </r>
      </text>
    </comment>
    <comment ref="G237" authorId="0">
      <text>
        <r>
          <rPr>
            <sz val="9"/>
            <color rgb="FF000000"/>
            <rFont val="Arial"/>
            <family val="2"/>
          </rPr>
          <t>q226exhibit992.htm | Balance dep, Q2'25 | 149,386</t>
        </r>
      </text>
    </comment>
    <comment ref="C238" authorId="0">
      <text>
        <r>
          <rPr>
            <sz val="9"/>
            <color rgb="FF000000"/>
            <rFont val="Arial"/>
            <family val="2"/>
          </rPr>
          <t>q325exhibit992.htm | Balance cash, Q3'24 | 47,918</t>
        </r>
      </text>
    </comment>
    <comment ref="D238" authorId="0">
      <text>
        <r>
          <rPr>
            <sz val="9"/>
            <color rgb="FF000000"/>
            <rFont val="Arial"/>
            <family val="2"/>
          </rPr>
          <t>q425exhibit992.htm | Balance cash, Q4'24 | 40,640</t>
        </r>
      </text>
    </comment>
    <comment ref="E238" authorId="0">
      <text>
        <r>
          <rPr>
            <sz val="9"/>
            <color rgb="FF000000"/>
            <rFont val="Arial"/>
            <family val="2"/>
          </rPr>
          <t>q425exhibit992.htm | Balance cash, FY'24 | 40,640</t>
        </r>
      </text>
    </comment>
    <comment ref="F238" authorId="0">
      <text>
        <r>
          <rPr>
            <sz val="9"/>
            <color rgb="FF000000"/>
            <rFont val="Arial"/>
            <family val="2"/>
          </rPr>
          <t>q425exhibit992.htm | Balance cash, Q1'25 | 52,508</t>
        </r>
      </text>
    </comment>
    <comment ref="G238" authorId="0">
      <text>
        <r>
          <rPr>
            <sz val="9"/>
            <color rgb="FF000000"/>
            <rFont val="Arial"/>
            <family val="2"/>
          </rPr>
          <t>q226exhibit992.htm | Balance cash, Q2'25 | 57,937</t>
        </r>
      </text>
    </comment>
    <comment ref="C239" authorId="0">
      <text>
        <r>
          <rPr>
            <sz val="9"/>
            <color rgb="FF000000"/>
            <rFont val="Arial"/>
            <family val="2"/>
          </rPr>
          <t>q325exhibit992.htm | Balance shares_out, Q3'24 | 704</t>
        </r>
      </text>
    </comment>
    <comment ref="D239" authorId="0">
      <text>
        <r>
          <rPr>
            <sz val="9"/>
            <color rgb="FF000000"/>
            <rFont val="Arial"/>
            <family val="2"/>
          </rPr>
          <t>q425exhibit992.htm | Balance shares_out, Q4'24 | 702</t>
        </r>
      </text>
    </comment>
    <comment ref="E239" authorId="0">
      <text>
        <r>
          <rPr>
            <sz val="9"/>
            <color rgb="FF000000"/>
            <rFont val="Arial"/>
            <family val="2"/>
          </rPr>
          <t>q425exhibit992.htm | Balance shares_out, FY'24 | 702</t>
        </r>
      </text>
    </comment>
    <comment ref="F239" authorId="0">
      <text>
        <r>
          <rPr>
            <sz val="9"/>
            <color rgb="FF000000"/>
            <rFont val="Arial"/>
            <family val="2"/>
          </rPr>
          <t>q425exhibit992.htm | Balance shares_out, Q1'25 | 701</t>
        </r>
      </text>
    </comment>
    <comment ref="G239" authorId="0">
      <text>
        <r>
          <rPr>
            <sz val="9"/>
            <color rgb="FF000000"/>
            <rFont val="Arial"/>
            <family val="2"/>
          </rPr>
          <t>q226exhibit992.htm | Balance shares_out, Q2'25 | 696</t>
        </r>
      </text>
    </comment>
    <comment ref="C240" authorId="0">
      <text>
        <r>
          <rPr>
            <sz val="9"/>
            <color rgb="FF000000"/>
            <rFont val="Arial"/>
            <family val="2"/>
          </rPr>
          <t>q325exhibit992.htm | Shares basic, Q3'24 | 708</t>
        </r>
      </text>
    </comment>
    <comment ref="D240" authorId="0">
      <text>
        <r>
          <rPr>
            <sz val="9"/>
            <color rgb="FF000000"/>
            <rFont val="Arial"/>
            <family val="2"/>
          </rPr>
          <t>q425exhibit992.htm | Shares basic, Q4'24 | 703</t>
        </r>
      </text>
    </comment>
    <comment ref="E240" authorId="0">
      <text>
        <r>
          <rPr>
            <sz val="9"/>
            <color rgb="FF000000"/>
            <rFont val="Arial"/>
            <family val="2"/>
          </rPr>
          <t>q425exhibit992.htm | Shares basic, FY'24 | 712</t>
        </r>
      </text>
    </comment>
    <comment ref="F240" authorId="0">
      <text>
        <r>
          <rPr>
            <sz val="9"/>
            <color rgb="FF000000"/>
            <rFont val="Arial"/>
            <family val="2"/>
          </rPr>
          <t>q425exhibit992.htm | Shares basic, Q1'25 | 701</t>
        </r>
      </text>
    </comment>
    <comment ref="G240" authorId="0">
      <text>
        <r>
          <rPr>
            <sz val="9"/>
            <color rgb="FF000000"/>
            <rFont val="Arial"/>
            <family val="2"/>
          </rPr>
          <t>q226exhibit992.htm | Shares basic, Q2'25 | 698</t>
        </r>
      </text>
    </comment>
    <comment ref="C241" authorId="0">
      <text>
        <r>
          <rPr>
            <sz val="9"/>
            <color rgb="FF000000"/>
            <rFont val="Arial"/>
            <family val="2"/>
          </rPr>
          <t>q325exhibit992.htm | Shares dil, Q3'24 | 709</t>
        </r>
      </text>
    </comment>
    <comment ref="D241" authorId="0">
      <text>
        <r>
          <rPr>
            <sz val="9"/>
            <color rgb="FF000000"/>
            <rFont val="Arial"/>
            <family val="2"/>
          </rPr>
          <t>q425exhibit992.htm | Shares dil, Q4'24 | 704</t>
        </r>
      </text>
    </comment>
    <comment ref="E241" authorId="0">
      <text>
        <r>
          <rPr>
            <sz val="9"/>
            <color rgb="FF000000"/>
            <rFont val="Arial"/>
            <family val="2"/>
          </rPr>
          <t>q425exhibit992.htm | Shares dil, FY'24 | 713</t>
        </r>
      </text>
    </comment>
    <comment ref="F241" authorId="0">
      <text>
        <r>
          <rPr>
            <sz val="9"/>
            <color rgb="FF000000"/>
            <rFont val="Arial"/>
            <family val="2"/>
          </rPr>
          <t>q425exhibit992.htm | Shares dil, Q1'25 | 702</t>
        </r>
      </text>
    </comment>
    <comment ref="G241" authorId="0">
      <text>
        <r>
          <rPr>
            <sz val="9"/>
            <color rgb="FF000000"/>
            <rFont val="Arial"/>
            <family val="2"/>
          </rPr>
          <t>q226exhibit992.htm | Shares dil, Q2'25 | 699</t>
        </r>
      </text>
    </comment>
    <comment ref="C252" authorId="0">
      <text>
        <r>
          <rPr>
            <sz val="9"/>
            <color rgb="FF000000"/>
            <rFont val="Arial"/>
            <family val="2"/>
          </rPr>
          <t>q325exhibit992.htm | USCS nir, Q3'24 | 5,028</t>
        </r>
      </text>
    </comment>
    <comment ref="D252" authorId="0">
      <text>
        <r>
          <rPr>
            <sz val="9"/>
            <color rgb="FF000000"/>
            <rFont val="Arial"/>
            <family val="2"/>
          </rPr>
          <t>q425exhibit992.htm | USCS nir, Q4'24 | 5,314</t>
        </r>
      </text>
    </comment>
    <comment ref="E252" authorId="0">
      <text>
        <r>
          <rPr>
            <sz val="9"/>
            <color rgb="FF000000"/>
            <rFont val="Arial"/>
            <family val="2"/>
          </rPr>
          <t>q425exhibit992.htm | USCS nir, FY'24 | 20,137</t>
        </r>
      </text>
    </comment>
    <comment ref="F252" authorId="0">
      <text>
        <r>
          <rPr>
            <sz val="9"/>
            <color rgb="FF000000"/>
            <rFont val="Arial"/>
            <family val="2"/>
          </rPr>
          <t>q425exhibit992.htm | USCS nir, Q1'25 | 5,243</t>
        </r>
      </text>
    </comment>
    <comment ref="G252" authorId="0">
      <text>
        <r>
          <rPr>
            <sz val="9"/>
            <color rgb="FF000000"/>
            <rFont val="Arial"/>
            <family val="2"/>
          </rPr>
          <t>q226exhibit992.htm | USCS nir, Q2'25 | 5,540</t>
        </r>
      </text>
    </comment>
    <comment ref="C253" authorId="0">
      <text>
        <r>
          <rPr>
            <sz val="9"/>
            <color rgb="FF000000"/>
            <rFont val="Arial"/>
            <family val="2"/>
          </rPr>
          <t>q325exhibit992.htm | USCS ii, Q3'24 | 3,722</t>
        </r>
      </text>
    </comment>
    <comment ref="D253" authorId="0">
      <text>
        <r>
          <rPr>
            <sz val="9"/>
            <color rgb="FF000000"/>
            <rFont val="Arial"/>
            <family val="2"/>
          </rPr>
          <t>q425exhibit992.htm | USCS ii, Q4'24 | 3,753</t>
        </r>
      </text>
    </comment>
    <comment ref="E253" authorId="0">
      <text>
        <r>
          <rPr>
            <sz val="9"/>
            <color rgb="FF000000"/>
            <rFont val="Arial"/>
            <family val="2"/>
          </rPr>
          <t>q425exhibit992.htm | USCS ii, FY'24 | 14,430</t>
        </r>
      </text>
    </comment>
    <comment ref="F253" authorId="0">
      <text>
        <r>
          <rPr>
            <sz val="9"/>
            <color rgb="FF000000"/>
            <rFont val="Arial"/>
            <family val="2"/>
          </rPr>
          <t>q425exhibit992.htm | USCS ii, Q1'25 | 3,763</t>
        </r>
      </text>
    </comment>
    <comment ref="G253" authorId="0">
      <text>
        <r>
          <rPr>
            <sz val="9"/>
            <color rgb="FF000000"/>
            <rFont val="Arial"/>
            <family val="2"/>
          </rPr>
          <t>q226exhibit992.htm | USCS ii, Q2'25 | 3,795</t>
        </r>
      </text>
    </comment>
    <comment ref="C254" authorId="0">
      <text>
        <r>
          <rPr>
            <sz val="9"/>
            <color rgb="FF000000"/>
            <rFont val="Arial"/>
            <family val="2"/>
          </rPr>
          <t>q325exhibit992.htm | USCS ie, Q3'24 | 806</t>
        </r>
      </text>
    </comment>
    <comment ref="D254" authorId="0">
      <text>
        <r>
          <rPr>
            <sz val="9"/>
            <color rgb="FF000000"/>
            <rFont val="Arial"/>
            <family val="2"/>
          </rPr>
          <t>q425exhibit992.htm | USCS ie, Q4'24 | 815</t>
        </r>
      </text>
    </comment>
    <comment ref="E254" authorId="0">
      <text>
        <r>
          <rPr>
            <sz val="9"/>
            <color rgb="FF000000"/>
            <rFont val="Arial"/>
            <family val="2"/>
          </rPr>
          <t>q425exhibit992.htm | USCS ie, FY'24 | 3,140</t>
        </r>
      </text>
    </comment>
    <comment ref="F254" authorId="0">
      <text>
        <r>
          <rPr>
            <sz val="9"/>
            <color rgb="FF000000"/>
            <rFont val="Arial"/>
            <family val="2"/>
          </rPr>
          <t>q425exhibit992.htm | USCS ie, Q1'25 | 757</t>
        </r>
      </text>
    </comment>
    <comment ref="G254" authorId="0">
      <text>
        <r>
          <rPr>
            <sz val="9"/>
            <color rgb="FF000000"/>
            <rFont val="Arial"/>
            <family val="2"/>
          </rPr>
          <t>q226exhibit992.htm | USCS ie, Q2'25 | 782</t>
        </r>
      </text>
    </comment>
    <comment ref="C255" authorId="0">
      <text>
        <r>
          <rPr>
            <sz val="9"/>
            <color rgb="FF000000"/>
            <rFont val="Arial"/>
            <family val="2"/>
          </rPr>
          <t>q325exhibit992.htm | USCS prov, Q3'24 | 812</t>
        </r>
      </text>
    </comment>
    <comment ref="D255" authorId="0">
      <text>
        <r>
          <rPr>
            <sz val="9"/>
            <color rgb="FF000000"/>
            <rFont val="Arial"/>
            <family val="2"/>
          </rPr>
          <t>q425exhibit992.htm | USCS prov, Q4'24 | 784</t>
        </r>
      </text>
    </comment>
    <comment ref="E255" authorId="0">
      <text>
        <r>
          <rPr>
            <sz val="9"/>
            <color rgb="FF000000"/>
            <rFont val="Arial"/>
            <family val="2"/>
          </rPr>
          <t>q425exhibit992.htm | USCS prov, FY'24 | 3,029</t>
        </r>
      </text>
    </comment>
    <comment ref="F255" authorId="0">
      <text>
        <r>
          <rPr>
            <sz val="9"/>
            <color rgb="FF000000"/>
            <rFont val="Arial"/>
            <family val="2"/>
          </rPr>
          <t>q425exhibit992.htm | USCS prov, Q1'25 | 631</t>
        </r>
      </text>
    </comment>
    <comment ref="G255" authorId="0">
      <text>
        <r>
          <rPr>
            <sz val="9"/>
            <color rgb="FF000000"/>
            <rFont val="Arial"/>
            <family val="2"/>
          </rPr>
          <t>q226exhibit992.htm | USCS prov, Q2'25 | 829</t>
        </r>
      </text>
    </comment>
    <comment ref="C256" authorId="0">
      <text>
        <r>
          <rPr>
            <sz val="9"/>
            <color rgb="FF000000"/>
            <rFont val="Arial"/>
            <family val="2"/>
          </rPr>
          <t>q325exhibit992.htm | USCS vce, Q3'24 | 3,570</t>
        </r>
      </text>
    </comment>
    <comment ref="D256" authorId="0">
      <text>
        <r>
          <rPr>
            <sz val="9"/>
            <color rgb="FF000000"/>
            <rFont val="Arial"/>
            <family val="2"/>
          </rPr>
          <t>q425exhibit992.htm | USCS vce, Q4'24 | 3,816</t>
        </r>
      </text>
    </comment>
    <comment ref="E256" authorId="0">
      <text>
        <r>
          <rPr>
            <sz val="9"/>
            <color rgb="FF000000"/>
            <rFont val="Arial"/>
            <family val="2"/>
          </rPr>
          <t>q425exhibit992.htm | USCS vce, FY'24 | 14,329</t>
        </r>
      </text>
    </comment>
    <comment ref="F256" authorId="0">
      <text>
        <r>
          <rPr>
            <sz val="9"/>
            <color rgb="FF000000"/>
            <rFont val="Arial"/>
            <family val="2"/>
          </rPr>
          <t>q425exhibit992.htm | USCS vce, Q1'25 | 3,882</t>
        </r>
      </text>
    </comment>
    <comment ref="G256" authorId="0">
      <text>
        <r>
          <rPr>
            <sz val="9"/>
            <color rgb="FF000000"/>
            <rFont val="Arial"/>
            <family val="2"/>
          </rPr>
          <t>q226exhibit992.htm | USCS vce, Q2'25 | 3,967</t>
        </r>
      </text>
    </comment>
    <comment ref="C257" authorId="0">
      <text>
        <r>
          <rPr>
            <sz val="9"/>
            <color rgb="FF000000"/>
            <rFont val="Arial"/>
            <family val="2"/>
          </rPr>
          <t>q325exhibit992.htm | USCS mkt, Q3'24 | 755</t>
        </r>
      </text>
    </comment>
    <comment ref="D257" authorId="0">
      <text>
        <r>
          <rPr>
            <sz val="9"/>
            <color rgb="FF000000"/>
            <rFont val="Arial"/>
            <family val="2"/>
          </rPr>
          <t>q425exhibit992.htm | USCS mkt, Q4'24 | 813</t>
        </r>
      </text>
    </comment>
    <comment ref="E257" authorId="0">
      <text>
        <r>
          <rPr>
            <sz val="9"/>
            <color rgb="FF000000"/>
            <rFont val="Arial"/>
            <family val="2"/>
          </rPr>
          <t>q425exhibit992.htm | USCS mkt, FY'24 | 3,051</t>
        </r>
      </text>
    </comment>
    <comment ref="F257" authorId="0">
      <text>
        <r>
          <rPr>
            <sz val="9"/>
            <color rgb="FF000000"/>
            <rFont val="Arial"/>
            <family val="2"/>
          </rPr>
          <t>q425exhibit992.htm | USCS mkt, Q1'25 | 765</t>
        </r>
      </text>
    </comment>
    <comment ref="G257" authorId="0">
      <text>
        <r>
          <rPr>
            <sz val="9"/>
            <color rgb="FF000000"/>
            <rFont val="Arial"/>
            <family val="2"/>
          </rPr>
          <t>q226exhibit992.htm | USCS mkt, Q2'25 | 800</t>
        </r>
      </text>
    </comment>
    <comment ref="C258" authorId="0">
      <text>
        <r>
          <rPr>
            <sz val="9"/>
            <color rgb="FF000000"/>
            <rFont val="Arial"/>
            <family val="2"/>
          </rPr>
          <t>q325exhibit992.htm | USCS opex, Q3'24 | 1,148</t>
        </r>
      </text>
    </comment>
    <comment ref="D258" authorId="0">
      <text>
        <r>
          <rPr>
            <sz val="9"/>
            <color rgb="FF000000"/>
            <rFont val="Arial"/>
            <family val="2"/>
          </rPr>
          <t>q425exhibit992.htm | USCS opex, Q4'24 | 1,294</t>
        </r>
      </text>
    </comment>
    <comment ref="E258" authorId="0">
      <text>
        <r>
          <rPr>
            <sz val="9"/>
            <color rgb="FF000000"/>
            <rFont val="Arial"/>
            <family val="2"/>
          </rPr>
          <t>q425exhibit992.htm | USCS opex, FY'24 | 4,641</t>
        </r>
      </text>
    </comment>
    <comment ref="F258" authorId="0">
      <text>
        <r>
          <rPr>
            <sz val="9"/>
            <color rgb="FF000000"/>
            <rFont val="Arial"/>
            <family val="2"/>
          </rPr>
          <t>q425exhibit992.htm | USCS opex, Q1'25 | 1,239</t>
        </r>
      </text>
    </comment>
    <comment ref="G258" authorId="0">
      <text>
        <r>
          <rPr>
            <sz val="9"/>
            <color rgb="FF000000"/>
            <rFont val="Arial"/>
            <family val="2"/>
          </rPr>
          <t>q226exhibit992.htm | USCS opex, Q2'25 | 1,281</t>
        </r>
      </text>
    </comment>
    <comment ref="C259" authorId="0">
      <text>
        <r>
          <rPr>
            <sz val="9"/>
            <color rgb="FF000000"/>
            <rFont val="Arial"/>
            <family val="2"/>
          </rPr>
          <t>q325exhibit992.htm | USCS billed, Q3'24 | 162.3</t>
        </r>
      </text>
    </comment>
    <comment ref="D259" authorId="0">
      <text>
        <r>
          <rPr>
            <sz val="9"/>
            <color rgb="FF000000"/>
            <rFont val="Arial"/>
            <family val="2"/>
          </rPr>
          <t>q425exhibit992.htm | USCS billed, Q4'24 | 174</t>
        </r>
      </text>
    </comment>
    <comment ref="E259" authorId="0">
      <text>
        <r>
          <rPr>
            <sz val="9"/>
            <color rgb="FF000000"/>
            <rFont val="Arial"/>
            <family val="2"/>
          </rPr>
          <t>q425exhibit992.htm | USCS billed, FY'24 | 654.8</t>
        </r>
      </text>
    </comment>
    <comment ref="F259" authorId="0">
      <text>
        <r>
          <rPr>
            <sz val="9"/>
            <color rgb="FF000000"/>
            <rFont val="Arial"/>
            <family val="2"/>
          </rPr>
          <t>q425exhibit992.htm | USCS billed, Q1'25 | 164.3</t>
        </r>
      </text>
    </comment>
    <comment ref="G259" authorId="0">
      <text>
        <r>
          <rPr>
            <sz val="9"/>
            <color rgb="FF000000"/>
            <rFont val="Arial"/>
            <family val="2"/>
          </rPr>
          <t>q226exhibit992.htm | USCS billed, Q2'25 | 176.5</t>
        </r>
      </text>
    </comment>
    <comment ref="C260" authorId="0">
      <text>
        <r>
          <rPr>
            <sz val="9"/>
            <color rgb="FF000000"/>
            <rFont val="Arial"/>
            <family val="2"/>
          </rPr>
          <t>q325exhibit992.htm | USCS cif, Q3'24 | 45.7</t>
        </r>
      </text>
    </comment>
    <comment ref="D260" authorId="0">
      <text>
        <r>
          <rPr>
            <sz val="9"/>
            <color rgb="FF000000"/>
            <rFont val="Arial"/>
            <family val="2"/>
          </rPr>
          <t>q425exhibit992.htm | USCS cif, Q4'24 | 46.3</t>
        </r>
      </text>
    </comment>
    <comment ref="E260" authorId="0">
      <text>
        <r>
          <rPr>
            <sz val="9"/>
            <color rgb="FF000000"/>
            <rFont val="Arial"/>
            <family val="2"/>
          </rPr>
          <t>q425exhibit992.htm | USCS cif, FY'24 | 46.3</t>
        </r>
      </text>
    </comment>
    <comment ref="F260" authorId="0">
      <text>
        <r>
          <rPr>
            <sz val="9"/>
            <color rgb="FF000000"/>
            <rFont val="Arial"/>
            <family val="2"/>
          </rPr>
          <t>q425exhibit992.htm | USCS cif, Q1'25 | 46.8</t>
        </r>
      </text>
    </comment>
    <comment ref="G260" authorId="0">
      <text>
        <r>
          <rPr>
            <sz val="9"/>
            <color rgb="FF000000"/>
            <rFont val="Arial"/>
            <family val="2"/>
          </rPr>
          <t>q226exhibit992.htm | USCS cif, Q2'25 | 47.3</t>
        </r>
      </text>
    </comment>
    <comment ref="C261" authorId="0">
      <text>
        <r>
          <rPr>
            <sz val="9"/>
            <color rgb="FF000000"/>
            <rFont val="Arial"/>
            <family val="2"/>
          </rPr>
          <t>q325exhibit992.htm | USCS spend, Q3'24 | 5,091</t>
        </r>
      </text>
    </comment>
    <comment ref="D261" authorId="0">
      <text>
        <r>
          <rPr>
            <sz val="9"/>
            <color rgb="FF000000"/>
            <rFont val="Arial"/>
            <family val="2"/>
          </rPr>
          <t>q425exhibit992.htm | USCS spend, Q4'24 | 5,387</t>
        </r>
      </text>
    </comment>
    <comment ref="E261" authorId="0">
      <text>
        <r>
          <rPr>
            <sz val="9"/>
            <color rgb="FF000000"/>
            <rFont val="Arial"/>
            <family val="2"/>
          </rPr>
          <t>q425exhibit992.htm | USCS spend, FY'24 | 20,707</t>
        </r>
      </text>
    </comment>
    <comment ref="F261" authorId="0">
      <text>
        <r>
          <rPr>
            <sz val="9"/>
            <color rgb="FF000000"/>
            <rFont val="Arial"/>
            <family val="2"/>
          </rPr>
          <t>q425exhibit992.htm | USCS spend, Q1'25 | 5,014</t>
        </r>
      </text>
    </comment>
    <comment ref="G261" authorId="0">
      <text>
        <r>
          <rPr>
            <sz val="9"/>
            <color rgb="FF000000"/>
            <rFont val="Arial"/>
            <family val="2"/>
          </rPr>
          <t>q226exhibit992.htm | USCS spend, Q2'25 | 5,322</t>
        </r>
      </text>
    </comment>
    <comment ref="C262" authorId="0">
      <text>
        <r>
          <rPr>
            <sz val="9"/>
            <color rgb="FF000000"/>
            <rFont val="Arial"/>
            <family val="2"/>
          </rPr>
          <t>q325exhibit992.htm | USCS bal, Q3'24 | 99,920</t>
        </r>
      </text>
    </comment>
    <comment ref="D262" authorId="0">
      <text>
        <r>
          <rPr>
            <sz val="9"/>
            <color rgb="FF000000"/>
            <rFont val="Arial"/>
            <family val="2"/>
          </rPr>
          <t>q425exhibit992.htm | USCS bal, Q4'24 | 107,051</t>
        </r>
      </text>
    </comment>
    <comment ref="E262" authorId="0">
      <text>
        <r>
          <rPr>
            <sz val="9"/>
            <color rgb="FF000000"/>
            <rFont val="Arial"/>
            <family val="2"/>
          </rPr>
          <t>q425exhibit992.htm | USCS bal, FY'24 | 107,051</t>
        </r>
      </text>
    </comment>
    <comment ref="F262" authorId="0">
      <text>
        <r>
          <rPr>
            <sz val="9"/>
            <color rgb="FF000000"/>
            <rFont val="Arial"/>
            <family val="2"/>
          </rPr>
          <t>q425exhibit992.htm | USCS bal, Q1'25 | 102,896</t>
        </r>
      </text>
    </comment>
    <comment ref="G262" authorId="0">
      <text>
        <r>
          <rPr>
            <sz val="9"/>
            <color rgb="FF000000"/>
            <rFont val="Arial"/>
            <family val="2"/>
          </rPr>
          <t>q226exhibit992.htm | USCS bal, Q2'25 | 105,784</t>
        </r>
      </text>
    </comment>
    <comment ref="C263" authorId="0">
      <text>
        <r>
          <rPr>
            <sz val="9"/>
            <color rgb="FF000000"/>
            <rFont val="Arial"/>
            <family val="2"/>
          </rPr>
          <t>q325exhibit992.htm | USCS nwo, Q3'24 | 2.4%</t>
        </r>
      </text>
    </comment>
    <comment ref="D263" authorId="0">
      <text>
        <r>
          <rPr>
            <sz val="9"/>
            <color rgb="FF000000"/>
            <rFont val="Arial"/>
            <family val="2"/>
          </rPr>
          <t>q425exhibit992.htm | USCS nwo, Q4'24 | 2.4%</t>
        </r>
      </text>
    </comment>
    <comment ref="E263" authorId="0">
      <text>
        <r>
          <rPr>
            <sz val="9"/>
            <color rgb="FF000000"/>
            <rFont val="Arial"/>
            <family val="2"/>
          </rPr>
          <t>q425exhibit992.htm | USCS nwo, FY'24 | 2.5%</t>
        </r>
      </text>
    </comment>
    <comment ref="F263" authorId="0">
      <text>
        <r>
          <rPr>
            <sz val="9"/>
            <color rgb="FF000000"/>
            <rFont val="Arial"/>
            <family val="2"/>
          </rPr>
          <t>q425exhibit992.htm | USCS nwo, Q1'25 | 2.7%</t>
        </r>
      </text>
    </comment>
    <comment ref="G263" authorId="0">
      <text>
        <r>
          <rPr>
            <sz val="9"/>
            <color rgb="FF000000"/>
            <rFont val="Arial"/>
            <family val="2"/>
          </rPr>
          <t>q226exhibit992.htm | USCS nwo, Q2'25 | 2.4%</t>
        </r>
      </text>
    </comment>
    <comment ref="C264" authorId="0">
      <text>
        <r>
          <rPr>
            <sz val="9"/>
            <color rgb="FF000000"/>
            <rFont val="Arial"/>
            <family val="2"/>
          </rPr>
          <t>q325exhibit992.htm | USCS dpd30, Q3'24 | 1.3%</t>
        </r>
      </text>
    </comment>
    <comment ref="D264" authorId="0">
      <text>
        <r>
          <rPr>
            <sz val="9"/>
            <color rgb="FF000000"/>
            <rFont val="Arial"/>
            <family val="2"/>
          </rPr>
          <t>q425exhibit992.htm | USCS dpd30, Q4'24 | 1.3%</t>
        </r>
      </text>
    </comment>
    <comment ref="E264" authorId="0">
      <text>
        <r>
          <rPr>
            <sz val="9"/>
            <color rgb="FF000000"/>
            <rFont val="Arial"/>
            <family val="2"/>
          </rPr>
          <t>q425exhibit992.htm | USCS dpd30, FY'24 | 1.3%</t>
        </r>
      </text>
    </comment>
    <comment ref="F264" authorId="0">
      <text>
        <r>
          <rPr>
            <sz val="9"/>
            <color rgb="FF000000"/>
            <rFont val="Arial"/>
            <family val="2"/>
          </rPr>
          <t>q425exhibit992.htm | USCS dpd30, Q1'25 | 1.3%</t>
        </r>
      </text>
    </comment>
    <comment ref="G264" authorId="0">
      <text>
        <r>
          <rPr>
            <sz val="9"/>
            <color rgb="FF000000"/>
            <rFont val="Arial"/>
            <family val="2"/>
          </rPr>
          <t>q226exhibit992.htm | USCS dpd30, Q2'25 | 1.2%</t>
        </r>
      </text>
    </comment>
    <comment ref="C265" authorId="0">
      <text>
        <r>
          <rPr>
            <sz val="9"/>
            <color rgb="FF000000"/>
            <rFont val="Arial"/>
            <family val="2"/>
          </rPr>
          <t>q325exhibit992.htm | USCS basic, Q3'24 | 32.1</t>
        </r>
      </text>
    </comment>
    <comment ref="D265" authorId="0">
      <text>
        <r>
          <rPr>
            <sz val="9"/>
            <color rgb="FF000000"/>
            <rFont val="Arial"/>
            <family val="2"/>
          </rPr>
          <t>q425exhibit992.htm | USCS basic, Q4'24 | 32.5</t>
        </r>
      </text>
    </comment>
    <comment ref="E265" authorId="0">
      <text>
        <r>
          <rPr>
            <sz val="9"/>
            <color rgb="FF000000"/>
            <rFont val="Arial"/>
            <family val="2"/>
          </rPr>
          <t>q425exhibit992.htm | USCS basic, FY'24 | 32.5</t>
        </r>
      </text>
    </comment>
    <comment ref="F265" authorId="0">
      <text>
        <r>
          <rPr>
            <sz val="9"/>
            <color rgb="FF000000"/>
            <rFont val="Arial"/>
            <family val="2"/>
          </rPr>
          <t>q425exhibit992.htm | USCS basic, Q1'25 | 33</t>
        </r>
      </text>
    </comment>
    <comment ref="G265" authorId="0">
      <text>
        <r>
          <rPr>
            <sz val="9"/>
            <color rgb="FF000000"/>
            <rFont val="Arial"/>
            <family val="2"/>
          </rPr>
          <t>q226exhibit992.htm | USCS basic, Q2'25 | 33.4</t>
        </r>
      </text>
    </comment>
    <comment ref="D266" authorId="0">
      <text>
        <r>
          <rPr>
            <sz val="9"/>
            <color rgb="FF000000"/>
            <rFont val="Arial"/>
            <family val="2"/>
          </rPr>
          <t>q425exhibit992.htm | USCS average Card balances, Q4'24 | 102,752</t>
        </r>
      </text>
    </comment>
    <comment ref="E266" authorId="0">
      <text>
        <r>
          <rPr>
            <sz val="9"/>
            <color rgb="FF000000"/>
            <rFont val="Arial"/>
            <family val="2"/>
          </rPr>
          <t>q425exhibit992.htm | USCS average Card balances, FY'24 | 98,928</t>
        </r>
      </text>
    </comment>
    <comment ref="F266" authorId="0">
      <text>
        <r>
          <rPr>
            <sz val="9"/>
            <color rgb="FF000000"/>
            <rFont val="Arial"/>
            <family val="2"/>
          </rPr>
          <t>q425exhibit992.htm | USCS average Card balances, Q1'25 | 103,237</t>
        </r>
      </text>
    </comment>
    <comment ref="G266" authorId="0">
      <text>
        <r>
          <rPr>
            <sz val="9"/>
            <color rgb="FF000000"/>
            <rFont val="Arial"/>
            <family val="2"/>
          </rPr>
          <t>q226exhibit992.htm | USCS average Card balances, Q2'25 | 104,488</t>
        </r>
      </text>
    </comment>
    <comment ref="C276" authorId="0">
      <text>
        <r>
          <rPr>
            <sz val="9"/>
            <color rgb="FF000000"/>
            <rFont val="Arial"/>
            <family val="2"/>
          </rPr>
          <t>q325exhibit992.htm | CS nir, Q3'24 | 3,304</t>
        </r>
      </text>
    </comment>
    <comment ref="D276" authorId="0">
      <text>
        <r>
          <rPr>
            <sz val="9"/>
            <color rgb="FF000000"/>
            <rFont val="Arial"/>
            <family val="2"/>
          </rPr>
          <t>q425exhibit992.htm | CS nir, Q4'24 | 3,388</t>
        </r>
      </text>
    </comment>
    <comment ref="E276" authorId="0">
      <text>
        <r>
          <rPr>
            <sz val="9"/>
            <color rgb="FF000000"/>
            <rFont val="Arial"/>
            <family val="2"/>
          </rPr>
          <t>q425exhibit992.htm | CS nir, FY'24 | 13,219</t>
        </r>
      </text>
    </comment>
    <comment ref="F276" authorId="0">
      <text>
        <r>
          <rPr>
            <sz val="9"/>
            <color rgb="FF000000"/>
            <rFont val="Arial"/>
            <family val="2"/>
          </rPr>
          <t>q425exhibit992.htm | CS nir, Q1'25 | 3,265</t>
        </r>
      </text>
    </comment>
    <comment ref="G276" authorId="0">
      <text>
        <r>
          <rPr>
            <sz val="9"/>
            <color rgb="FF000000"/>
            <rFont val="Arial"/>
            <family val="2"/>
          </rPr>
          <t>q226exhibit992.htm | CS nir, Q2'25 | 3,422</t>
        </r>
      </text>
    </comment>
    <comment ref="C277" authorId="0">
      <text>
        <r>
          <rPr>
            <sz val="9"/>
            <color rgb="FF000000"/>
            <rFont val="Arial"/>
            <family val="2"/>
          </rPr>
          <t>q325exhibit992.htm | CS ii, Q3'24 | 1,142</t>
        </r>
      </text>
    </comment>
    <comment ref="D277" authorId="0">
      <text>
        <r>
          <rPr>
            <sz val="9"/>
            <color rgb="FF000000"/>
            <rFont val="Arial"/>
            <family val="2"/>
          </rPr>
          <t>q425exhibit992.htm | CS ii, Q4'24 | 1,176</t>
        </r>
      </text>
    </comment>
    <comment ref="E277" authorId="0">
      <text>
        <r>
          <rPr>
            <sz val="9"/>
            <color rgb="FF000000"/>
            <rFont val="Arial"/>
            <family val="2"/>
          </rPr>
          <t>q425exhibit992.htm | CS ii, FY'24 | 4,374</t>
        </r>
      </text>
    </comment>
    <comment ref="F277" authorId="0">
      <text>
        <r>
          <rPr>
            <sz val="9"/>
            <color rgb="FF000000"/>
            <rFont val="Arial"/>
            <family val="2"/>
          </rPr>
          <t>q425exhibit992.htm | CS ii, Q1'25 | 1,202</t>
        </r>
      </text>
    </comment>
    <comment ref="G277" authorId="0">
      <text>
        <r>
          <rPr>
            <sz val="9"/>
            <color rgb="FF000000"/>
            <rFont val="Arial"/>
            <family val="2"/>
          </rPr>
          <t>q226exhibit992.htm | CS ii, Q2'25 | 1,240</t>
        </r>
      </text>
    </comment>
    <comment ref="C278" authorId="0">
      <text>
        <r>
          <rPr>
            <sz val="9"/>
            <color rgb="FF000000"/>
            <rFont val="Arial"/>
            <family val="2"/>
          </rPr>
          <t>q325exhibit992.htm | CS ie, Q3'24 | 448</t>
        </r>
      </text>
    </comment>
    <comment ref="D278" authorId="0">
      <text>
        <r>
          <rPr>
            <sz val="9"/>
            <color rgb="FF000000"/>
            <rFont val="Arial"/>
            <family val="2"/>
          </rPr>
          <t>q425exhibit992.htm | CS ie, Q4'24 | 442</t>
        </r>
      </text>
    </comment>
    <comment ref="E278" authorId="0">
      <text>
        <r>
          <rPr>
            <sz val="9"/>
            <color rgb="FF000000"/>
            <rFont val="Arial"/>
            <family val="2"/>
          </rPr>
          <t>q425exhibit992.htm | CS ie, FY'24 | 1,734</t>
        </r>
      </text>
    </comment>
    <comment ref="F278" authorId="0">
      <text>
        <r>
          <rPr>
            <sz val="9"/>
            <color rgb="FF000000"/>
            <rFont val="Arial"/>
            <family val="2"/>
          </rPr>
          <t>q425exhibit992.htm | CS ie, Q1'25 | 432</t>
        </r>
      </text>
    </comment>
    <comment ref="G278" authorId="0">
      <text>
        <r>
          <rPr>
            <sz val="9"/>
            <color rgb="FF000000"/>
            <rFont val="Arial"/>
            <family val="2"/>
          </rPr>
          <t>q226exhibit992.htm | CS ie, Q2'25 | 450</t>
        </r>
      </text>
    </comment>
    <comment ref="C279" authorId="0">
      <text>
        <r>
          <rPr>
            <sz val="9"/>
            <color rgb="FF000000"/>
            <rFont val="Arial"/>
            <family val="2"/>
          </rPr>
          <t>q325exhibit992.htm | CS prov, Q3'24 | 374</t>
        </r>
      </text>
    </comment>
    <comment ref="D279" authorId="0">
      <text>
        <r>
          <rPr>
            <sz val="9"/>
            <color rgb="FF000000"/>
            <rFont val="Arial"/>
            <family val="2"/>
          </rPr>
          <t>q425exhibit992.htm | CS prov, Q4'24 | 311</t>
        </r>
      </text>
    </comment>
    <comment ref="E279" authorId="0">
      <text>
        <r>
          <rPr>
            <sz val="9"/>
            <color rgb="FF000000"/>
            <rFont val="Arial"/>
            <family val="2"/>
          </rPr>
          <t>q425exhibit992.htm | CS prov, FY'24 | 1,389</t>
        </r>
      </text>
    </comment>
    <comment ref="F279" authorId="0">
      <text>
        <r>
          <rPr>
            <sz val="9"/>
            <color rgb="FF000000"/>
            <rFont val="Arial"/>
            <family val="2"/>
          </rPr>
          <t>q425exhibit992.htm | CS prov, Q1'25 | 329</t>
        </r>
      </text>
    </comment>
    <comment ref="G279" authorId="0">
      <text>
        <r>
          <rPr>
            <sz val="9"/>
            <color rgb="FF000000"/>
            <rFont val="Arial"/>
            <family val="2"/>
          </rPr>
          <t>q226exhibit992.htm | CS prov, Q2'25 | 360</t>
        </r>
      </text>
    </comment>
    <comment ref="C280" authorId="0">
      <text>
        <r>
          <rPr>
            <sz val="9"/>
            <color rgb="FF000000"/>
            <rFont val="Arial"/>
            <family val="2"/>
          </rPr>
          <t>q325exhibit992.htm | CS vce, Q3'24 | 1,627</t>
        </r>
      </text>
    </comment>
    <comment ref="D280" authorId="0">
      <text>
        <r>
          <rPr>
            <sz val="9"/>
            <color rgb="FF000000"/>
            <rFont val="Arial"/>
            <family val="2"/>
          </rPr>
          <t>q425exhibit992.htm | CS vce, Q4'24 | 1,751</t>
        </r>
      </text>
    </comment>
    <comment ref="E280" authorId="0">
      <text>
        <r>
          <rPr>
            <sz val="9"/>
            <color rgb="FF000000"/>
            <rFont val="Arial"/>
            <family val="2"/>
          </rPr>
          <t>q425exhibit992.htm | CS vce, FY'24 | 6,504</t>
        </r>
      </text>
    </comment>
    <comment ref="F280" authorId="0">
      <text>
        <r>
          <rPr>
            <sz val="9"/>
            <color rgb="FF000000"/>
            <rFont val="Arial"/>
            <family val="2"/>
          </rPr>
          <t>q425exhibit992.htm | CS vce, Q1'25 | 1,746</t>
        </r>
      </text>
    </comment>
    <comment ref="G280" authorId="0">
      <text>
        <r>
          <rPr>
            <sz val="9"/>
            <color rgb="FF000000"/>
            <rFont val="Arial"/>
            <family val="2"/>
          </rPr>
          <t>q226exhibit992.htm | CS vce, Q2'25 | 1,790</t>
        </r>
      </text>
    </comment>
    <comment ref="C281" authorId="0">
      <text>
        <r>
          <rPr>
            <sz val="9"/>
            <color rgb="FF000000"/>
            <rFont val="Arial"/>
            <family val="2"/>
          </rPr>
          <t>q325exhibit992.htm | CS mkt, Q3'24 | 308</t>
        </r>
      </text>
    </comment>
    <comment ref="D281" authorId="0">
      <text>
        <r>
          <rPr>
            <sz val="9"/>
            <color rgb="FF000000"/>
            <rFont val="Arial"/>
            <family val="2"/>
          </rPr>
          <t>q425exhibit992.htm | CS mkt, Q4'24 | 360</t>
        </r>
      </text>
    </comment>
    <comment ref="E281" authorId="0">
      <text>
        <r>
          <rPr>
            <sz val="9"/>
            <color rgb="FF000000"/>
            <rFont val="Arial"/>
            <family val="2"/>
          </rPr>
          <t>q425exhibit992.htm | CS mkt, FY'24 | 1,319</t>
        </r>
      </text>
    </comment>
    <comment ref="F281" authorId="0">
      <text>
        <r>
          <rPr>
            <sz val="9"/>
            <color rgb="FF000000"/>
            <rFont val="Arial"/>
            <family val="2"/>
          </rPr>
          <t>q425exhibit992.htm | CS mkt, Q1'25 | 337</t>
        </r>
      </text>
    </comment>
    <comment ref="G281" authorId="0">
      <text>
        <r>
          <rPr>
            <sz val="9"/>
            <color rgb="FF000000"/>
            <rFont val="Arial"/>
            <family val="2"/>
          </rPr>
          <t>q226exhibit992.htm | CS mkt, Q2'25 | 331</t>
        </r>
      </text>
    </comment>
    <comment ref="C282" authorId="0">
      <text>
        <r>
          <rPr>
            <sz val="9"/>
            <color rgb="FF000000"/>
            <rFont val="Arial"/>
            <family val="2"/>
          </rPr>
          <t>q325exhibit992.htm | CS opex, Q3'24 | 781</t>
        </r>
      </text>
    </comment>
    <comment ref="D282" authorId="0">
      <text>
        <r>
          <rPr>
            <sz val="9"/>
            <color rgb="FF000000"/>
            <rFont val="Arial"/>
            <family val="2"/>
          </rPr>
          <t>q425exhibit992.htm | CS opex, Q4'24 | 886</t>
        </r>
      </text>
    </comment>
    <comment ref="E282" authorId="0">
      <text>
        <r>
          <rPr>
            <sz val="9"/>
            <color rgb="FF000000"/>
            <rFont val="Arial"/>
            <family val="2"/>
          </rPr>
          <t>q425exhibit992.htm | CS opex, FY'24 | 3,142</t>
        </r>
      </text>
    </comment>
    <comment ref="F282" authorId="0">
      <text>
        <r>
          <rPr>
            <sz val="9"/>
            <color rgb="FF000000"/>
            <rFont val="Arial"/>
            <family val="2"/>
          </rPr>
          <t>q425exhibit992.htm | CS opex, Q1'25 | 787</t>
        </r>
      </text>
    </comment>
    <comment ref="G282" authorId="0">
      <text>
        <r>
          <rPr>
            <sz val="9"/>
            <color rgb="FF000000"/>
            <rFont val="Arial"/>
            <family val="2"/>
          </rPr>
          <t>q226exhibit992.htm | CS opex, Q2'25 | 826</t>
        </r>
      </text>
    </comment>
    <comment ref="C283" authorId="0">
      <text>
        <r>
          <rPr>
            <sz val="9"/>
            <color rgb="FF000000"/>
            <rFont val="Arial"/>
            <family val="2"/>
          </rPr>
          <t>q325exhibit992.htm | CS billed, Q3'24 | 131</t>
        </r>
      </text>
    </comment>
    <comment ref="D283" authorId="0">
      <text>
        <r>
          <rPr>
            <sz val="9"/>
            <color rgb="FF000000"/>
            <rFont val="Arial"/>
            <family val="2"/>
          </rPr>
          <t>q425exhibit992.htm | CS billed, Q4'24 | 136</t>
        </r>
      </text>
    </comment>
    <comment ref="E283" authorId="0">
      <text>
        <r>
          <rPr>
            <sz val="9"/>
            <color rgb="FF000000"/>
            <rFont val="Arial"/>
            <family val="2"/>
          </rPr>
          <t>q425exhibit992.htm | CS billed, FY'24 | 526.5</t>
        </r>
      </text>
    </comment>
    <comment ref="F283" authorId="0">
      <text>
        <r>
          <rPr>
            <sz val="9"/>
            <color rgb="FF000000"/>
            <rFont val="Arial"/>
            <family val="2"/>
          </rPr>
          <t>q425exhibit992.htm | CS billed, Q1'25 | 129.2</t>
        </r>
      </text>
    </comment>
    <comment ref="G283" authorId="0">
      <text>
        <r>
          <rPr>
            <sz val="9"/>
            <color rgb="FF000000"/>
            <rFont val="Arial"/>
            <family val="2"/>
          </rPr>
          <t>q226exhibit992.htm | CS billed, Q2'25 | 135.5</t>
        </r>
      </text>
    </comment>
    <comment ref="C284" authorId="0">
      <text>
        <r>
          <rPr>
            <sz val="9"/>
            <color rgb="FF000000"/>
            <rFont val="Arial"/>
            <family val="2"/>
          </rPr>
          <t>q325exhibit992.htm | CS cif, Q3'24 | 15.5</t>
        </r>
      </text>
    </comment>
    <comment ref="D284" authorId="0">
      <text>
        <r>
          <rPr>
            <sz val="9"/>
            <color rgb="FF000000"/>
            <rFont val="Arial"/>
            <family val="2"/>
          </rPr>
          <t>q425exhibit992.htm | CS cif, Q4'24 | 15.4</t>
        </r>
      </text>
    </comment>
    <comment ref="E284" authorId="0">
      <text>
        <r>
          <rPr>
            <sz val="9"/>
            <color rgb="FF000000"/>
            <rFont val="Arial"/>
            <family val="2"/>
          </rPr>
          <t>q425exhibit992.htm | CS cif, FY'24 | 15.4</t>
        </r>
      </text>
    </comment>
    <comment ref="F284" authorId="0">
      <text>
        <r>
          <rPr>
            <sz val="9"/>
            <color rgb="FF000000"/>
            <rFont val="Arial"/>
            <family val="2"/>
          </rPr>
          <t>q425exhibit992.htm | CS cif, Q1'25 | 15.5</t>
        </r>
      </text>
    </comment>
    <comment ref="G284" authorId="0">
      <text>
        <r>
          <rPr>
            <sz val="9"/>
            <color rgb="FF000000"/>
            <rFont val="Arial"/>
            <family val="2"/>
          </rPr>
          <t>q226exhibit992.htm | CS cif, Q2'25 | 15.4</t>
        </r>
      </text>
    </comment>
    <comment ref="C285" authorId="0">
      <text>
        <r>
          <rPr>
            <sz val="9"/>
            <color rgb="FF000000"/>
            <rFont val="Arial"/>
            <family val="2"/>
          </rPr>
          <t>q325exhibit992.htm | CS spend, Q3'24 | 8,474</t>
        </r>
      </text>
    </comment>
    <comment ref="D285" authorId="0">
      <text>
        <r>
          <rPr>
            <sz val="9"/>
            <color rgb="FF000000"/>
            <rFont val="Arial"/>
            <family val="2"/>
          </rPr>
          <t>q425exhibit992.htm | CS spend, Q4'24 | 8,804</t>
        </r>
      </text>
    </comment>
    <comment ref="E285" authorId="0">
      <text>
        <r>
          <rPr>
            <sz val="9"/>
            <color rgb="FF000000"/>
            <rFont val="Arial"/>
            <family val="2"/>
          </rPr>
          <t>q425exhibit992.htm | CS spend, FY'24 | 34,130</t>
        </r>
      </text>
    </comment>
    <comment ref="F285" authorId="0">
      <text>
        <r>
          <rPr>
            <sz val="9"/>
            <color rgb="FF000000"/>
            <rFont val="Arial"/>
            <family val="2"/>
          </rPr>
          <t>q425exhibit992.htm | CS spend, Q1'25 | 8,380</t>
        </r>
      </text>
    </comment>
    <comment ref="G285" authorId="0">
      <text>
        <r>
          <rPr>
            <sz val="9"/>
            <color rgb="FF000000"/>
            <rFont val="Arial"/>
            <family val="2"/>
          </rPr>
          <t>q226exhibit992.htm | CS spend, Q2'25 | 8,782</t>
        </r>
      </text>
    </comment>
    <comment ref="C286" authorId="0">
      <text>
        <r>
          <rPr>
            <sz val="9"/>
            <color rgb="FF000000"/>
            <rFont val="Arial"/>
            <family val="2"/>
          </rPr>
          <t>q325exhibit992.htm | CS bal, Q3'24 | 56,210</t>
        </r>
      </text>
    </comment>
    <comment ref="D286" authorId="0">
      <text>
        <r>
          <rPr>
            <sz val="9"/>
            <color rgb="FF000000"/>
            <rFont val="Arial"/>
            <family val="2"/>
          </rPr>
          <t>q425exhibit992.htm | CS bal, Q4'24 | 54,592</t>
        </r>
      </text>
    </comment>
    <comment ref="E286" authorId="0">
      <text>
        <r>
          <rPr>
            <sz val="9"/>
            <color rgb="FF000000"/>
            <rFont val="Arial"/>
            <family val="2"/>
          </rPr>
          <t>q425exhibit992.htm | CS bal, FY'24 | 54,592</t>
        </r>
      </text>
    </comment>
    <comment ref="F286" authorId="0">
      <text>
        <r>
          <rPr>
            <sz val="9"/>
            <color rgb="FF000000"/>
            <rFont val="Arial"/>
            <family val="2"/>
          </rPr>
          <t>q425exhibit992.htm | CS bal, Q1'25 | 57,412</t>
        </r>
      </text>
    </comment>
    <comment ref="G286" authorId="0">
      <text>
        <r>
          <rPr>
            <sz val="9"/>
            <color rgb="FF000000"/>
            <rFont val="Arial"/>
            <family val="2"/>
          </rPr>
          <t>q226exhibit992.htm | CS bal, Q2'25 | 55,098</t>
        </r>
      </text>
    </comment>
    <comment ref="C287" authorId="0">
      <text>
        <r>
          <rPr>
            <sz val="9"/>
            <color rgb="FF000000"/>
            <rFont val="Arial"/>
            <family val="2"/>
          </rPr>
          <t>q325exhibit992.htm | CS nwo, Q3'24 | 2.0%</t>
        </r>
      </text>
    </comment>
    <comment ref="D287" authorId="0">
      <text>
        <r>
          <rPr>
            <sz val="9"/>
            <color rgb="FF000000"/>
            <rFont val="Arial"/>
            <family val="2"/>
          </rPr>
          <t>q425exhibit992.htm | CS nwo, Q4'24 | 2.0%</t>
        </r>
      </text>
    </comment>
    <comment ref="E287" authorId="0">
      <text>
        <r>
          <rPr>
            <sz val="9"/>
            <color rgb="FF000000"/>
            <rFont val="Arial"/>
            <family val="2"/>
          </rPr>
          <t>q425exhibit992.htm | CS nwo, FY'24 | 2.0%</t>
        </r>
      </text>
    </comment>
    <comment ref="F287" authorId="0">
      <text>
        <r>
          <rPr>
            <sz val="9"/>
            <color rgb="FF000000"/>
            <rFont val="Arial"/>
            <family val="2"/>
          </rPr>
          <t>q425exhibit992.htm | CS nwo, Q1'25 | 2.2%</t>
        </r>
      </text>
    </comment>
    <comment ref="G287" authorId="0">
      <text>
        <r>
          <rPr>
            <sz val="9"/>
            <color rgb="FF000000"/>
            <rFont val="Arial"/>
            <family val="2"/>
          </rPr>
          <t>q226exhibit992.htm | CS nwo, Q2'25 | 2.2%</t>
        </r>
      </text>
    </comment>
    <comment ref="C288" authorId="0">
      <text>
        <r>
          <rPr>
            <sz val="9"/>
            <color rgb="FF000000"/>
            <rFont val="Arial"/>
            <family val="2"/>
          </rPr>
          <t>q325exhibit992.htm | CS dpd30, Q3'24 | 1.4%</t>
        </r>
      </text>
    </comment>
    <comment ref="D288" authorId="0">
      <text>
        <r>
          <rPr>
            <sz val="9"/>
            <color rgb="FF000000"/>
            <rFont val="Arial"/>
            <family val="2"/>
          </rPr>
          <t>q425exhibit992.htm | CS dpd30, Q4'24 | 1.5%</t>
        </r>
      </text>
    </comment>
    <comment ref="E288" authorId="0">
      <text>
        <r>
          <rPr>
            <sz val="9"/>
            <color rgb="FF000000"/>
            <rFont val="Arial"/>
            <family val="2"/>
          </rPr>
          <t>q425exhibit992.htm | CS dpd30, FY'24 | 1.5%</t>
        </r>
      </text>
    </comment>
    <comment ref="F288" authorId="0">
      <text>
        <r>
          <rPr>
            <sz val="9"/>
            <color rgb="FF000000"/>
            <rFont val="Arial"/>
            <family val="2"/>
          </rPr>
          <t>q425exhibit992.htm | CS dpd30, Q1'25 | 1.5%</t>
        </r>
      </text>
    </comment>
    <comment ref="G288" authorId="0">
      <text>
        <r>
          <rPr>
            <sz val="9"/>
            <color rgb="FF000000"/>
            <rFont val="Arial"/>
            <family val="2"/>
          </rPr>
          <t>q226exhibit992.htm | CS dpd30, Q2'25 | 1.5%</t>
        </r>
      </text>
    </comment>
    <comment ref="D289" authorId="0">
      <text>
        <r>
          <rPr>
            <sz val="9"/>
            <color rgb="FF000000"/>
            <rFont val="Arial"/>
            <family val="2"/>
          </rPr>
          <t>q425exhibit992.htm | CS average Card balances, Q4'24 | 56,269</t>
        </r>
      </text>
    </comment>
    <comment ref="E289" authorId="0">
      <text>
        <r>
          <rPr>
            <sz val="9"/>
            <color rgb="FF000000"/>
            <rFont val="Arial"/>
            <family val="2"/>
          </rPr>
          <t>q425exhibit992.htm | CS average Card balances, FY'24 | 54,362</t>
        </r>
      </text>
    </comment>
    <comment ref="F289" authorId="0">
      <text>
        <r>
          <rPr>
            <sz val="9"/>
            <color rgb="FF000000"/>
            <rFont val="Arial"/>
            <family val="2"/>
          </rPr>
          <t>q425exhibit992.htm | CS average Card balances, Q1'25 | 55,538</t>
        </r>
      </text>
    </comment>
    <comment ref="G289" authorId="0">
      <text>
        <r>
          <rPr>
            <sz val="9"/>
            <color rgb="FF000000"/>
            <rFont val="Arial"/>
            <family val="2"/>
          </rPr>
          <t>q226exhibit992.htm | CS average Card balances, Q2'25 | 57,113</t>
        </r>
      </text>
    </comment>
    <comment ref="C299" authorId="0">
      <text>
        <r>
          <rPr>
            <sz val="9"/>
            <color rgb="FF000000"/>
            <rFont val="Arial"/>
            <family val="2"/>
          </rPr>
          <t>q325exhibit992.htm | ICS nir, Q3'24 | 2,659</t>
        </r>
      </text>
    </comment>
    <comment ref="D299" authorId="0">
      <text>
        <r>
          <rPr>
            <sz val="9"/>
            <color rgb="FF000000"/>
            <rFont val="Arial"/>
            <family val="2"/>
          </rPr>
          <t>q425exhibit992.htm | ICS nir, Q4'24 | 2,725</t>
        </r>
      </text>
    </comment>
    <comment ref="E299" authorId="0">
      <text>
        <r>
          <rPr>
            <sz val="9"/>
            <color rgb="FF000000"/>
            <rFont val="Arial"/>
            <family val="2"/>
          </rPr>
          <t>q425exhibit992.htm | ICS nir, FY'24 | 10,369</t>
        </r>
      </text>
    </comment>
    <comment ref="F299" authorId="0">
      <text>
        <r>
          <rPr>
            <sz val="9"/>
            <color rgb="FF000000"/>
            <rFont val="Arial"/>
            <family val="2"/>
          </rPr>
          <t>q425exhibit992.htm | ICS nir, Q1'25 | 2,646</t>
        </r>
      </text>
    </comment>
    <comment ref="G299" authorId="0">
      <text>
        <r>
          <rPr>
            <sz val="9"/>
            <color rgb="FF000000"/>
            <rFont val="Arial"/>
            <family val="2"/>
          </rPr>
          <t>q226exhibit992.htm | ICS nir, Q2'25 | 2,947</t>
        </r>
      </text>
    </comment>
    <comment ref="C300" authorId="0">
      <text>
        <r>
          <rPr>
            <sz val="9"/>
            <color rgb="FF000000"/>
            <rFont val="Arial"/>
            <family val="2"/>
          </rPr>
          <t>q325exhibit992.htm | ICS ii, Q3'24 | 588</t>
        </r>
      </text>
    </comment>
    <comment ref="D300" authorId="0">
      <text>
        <r>
          <rPr>
            <sz val="9"/>
            <color rgb="FF000000"/>
            <rFont val="Arial"/>
            <family val="2"/>
          </rPr>
          <t>q425exhibit992.htm | ICS ii, Q4'24 | 583</t>
        </r>
      </text>
    </comment>
    <comment ref="E300" authorId="0">
      <text>
        <r>
          <rPr>
            <sz val="9"/>
            <color rgb="FF000000"/>
            <rFont val="Arial"/>
            <family val="2"/>
          </rPr>
          <t>q425exhibit992.htm | ICS ii, FY'24 | 2,331</t>
        </r>
      </text>
    </comment>
    <comment ref="F300" authorId="0">
      <text>
        <r>
          <rPr>
            <sz val="9"/>
            <color rgb="FF000000"/>
            <rFont val="Arial"/>
            <family val="2"/>
          </rPr>
          <t>q425exhibit992.htm | ICS ii, Q1'25 | 596</t>
        </r>
      </text>
    </comment>
    <comment ref="G300" authorId="0">
      <text>
        <r>
          <rPr>
            <sz val="9"/>
            <color rgb="FF000000"/>
            <rFont val="Arial"/>
            <family val="2"/>
          </rPr>
          <t>q226exhibit992.htm | ICS ii, Q2'25 | 620</t>
        </r>
      </text>
    </comment>
    <comment ref="C301" authorId="0">
      <text>
        <r>
          <rPr>
            <sz val="9"/>
            <color rgb="FF000000"/>
            <rFont val="Arial"/>
            <family val="2"/>
          </rPr>
          <t>q325exhibit992.htm | ICS ie, Q3'24 | 311</t>
        </r>
      </text>
    </comment>
    <comment ref="D301" authorId="0">
      <text>
        <r>
          <rPr>
            <sz val="9"/>
            <color rgb="FF000000"/>
            <rFont val="Arial"/>
            <family val="2"/>
          </rPr>
          <t>q425exhibit992.htm | ICS ie, Q4'24 | 318</t>
        </r>
      </text>
    </comment>
    <comment ref="E301" authorId="0">
      <text>
        <r>
          <rPr>
            <sz val="9"/>
            <color rgb="FF000000"/>
            <rFont val="Arial"/>
            <family val="2"/>
          </rPr>
          <t>q425exhibit992.htm | ICS ie, FY'24 | 1,239</t>
        </r>
      </text>
    </comment>
    <comment ref="F301" authorId="0">
      <text>
        <r>
          <rPr>
            <sz val="9"/>
            <color rgb="FF000000"/>
            <rFont val="Arial"/>
            <family val="2"/>
          </rPr>
          <t>q425exhibit992.htm | ICS ie, Q1'25 | 306</t>
        </r>
      </text>
    </comment>
    <comment ref="G301" authorId="0">
      <text>
        <r>
          <rPr>
            <sz val="9"/>
            <color rgb="FF000000"/>
            <rFont val="Arial"/>
            <family val="2"/>
          </rPr>
          <t>q226exhibit992.htm | ICS ie, Q2'25 | 335</t>
        </r>
      </text>
    </comment>
    <comment ref="C302" authorId="0">
      <text>
        <r>
          <rPr>
            <sz val="9"/>
            <color rgb="FF000000"/>
            <rFont val="Arial"/>
            <family val="2"/>
          </rPr>
          <t>q325exhibit992.htm | ICS prov, Q3'24 | 158</t>
        </r>
      </text>
    </comment>
    <comment ref="D302" authorId="0">
      <text>
        <r>
          <rPr>
            <sz val="9"/>
            <color rgb="FF000000"/>
            <rFont val="Arial"/>
            <family val="2"/>
          </rPr>
          <t>q425exhibit992.htm | ICS prov, Q4'24 | 194</t>
        </r>
      </text>
    </comment>
    <comment ref="E302" authorId="0">
      <text>
        <r>
          <rPr>
            <sz val="9"/>
            <color rgb="FF000000"/>
            <rFont val="Arial"/>
            <family val="2"/>
          </rPr>
          <t>q425exhibit992.htm | ICS prov, FY'24 | 726</t>
        </r>
      </text>
    </comment>
    <comment ref="F302" authorId="0">
      <text>
        <r>
          <rPr>
            <sz val="9"/>
            <color rgb="FF000000"/>
            <rFont val="Arial"/>
            <family val="2"/>
          </rPr>
          <t>q425exhibit992.htm | ICS prov, Q1'25 | 192</t>
        </r>
      </text>
    </comment>
    <comment ref="G302" authorId="0">
      <text>
        <r>
          <rPr>
            <sz val="9"/>
            <color rgb="FF000000"/>
            <rFont val="Arial"/>
            <family val="2"/>
          </rPr>
          <t>q226exhibit992.htm | ICS prov, Q2'25 | 210</t>
        </r>
      </text>
    </comment>
    <comment ref="C303" authorId="0">
      <text>
        <r>
          <rPr>
            <sz val="9"/>
            <color rgb="FF000000"/>
            <rFont val="Arial"/>
            <family val="2"/>
          </rPr>
          <t>q325exhibit992.htm | ICS vce, Q3'24 | 1,296</t>
        </r>
      </text>
    </comment>
    <comment ref="D303" authorId="0">
      <text>
        <r>
          <rPr>
            <sz val="9"/>
            <color rgb="FF000000"/>
            <rFont val="Arial"/>
            <family val="2"/>
          </rPr>
          <t>q425exhibit992.htm | ICS vce, Q4'24 | 1,442</t>
        </r>
      </text>
    </comment>
    <comment ref="E303" authorId="0">
      <text>
        <r>
          <rPr>
            <sz val="9"/>
            <color rgb="FF000000"/>
            <rFont val="Arial"/>
            <family val="2"/>
          </rPr>
          <t>q425exhibit992.htm | ICS vce, FY'24 | 5,243</t>
        </r>
      </text>
    </comment>
    <comment ref="F303" authorId="0">
      <text>
        <r>
          <rPr>
            <sz val="9"/>
            <color rgb="FF000000"/>
            <rFont val="Arial"/>
            <family val="2"/>
          </rPr>
          <t>q425exhibit992.htm | ICS vce, Q1'25 | 1,312</t>
        </r>
      </text>
    </comment>
    <comment ref="G303" authorId="0">
      <text>
        <r>
          <rPr>
            <sz val="9"/>
            <color rgb="FF000000"/>
            <rFont val="Arial"/>
            <family val="2"/>
          </rPr>
          <t>q226exhibit992.htm | ICS vce, Q2'25 | 1,452</t>
        </r>
      </text>
    </comment>
    <comment ref="C304" authorId="0">
      <text>
        <r>
          <rPr>
            <sz val="9"/>
            <color rgb="FF000000"/>
            <rFont val="Arial"/>
            <family val="2"/>
          </rPr>
          <t>q325exhibit992.htm | ICS mkt, Q3'24 | 287</t>
        </r>
      </text>
    </comment>
    <comment ref="D304" authorId="0">
      <text>
        <r>
          <rPr>
            <sz val="9"/>
            <color rgb="FF000000"/>
            <rFont val="Arial"/>
            <family val="2"/>
          </rPr>
          <t>q425exhibit992.htm | ICS mkt, Q4'24 | 306</t>
        </r>
      </text>
    </comment>
    <comment ref="E304" authorId="0">
      <text>
        <r>
          <rPr>
            <sz val="9"/>
            <color rgb="FF000000"/>
            <rFont val="Arial"/>
            <family val="2"/>
          </rPr>
          <t>q425exhibit992.htm | ICS mkt, FY'24 | 1,235</t>
        </r>
      </text>
    </comment>
    <comment ref="F304" authorId="0">
      <text>
        <r>
          <rPr>
            <sz val="9"/>
            <color rgb="FF000000"/>
            <rFont val="Arial"/>
            <family val="2"/>
          </rPr>
          <t>q425exhibit992.htm | ICS mkt, Q1'25 | 300</t>
        </r>
      </text>
    </comment>
    <comment ref="G304" authorId="0">
      <text>
        <r>
          <rPr>
            <sz val="9"/>
            <color rgb="FF000000"/>
            <rFont val="Arial"/>
            <family val="2"/>
          </rPr>
          <t>q226exhibit992.htm | ICS mkt, Q2'25 | 322</t>
        </r>
      </text>
    </comment>
    <comment ref="C305" authorId="0">
      <text>
        <r>
          <rPr>
            <sz val="9"/>
            <color rgb="FF000000"/>
            <rFont val="Arial"/>
            <family val="2"/>
          </rPr>
          <t>q325exhibit992.htm | ICS opex, Q3'24 | 740</t>
        </r>
      </text>
    </comment>
    <comment ref="D305" authorId="0">
      <text>
        <r>
          <rPr>
            <sz val="9"/>
            <color rgb="FF000000"/>
            <rFont val="Arial"/>
            <family val="2"/>
          </rPr>
          <t>q425exhibit992.htm | ICS opex, Q4'24 | 1,014</t>
        </r>
      </text>
    </comment>
    <comment ref="E305" authorId="0">
      <text>
        <r>
          <rPr>
            <sz val="9"/>
            <color rgb="FF000000"/>
            <rFont val="Arial"/>
            <family val="2"/>
          </rPr>
          <t>q425exhibit992.htm | ICS opex, FY'24 | 3,226</t>
        </r>
      </text>
    </comment>
    <comment ref="F305" authorId="0">
      <text>
        <r>
          <rPr>
            <sz val="9"/>
            <color rgb="FF000000"/>
            <rFont val="Arial"/>
            <family val="2"/>
          </rPr>
          <t>q425exhibit992.htm | ICS opex, Q1'25 | 751</t>
        </r>
      </text>
    </comment>
    <comment ref="G305" authorId="0">
      <text>
        <r>
          <rPr>
            <sz val="9"/>
            <color rgb="FF000000"/>
            <rFont val="Arial"/>
            <family val="2"/>
          </rPr>
          <t>q226exhibit992.htm | ICS opex, Q2'25 | 783</t>
        </r>
      </text>
    </comment>
    <comment ref="C306" authorId="0">
      <text>
        <r>
          <rPr>
            <sz val="9"/>
            <color rgb="FF000000"/>
            <rFont val="Arial"/>
            <family val="2"/>
          </rPr>
          <t>q325exhibit992.htm | ICS billed, Q3'24 | 93.6</t>
        </r>
      </text>
    </comment>
    <comment ref="D306" authorId="0">
      <text>
        <r>
          <rPr>
            <sz val="9"/>
            <color rgb="FF000000"/>
            <rFont val="Arial"/>
            <family val="2"/>
          </rPr>
          <t>q425exhibit992.htm | ICS billed, Q4'24 | 97.7</t>
        </r>
      </text>
    </comment>
    <comment ref="E306" authorId="0">
      <text>
        <r>
          <rPr>
            <sz val="9"/>
            <color rgb="FF000000"/>
            <rFont val="Arial"/>
            <family val="2"/>
          </rPr>
          <t>q425exhibit992.htm | ICS billed, FY'24 | 366.9</t>
        </r>
      </text>
    </comment>
    <comment ref="F306" authorId="0">
      <text>
        <r>
          <rPr>
            <sz val="9"/>
            <color rgb="FF000000"/>
            <rFont val="Arial"/>
            <family val="2"/>
          </rPr>
          <t>q425exhibit992.htm | ICS billed, Q1'25 | 92.9</t>
        </r>
      </text>
    </comment>
    <comment ref="G306" authorId="0">
      <text>
        <r>
          <rPr>
            <sz val="9"/>
            <color rgb="FF000000"/>
            <rFont val="Arial"/>
            <family val="2"/>
          </rPr>
          <t>q226exhibit992.htm | ICS billed, Q2'25 | 103.9</t>
        </r>
      </text>
    </comment>
    <comment ref="C307" authorId="0">
      <text>
        <r>
          <rPr>
            <sz val="9"/>
            <color rgb="FF000000"/>
            <rFont val="Arial"/>
            <family val="2"/>
          </rPr>
          <t>q325exhibit992.htm | ICS cif, Q3'24 | 21.7</t>
        </r>
      </text>
    </comment>
    <comment ref="D307" authorId="0">
      <text>
        <r>
          <rPr>
            <sz val="9"/>
            <color rgb="FF000000"/>
            <rFont val="Arial"/>
            <family val="2"/>
          </rPr>
          <t>q425exhibit992.htm | ICS cif, Q4'24 | 21.9</t>
        </r>
      </text>
    </comment>
    <comment ref="E307" authorId="0">
      <text>
        <r>
          <rPr>
            <sz val="9"/>
            <color rgb="FF000000"/>
            <rFont val="Arial"/>
            <family val="2"/>
          </rPr>
          <t>q425exhibit992.htm | ICS cif, FY'24 | 21.9</t>
        </r>
      </text>
    </comment>
    <comment ref="F307" authorId="0">
      <text>
        <r>
          <rPr>
            <sz val="9"/>
            <color rgb="FF000000"/>
            <rFont val="Arial"/>
            <family val="2"/>
          </rPr>
          <t>q425exhibit992.htm | ICS cif, Q1'25 | 22.3</t>
        </r>
      </text>
    </comment>
    <comment ref="G307" authorId="0">
      <text>
        <r>
          <rPr>
            <sz val="9"/>
            <color rgb="FF000000"/>
            <rFont val="Arial"/>
            <family val="2"/>
          </rPr>
          <t>q226exhibit992.htm | ICS cif, Q2'25 | 22.5</t>
        </r>
      </text>
    </comment>
    <comment ref="C308" authorId="0">
      <text>
        <r>
          <rPr>
            <sz val="9"/>
            <color rgb="FF000000"/>
            <rFont val="Arial"/>
            <family val="2"/>
          </rPr>
          <t>q325exhibit992.htm | ICS spend, Q3'24 | 5,829</t>
        </r>
      </text>
    </comment>
    <comment ref="D308" authorId="0">
      <text>
        <r>
          <rPr>
            <sz val="9"/>
            <color rgb="FF000000"/>
            <rFont val="Arial"/>
            <family val="2"/>
          </rPr>
          <t>q425exhibit992.htm | ICS spend, Q4'24 | 6,003</t>
        </r>
      </text>
    </comment>
    <comment ref="E308" authorId="0">
      <text>
        <r>
          <rPr>
            <sz val="9"/>
            <color rgb="FF000000"/>
            <rFont val="Arial"/>
            <family val="2"/>
          </rPr>
          <t>q425exhibit992.htm | ICS spend, FY'24 | 22,965</t>
        </r>
      </text>
    </comment>
    <comment ref="F308" authorId="0">
      <text>
        <r>
          <rPr>
            <sz val="9"/>
            <color rgb="FF000000"/>
            <rFont val="Arial"/>
            <family val="2"/>
          </rPr>
          <t>q425exhibit992.htm | ICS spend, Q1'25 | 5,619</t>
        </r>
      </text>
    </comment>
    <comment ref="G308" authorId="0">
      <text>
        <r>
          <rPr>
            <sz val="9"/>
            <color rgb="FF000000"/>
            <rFont val="Arial"/>
            <family val="2"/>
          </rPr>
          <t>q226exhibit992.htm | ICS spend, Q2'25 | 6,197</t>
        </r>
      </text>
    </comment>
    <comment ref="C309" authorId="0">
      <text>
        <r>
          <rPr>
            <sz val="9"/>
            <color rgb="FF000000"/>
            <rFont val="Arial"/>
            <family val="2"/>
          </rPr>
          <t>q325exhibit992.htm | ICS bal, Q3'24 | 37,460</t>
        </r>
      </text>
    </comment>
    <comment ref="D309" authorId="0">
      <text>
        <r>
          <rPr>
            <sz val="9"/>
            <color rgb="FF000000"/>
            <rFont val="Arial"/>
            <family val="2"/>
          </rPr>
          <t>q425exhibit992.htm | ICS bal, Q4'24 | 37,442</t>
        </r>
      </text>
    </comment>
    <comment ref="E309" authorId="0">
      <text>
        <r>
          <rPr>
            <sz val="9"/>
            <color rgb="FF000000"/>
            <rFont val="Arial"/>
            <family val="2"/>
          </rPr>
          <t>q425exhibit992.htm | ICS bal, FY'24 | 37,442</t>
        </r>
      </text>
    </comment>
    <comment ref="F309" authorId="0">
      <text>
        <r>
          <rPr>
            <sz val="9"/>
            <color rgb="FF000000"/>
            <rFont val="Arial"/>
            <family val="2"/>
          </rPr>
          <t>q425exhibit992.htm | ICS bal, Q1'25 | 37,398</t>
        </r>
      </text>
    </comment>
    <comment ref="G309" authorId="0">
      <text>
        <r>
          <rPr>
            <sz val="9"/>
            <color rgb="FF000000"/>
            <rFont val="Arial"/>
            <family val="2"/>
          </rPr>
          <t>q226exhibit992.htm | ICS bal, Q2'25 | 40,991</t>
        </r>
      </text>
    </comment>
    <comment ref="C310" authorId="0">
      <text>
        <r>
          <rPr>
            <sz val="9"/>
            <color rgb="FF000000"/>
            <rFont val="Arial"/>
            <family val="2"/>
          </rPr>
          <t>q325exhibit992.htm | ICS nwo, Q3'24 | 1.8%</t>
        </r>
      </text>
    </comment>
    <comment ref="D310" authorId="0">
      <text>
        <r>
          <rPr>
            <sz val="9"/>
            <color rgb="FF000000"/>
            <rFont val="Arial"/>
            <family val="2"/>
          </rPr>
          <t>q425exhibit992.htm | ICS nwo, Q4'24 | 1.7%</t>
        </r>
      </text>
    </comment>
    <comment ref="E310" authorId="0">
      <text>
        <r>
          <rPr>
            <sz val="9"/>
            <color rgb="FF000000"/>
            <rFont val="Arial"/>
            <family val="2"/>
          </rPr>
          <t>q425exhibit992.htm | ICS nwo, FY'24 | 1.9%</t>
        </r>
      </text>
    </comment>
    <comment ref="F310" authorId="0">
      <text>
        <r>
          <rPr>
            <sz val="9"/>
            <color rgb="FF000000"/>
            <rFont val="Arial"/>
            <family val="2"/>
          </rPr>
          <t>q425exhibit992.htm | ICS nwo, Q1'25 | 1.8%</t>
        </r>
      </text>
    </comment>
    <comment ref="G310" authorId="0">
      <text>
        <r>
          <rPr>
            <sz val="9"/>
            <color rgb="FF000000"/>
            <rFont val="Arial"/>
            <family val="2"/>
          </rPr>
          <t>q226exhibit992.htm | ICS nwo, Q2'25 | 2.0%</t>
        </r>
      </text>
    </comment>
    <comment ref="C311" authorId="0">
      <text>
        <r>
          <rPr>
            <sz val="9"/>
            <color rgb="FF000000"/>
            <rFont val="Arial"/>
            <family val="2"/>
          </rPr>
          <t>q325exhibit992.htm | ICS dpd30, Q3'24 | 1.0%</t>
        </r>
      </text>
    </comment>
    <comment ref="D311" authorId="0">
      <text>
        <r>
          <rPr>
            <sz val="9"/>
            <color rgb="FF000000"/>
            <rFont val="Arial"/>
            <family val="2"/>
          </rPr>
          <t>q425exhibit992.htm | ICS dpd30, Q4'24 | 1.0%</t>
        </r>
      </text>
    </comment>
    <comment ref="E311" authorId="0">
      <text>
        <r>
          <rPr>
            <sz val="9"/>
            <color rgb="FF000000"/>
            <rFont val="Arial"/>
            <family val="2"/>
          </rPr>
          <t>q425exhibit992.htm | ICS dpd30, FY'24 | 1.0%</t>
        </r>
      </text>
    </comment>
    <comment ref="F311" authorId="0">
      <text>
        <r>
          <rPr>
            <sz val="9"/>
            <color rgb="FF000000"/>
            <rFont val="Arial"/>
            <family val="2"/>
          </rPr>
          <t>q425exhibit992.htm | ICS dpd30, Q1'25 | 1.1%</t>
        </r>
      </text>
    </comment>
    <comment ref="G311" authorId="0">
      <text>
        <r>
          <rPr>
            <sz val="9"/>
            <color rgb="FF000000"/>
            <rFont val="Arial"/>
            <family val="2"/>
          </rPr>
          <t>q226exhibit992.htm | ICS dpd30, Q2'25 | 1.1%</t>
        </r>
      </text>
    </comment>
    <comment ref="C312" authorId="0">
      <text>
        <r>
          <rPr>
            <sz val="9"/>
            <color rgb="FF000000"/>
            <rFont val="Arial"/>
            <family val="2"/>
          </rPr>
          <t>q325exhibit992.htm | ICS basic, Q3'24 | 16.2</t>
        </r>
      </text>
    </comment>
    <comment ref="D312" authorId="0">
      <text>
        <r>
          <rPr>
            <sz val="9"/>
            <color rgb="FF000000"/>
            <rFont val="Arial"/>
            <family val="2"/>
          </rPr>
          <t>q425exhibit992.htm | ICS basic, Q4'24 | 16.4</t>
        </r>
      </text>
    </comment>
    <comment ref="E312" authorId="0">
      <text>
        <r>
          <rPr>
            <sz val="9"/>
            <color rgb="FF000000"/>
            <rFont val="Arial"/>
            <family val="2"/>
          </rPr>
          <t>q425exhibit992.htm | ICS basic, FY'24 | 16.4</t>
        </r>
      </text>
    </comment>
    <comment ref="F312" authorId="0">
      <text>
        <r>
          <rPr>
            <sz val="9"/>
            <color rgb="FF000000"/>
            <rFont val="Arial"/>
            <family val="2"/>
          </rPr>
          <t>q425exhibit992.htm | ICS basic, Q1'25 | 16.7</t>
        </r>
      </text>
    </comment>
    <comment ref="G312" authorId="0">
      <text>
        <r>
          <rPr>
            <sz val="9"/>
            <color rgb="FF000000"/>
            <rFont val="Arial"/>
            <family val="2"/>
          </rPr>
          <t>q226exhibit992.htm | ICS basic, Q2'25 | 16.9</t>
        </r>
      </text>
    </comment>
    <comment ref="D313" authorId="0">
      <text>
        <r>
          <rPr>
            <sz val="9"/>
            <color rgb="FF000000"/>
            <rFont val="Arial"/>
            <family val="2"/>
          </rPr>
          <t>q425exhibit992.htm | ICS average Card balances, Q4'24 | 37,233</t>
        </r>
      </text>
    </comment>
    <comment ref="E313" authorId="0">
      <text>
        <r>
          <rPr>
            <sz val="9"/>
            <color rgb="FF000000"/>
            <rFont val="Arial"/>
            <family val="2"/>
          </rPr>
          <t>q425exhibit992.htm | ICS average Card balances, FY'24 | 35,681</t>
        </r>
      </text>
    </comment>
    <comment ref="F313" authorId="0">
      <text>
        <r>
          <rPr>
            <sz val="9"/>
            <color rgb="FF000000"/>
            <rFont val="Arial"/>
            <family val="2"/>
          </rPr>
          <t>q425exhibit992.htm | ICS average Card balances, Q1'25 | 36,487</t>
        </r>
      </text>
    </comment>
    <comment ref="G313" authorId="0">
      <text>
        <r>
          <rPr>
            <sz val="9"/>
            <color rgb="FF000000"/>
            <rFont val="Arial"/>
            <family val="2"/>
          </rPr>
          <t>q226exhibit992.htm | ICS average Card balances, Q2'25 | 39,573</t>
        </r>
      </text>
    </comment>
    <comment ref="C323" authorId="0">
      <text>
        <r>
          <rPr>
            <sz val="9"/>
            <color rgb="FF000000"/>
            <rFont val="Arial"/>
            <family val="2"/>
          </rPr>
          <t>q325exhibit992.htm | GMNS nir, Q3'24 | 1,667</t>
        </r>
      </text>
    </comment>
    <comment ref="D323" authorId="0">
      <text>
        <r>
          <rPr>
            <sz val="9"/>
            <color rgb="FF000000"/>
            <rFont val="Arial"/>
            <family val="2"/>
          </rPr>
          <t>q425exhibit992.htm | GMNS nir, Q4'24 | 1,723</t>
        </r>
      </text>
    </comment>
    <comment ref="E323" authorId="0">
      <text>
        <r>
          <rPr>
            <sz val="9"/>
            <color rgb="FF000000"/>
            <rFont val="Arial"/>
            <family val="2"/>
          </rPr>
          <t>q425exhibit992.htm | GMNS nir, FY'24 | 6,729</t>
        </r>
      </text>
    </comment>
    <comment ref="F323" authorId="0">
      <text>
        <r>
          <rPr>
            <sz val="9"/>
            <color rgb="FF000000"/>
            <rFont val="Arial"/>
            <family val="2"/>
          </rPr>
          <t>q425exhibit992.htm | GMNS nir, Q1'25 | 1,660</t>
        </r>
      </text>
    </comment>
    <comment ref="G323" authorId="0">
      <text>
        <r>
          <rPr>
            <sz val="9"/>
            <color rgb="FF000000"/>
            <rFont val="Arial"/>
            <family val="2"/>
          </rPr>
          <t>q226exhibit992.htm | GMNS nir, Q2'25 | 1,758</t>
        </r>
      </text>
    </comment>
    <comment ref="C324" authorId="0">
      <text>
        <r>
          <rPr>
            <sz val="9"/>
            <color rgb="FF000000"/>
            <rFont val="Arial"/>
            <family val="2"/>
          </rPr>
          <t>q325exhibit992.htm | GMNS ii, Q3'24 | 11</t>
        </r>
      </text>
    </comment>
    <comment ref="D324" authorId="0">
      <text>
        <r>
          <rPr>
            <sz val="9"/>
            <color rgb="FF000000"/>
            <rFont val="Arial"/>
            <family val="2"/>
          </rPr>
          <t>q425exhibit992.htm | GMNS ii, Q4'24 | 11</t>
        </r>
      </text>
    </comment>
    <comment ref="E324" authorId="0">
      <text>
        <r>
          <rPr>
            <sz val="9"/>
            <color rgb="FF000000"/>
            <rFont val="Arial"/>
            <family val="2"/>
          </rPr>
          <t>q425exhibit992.htm | GMNS ii, FY'24 | 52</t>
        </r>
      </text>
    </comment>
    <comment ref="F324" authorId="0">
      <text>
        <r>
          <rPr>
            <sz val="9"/>
            <color rgb="FF000000"/>
            <rFont val="Arial"/>
            <family val="2"/>
          </rPr>
          <t>q425exhibit992.htm | GMNS ii, Q1'25 | 12</t>
        </r>
      </text>
    </comment>
    <comment ref="G324" authorId="0">
      <text>
        <r>
          <rPr>
            <sz val="9"/>
            <color rgb="FF000000"/>
            <rFont val="Arial"/>
            <family val="2"/>
          </rPr>
          <t>q226exhibit992.htm | GMNS ii, Q2'25 | 10</t>
        </r>
      </text>
    </comment>
    <comment ref="C325" authorId="0">
      <text>
        <r>
          <rPr>
            <sz val="9"/>
            <color rgb="FF000000"/>
            <rFont val="Arial"/>
            <family val="2"/>
          </rPr>
          <t>q325exhibit992.htm | GMNS ie, Q3'24 | (169)</t>
        </r>
      </text>
    </comment>
    <comment ref="D325" authorId="0">
      <text>
        <r>
          <rPr>
            <sz val="9"/>
            <color rgb="FF000000"/>
            <rFont val="Arial"/>
            <family val="2"/>
          </rPr>
          <t>q425exhibit992.htm | GMNS ie, Q4'24 | (160)</t>
        </r>
      </text>
    </comment>
    <comment ref="E325" authorId="0">
      <text>
        <r>
          <rPr>
            <sz val="9"/>
            <color rgb="FF000000"/>
            <rFont val="Arial"/>
            <family val="2"/>
          </rPr>
          <t>q425exhibit992.htm | GMNS ie, FY'24 | (703)</t>
        </r>
      </text>
    </comment>
    <comment ref="F325" authorId="0">
      <text>
        <r>
          <rPr>
            <sz val="9"/>
            <color rgb="FF000000"/>
            <rFont val="Arial"/>
            <family val="2"/>
          </rPr>
          <t>q425exhibit992.htm | GMNS ie, Q1'25 | (143)</t>
        </r>
      </text>
    </comment>
    <comment ref="G325" authorId="0">
      <text>
        <r>
          <rPr>
            <sz val="9"/>
            <color rgb="FF000000"/>
            <rFont val="Arial"/>
            <family val="2"/>
          </rPr>
          <t>q226exhibit992.htm | GMNS ie, Q2'25 | (165)</t>
        </r>
      </text>
    </comment>
    <comment ref="C326" authorId="0">
      <text>
        <r>
          <rPr>
            <sz val="9"/>
            <color rgb="FF000000"/>
            <rFont val="Arial"/>
            <family val="2"/>
          </rPr>
          <t>q325exhibit992.htm | GMNS prov, Q3'24 | 10</t>
        </r>
      </text>
    </comment>
    <comment ref="D326" authorId="0">
      <text>
        <r>
          <rPr>
            <sz val="9"/>
            <color rgb="FF000000"/>
            <rFont val="Arial"/>
            <family val="2"/>
          </rPr>
          <t>q425exhibit992.htm | GMNS prov, Q4'24 | 6</t>
        </r>
      </text>
    </comment>
    <comment ref="E326" authorId="0">
      <text>
        <r>
          <rPr>
            <sz val="9"/>
            <color rgb="FF000000"/>
            <rFont val="Arial"/>
            <family val="2"/>
          </rPr>
          <t>q425exhibit992.htm | GMNS prov, FY'24 | 42</t>
        </r>
      </text>
    </comment>
    <comment ref="F326" authorId="0">
      <text>
        <r>
          <rPr>
            <sz val="9"/>
            <color rgb="FF000000"/>
            <rFont val="Arial"/>
            <family val="2"/>
          </rPr>
          <t>q425exhibit992.htm | GMNS prov, Q1'25 | (2)</t>
        </r>
      </text>
    </comment>
    <comment ref="G326" authorId="0">
      <text>
        <r>
          <rPr>
            <sz val="9"/>
            <color rgb="FF000000"/>
            <rFont val="Arial"/>
            <family val="2"/>
          </rPr>
          <t>q226exhibit992.htm | GMNS prov, Q2'25 | 5</t>
        </r>
      </text>
    </comment>
    <comment ref="C327" authorId="0">
      <text>
        <r>
          <rPr>
            <sz val="9"/>
            <color rgb="FF000000"/>
            <rFont val="Arial"/>
            <family val="2"/>
          </rPr>
          <t>q325exhibit992.htm | GMNS vce, Q3'24 | 269</t>
        </r>
      </text>
    </comment>
    <comment ref="D327" authorId="0">
      <text>
        <r>
          <rPr>
            <sz val="9"/>
            <color rgb="FF000000"/>
            <rFont val="Arial"/>
            <family val="2"/>
          </rPr>
          <t>q425exhibit992.htm | GMNS vce, Q4'24 | 322</t>
        </r>
      </text>
    </comment>
    <comment ref="E327" authorId="0">
      <text>
        <r>
          <rPr>
            <sz val="9"/>
            <color rgb="FF000000"/>
            <rFont val="Arial"/>
            <family val="2"/>
          </rPr>
          <t>q425exhibit992.htm | GMNS vce, FY'24 | 1,148</t>
        </r>
      </text>
    </comment>
    <comment ref="F327" authorId="0">
      <text>
        <r>
          <rPr>
            <sz val="9"/>
            <color rgb="FF000000"/>
            <rFont val="Arial"/>
            <family val="2"/>
          </rPr>
          <t>q425exhibit992.htm | GMNS vce, Q1'25 | 283</t>
        </r>
      </text>
    </comment>
    <comment ref="G327" authorId="0">
      <text>
        <r>
          <rPr>
            <sz val="9"/>
            <color rgb="FF000000"/>
            <rFont val="Arial"/>
            <family val="2"/>
          </rPr>
          <t>q226exhibit992.htm | GMNS vce, Q2'25 | 288</t>
        </r>
      </text>
    </comment>
    <comment ref="C328" authorId="0">
      <text>
        <r>
          <rPr>
            <sz val="9"/>
            <color rgb="FF000000"/>
            <rFont val="Arial"/>
            <family val="2"/>
          </rPr>
          <t>q325exhibit992.htm | GMNS mkt, Q3'24 | 112</t>
        </r>
      </text>
    </comment>
    <comment ref="D328" authorId="0">
      <text>
        <r>
          <rPr>
            <sz val="9"/>
            <color rgb="FF000000"/>
            <rFont val="Arial"/>
            <family val="2"/>
          </rPr>
          <t>q425exhibit992.htm | GMNS mkt, Q4'24 | 130</t>
        </r>
      </text>
    </comment>
    <comment ref="E328" authorId="0">
      <text>
        <r>
          <rPr>
            <sz val="9"/>
            <color rgb="FF000000"/>
            <rFont val="Arial"/>
            <family val="2"/>
          </rPr>
          <t>q425exhibit992.htm | GMNS mkt, FY'24 | 411</t>
        </r>
      </text>
    </comment>
    <comment ref="F328" authorId="0">
      <text>
        <r>
          <rPr>
            <sz val="9"/>
            <color rgb="FF000000"/>
            <rFont val="Arial"/>
            <family val="2"/>
          </rPr>
          <t>q425exhibit992.htm | GMNS mkt, Q1'25 | 76</t>
        </r>
      </text>
    </comment>
    <comment ref="G328" authorId="0">
      <text>
        <r>
          <rPr>
            <sz val="9"/>
            <color rgb="FF000000"/>
            <rFont val="Arial"/>
            <family val="2"/>
          </rPr>
          <t>q226exhibit992.htm | GMNS mkt, Q2'25 | 96</t>
        </r>
      </text>
    </comment>
    <comment ref="C329" authorId="0">
      <text>
        <r>
          <rPr>
            <sz val="9"/>
            <color rgb="FF000000"/>
            <rFont val="Arial"/>
            <family val="2"/>
          </rPr>
          <t>q325exhibit992.htm | GMNS opex, Q3'24 | 465</t>
        </r>
      </text>
    </comment>
    <comment ref="D329" authorId="0">
      <text>
        <r>
          <rPr>
            <sz val="9"/>
            <color rgb="FF000000"/>
            <rFont val="Arial"/>
            <family val="2"/>
          </rPr>
          <t>q425exhibit992.htm | GMNS opex, Q4'24 | 583</t>
        </r>
      </text>
    </comment>
    <comment ref="E329" authorId="0">
      <text>
        <r>
          <rPr>
            <sz val="9"/>
            <color rgb="FF000000"/>
            <rFont val="Arial"/>
            <family val="2"/>
          </rPr>
          <t>q425exhibit992.htm | GMNS opex, FY'24 | 1,485</t>
        </r>
      </text>
    </comment>
    <comment ref="F329" authorId="0">
      <text>
        <r>
          <rPr>
            <sz val="9"/>
            <color rgb="FF000000"/>
            <rFont val="Arial"/>
            <family val="2"/>
          </rPr>
          <t>q425exhibit992.htm | GMNS opex, Q1'25 | 468</t>
        </r>
      </text>
    </comment>
    <comment ref="G329" authorId="0">
      <text>
        <r>
          <rPr>
            <sz val="9"/>
            <color rgb="FF000000"/>
            <rFont val="Arial"/>
            <family val="2"/>
          </rPr>
          <t>q226exhibit992.htm | GMNS opex, Q2'25 | 490</t>
        </r>
      </text>
    </comment>
    <comment ref="C340" authorId="0">
      <text>
        <r>
          <rPr>
            <sz val="9"/>
            <color rgb="FF000000"/>
            <rFont val="Arial"/>
            <family val="2"/>
          </rPr>
          <t>q325exhibit992.htm | Proprietary basic cards-in-force, Q3'24 | 63.7</t>
        </r>
      </text>
    </comment>
    <comment ref="D340" authorId="0">
      <text>
        <r>
          <rPr>
            <sz val="9"/>
            <color rgb="FF000000"/>
            <rFont val="Arial"/>
            <family val="2"/>
          </rPr>
          <t>q425exhibit992.htm | Proprietary basic cards-in-force, Q4'24 | 64.3</t>
        </r>
      </text>
    </comment>
    <comment ref="E340" authorId="0">
      <text>
        <r>
          <rPr>
            <sz val="9"/>
            <color rgb="FF000000"/>
            <rFont val="Arial"/>
            <family val="2"/>
          </rPr>
          <t>q425exhibit992.htm | Proprietary basic cards-in-force, FY'24 | 64.3</t>
        </r>
      </text>
    </comment>
    <comment ref="F340" authorId="0">
      <text>
        <r>
          <rPr>
            <sz val="9"/>
            <color rgb="FF000000"/>
            <rFont val="Arial"/>
            <family val="2"/>
          </rPr>
          <t>q425exhibit992.htm | Proprietary basic cards-in-force, Q1'25 | 65.1</t>
        </r>
      </text>
    </comment>
    <comment ref="G340" authorId="0">
      <text>
        <r>
          <rPr>
            <sz val="9"/>
            <color rgb="FF000000"/>
            <rFont val="Arial"/>
            <family val="2"/>
          </rPr>
          <t>q226exhibit992.htm | Proprietary basic cards-in-force, Q2'25 | 65.6</t>
        </r>
      </text>
    </comment>
    <comment ref="C341" authorId="0">
      <text>
        <r>
          <rPr>
            <sz val="9"/>
            <color rgb="FF000000"/>
            <rFont val="Arial"/>
            <family val="2"/>
          </rPr>
          <t>q325exhibit992.htm | Total cards-in-force incl. network partners, Q3'24 | 145.5</t>
        </r>
      </text>
    </comment>
    <comment ref="D341" authorId="0">
      <text>
        <r>
          <rPr>
            <sz val="9"/>
            <color rgb="FF000000"/>
            <rFont val="Arial"/>
            <family val="2"/>
          </rPr>
          <t>q425exhibit992.htm | Total cards-in-force incl. network partners, Q4'24 | 146.5</t>
        </r>
      </text>
    </comment>
    <comment ref="E341" authorId="0">
      <text>
        <r>
          <rPr>
            <sz val="9"/>
            <color rgb="FF000000"/>
            <rFont val="Arial"/>
            <family val="2"/>
          </rPr>
          <t>q425exhibit992.htm | Total cards-in-force incl. network partners, FY'24 | 146.5</t>
        </r>
      </text>
    </comment>
    <comment ref="F341" authorId="0">
      <text>
        <r>
          <rPr>
            <sz val="9"/>
            <color rgb="FF000000"/>
            <rFont val="Arial"/>
            <family val="2"/>
          </rPr>
          <t>q425exhibit992.htm | Total cards-in-force incl. network partners, Q1'25 | 147.5</t>
        </r>
      </text>
    </comment>
    <comment ref="G341" authorId="0">
      <text>
        <r>
          <rPr>
            <sz val="9"/>
            <color rgb="FF000000"/>
            <rFont val="Arial"/>
            <family val="2"/>
          </rPr>
          <t>q226exhibit992.htm | Total cards-in-force incl. network partners, Q2'25 | 149.4</t>
        </r>
      </text>
    </comment>
    <comment ref="C342" authorId="0">
      <text>
        <r>
          <rPr>
            <sz val="9"/>
            <color rgb="FF000000"/>
            <rFont val="Arial"/>
            <family val="2"/>
          </rPr>
          <t>q325exhibit992.htm | Basic cards-in-force incl. network partners, Q3'24 | 122.4</t>
        </r>
      </text>
    </comment>
    <comment ref="D342" authorId="0">
      <text>
        <r>
          <rPr>
            <sz val="9"/>
            <color rgb="FF000000"/>
            <rFont val="Arial"/>
            <family val="2"/>
          </rPr>
          <t>q425exhibit992.htm | Basic cards-in-force incl. network partners, Q4'24 | 123.3</t>
        </r>
      </text>
    </comment>
    <comment ref="E342" authorId="0">
      <text>
        <r>
          <rPr>
            <sz val="9"/>
            <color rgb="FF000000"/>
            <rFont val="Arial"/>
            <family val="2"/>
          </rPr>
          <t>q425exhibit992.htm | Basic cards-in-force incl. network partners, FY'24 | 123.3</t>
        </r>
      </text>
    </comment>
    <comment ref="F342" authorId="0">
      <text>
        <r>
          <rPr>
            <sz val="9"/>
            <color rgb="FF000000"/>
            <rFont val="Arial"/>
            <family val="2"/>
          </rPr>
          <t>q425exhibit992.htm | Basic cards-in-force incl. network partners, Q1'25 | 124.2</t>
        </r>
      </text>
    </comment>
    <comment ref="G342" authorId="0">
      <text>
        <r>
          <rPr>
            <sz val="9"/>
            <color rgb="FF000000"/>
            <rFont val="Arial"/>
            <family val="2"/>
          </rPr>
          <t>q226exhibit992.htm | Basic cards-in-force incl. network partners, Q2'25 | 126</t>
        </r>
      </text>
    </comment>
    <comment ref="C343" authorId="0">
      <text>
        <r>
          <rPr>
            <sz val="9"/>
            <color rgb="FF000000"/>
            <rFont val="Arial"/>
            <family val="2"/>
          </rPr>
          <t>q325exhibit992.htm | Average proprietary basic Card Member spending ($), Q3'24 | 6,110</t>
        </r>
      </text>
    </comment>
    <comment ref="D343" authorId="0">
      <text>
        <r>
          <rPr>
            <sz val="9"/>
            <color rgb="FF000000"/>
            <rFont val="Arial"/>
            <family val="2"/>
          </rPr>
          <t>q425exhibit992.htm | Average proprietary basic Card Member spending ($), Q4'24 | 6,378</t>
        </r>
      </text>
    </comment>
    <comment ref="E343" authorId="0">
      <text>
        <r>
          <rPr>
            <sz val="9"/>
            <color rgb="FF000000"/>
            <rFont val="Arial"/>
            <family val="2"/>
          </rPr>
          <t>q425exhibit992.htm | Average proprietary basic Card Member spending ($), FY'24 | 24,608</t>
        </r>
      </text>
    </comment>
    <comment ref="F343" authorId="0">
      <text>
        <r>
          <rPr>
            <sz val="9"/>
            <color rgb="FF000000"/>
            <rFont val="Arial"/>
            <family val="2"/>
          </rPr>
          <t>q425exhibit992.htm | Average proprietary basic Card Member spending ($), Q1'25 | 5,987</t>
        </r>
      </text>
    </comment>
    <comment ref="G343" authorId="0">
      <text>
        <r>
          <rPr>
            <sz val="9"/>
            <color rgb="FF000000"/>
            <rFont val="Arial"/>
            <family val="2"/>
          </rPr>
          <t>q226exhibit992.htm | Average proprietary basic Card Member spending ($), Q2'25 | 6,370</t>
        </r>
      </text>
    </comment>
    <comment ref="C344" authorId="0">
      <text>
        <r>
          <rPr>
            <sz val="9"/>
            <color rgb="FF000000"/>
            <rFont val="Arial"/>
            <family val="2"/>
          </rPr>
          <t>q325exhibit992.htm | Investment securities (period end), Q3'24 | 1,268</t>
        </r>
      </text>
    </comment>
    <comment ref="D344" authorId="0">
      <text>
        <r>
          <rPr>
            <sz val="9"/>
            <color rgb="FF000000"/>
            <rFont val="Arial"/>
            <family val="2"/>
          </rPr>
          <t>q425exhibit992.htm | Investment securities (period end), Q4'24 | 1,240</t>
        </r>
      </text>
    </comment>
    <comment ref="E344" authorId="0">
      <text>
        <r>
          <rPr>
            <sz val="9"/>
            <color rgb="FF000000"/>
            <rFont val="Arial"/>
            <family val="2"/>
          </rPr>
          <t>q425exhibit992.htm | Investment securities (period end), FY'24 | 1,240</t>
        </r>
      </text>
    </comment>
    <comment ref="F344" authorId="0">
      <text>
        <r>
          <rPr>
            <sz val="9"/>
            <color rgb="FF000000"/>
            <rFont val="Arial"/>
            <family val="2"/>
          </rPr>
          <t>q425exhibit992.htm | Investment securities (period end), Q1'25 | 1,110</t>
        </r>
      </text>
    </comment>
    <comment ref="G344" authorId="0">
      <text>
        <r>
          <rPr>
            <sz val="9"/>
            <color rgb="FF000000"/>
            <rFont val="Arial"/>
            <family val="2"/>
          </rPr>
          <t>q226exhibit992.htm | Investment securities (period end), Q2'25 | 1,258</t>
        </r>
      </text>
    </comment>
    <comment ref="C345" authorId="0">
      <text>
        <r>
          <rPr>
            <sz val="9"/>
            <color rgb="FF000000"/>
            <rFont val="Arial"/>
            <family val="2"/>
          </rPr>
          <t>q325exhibit992.htm | Long-term debt (period end), Q3'24 | 53,546</t>
        </r>
      </text>
    </comment>
    <comment ref="D345" authorId="0">
      <text>
        <r>
          <rPr>
            <sz val="9"/>
            <color rgb="FF000000"/>
            <rFont val="Arial"/>
            <family val="2"/>
          </rPr>
          <t>q425exhibit992.htm | Long-term debt (period end), Q4'24 | 49,715</t>
        </r>
      </text>
    </comment>
    <comment ref="E345" authorId="0">
      <text>
        <r>
          <rPr>
            <sz val="9"/>
            <color rgb="FF000000"/>
            <rFont val="Arial"/>
            <family val="2"/>
          </rPr>
          <t>q425exhibit992.htm | Long-term debt (period end), FY'24 | 49,715</t>
        </r>
      </text>
    </comment>
    <comment ref="F345" authorId="0">
      <text>
        <r>
          <rPr>
            <sz val="9"/>
            <color rgb="FF000000"/>
            <rFont val="Arial"/>
            <family val="2"/>
          </rPr>
          <t>q425exhibit992.htm | Long-term debt (period end), Q1'25 | 51,236</t>
        </r>
      </text>
    </comment>
    <comment ref="G345" authorId="0">
      <text>
        <r>
          <rPr>
            <sz val="9"/>
            <color rgb="FF000000"/>
            <rFont val="Arial"/>
            <family val="2"/>
          </rPr>
          <t>q226exhibit992.htm | Long-term debt (period end), Q2'25 | 58,202</t>
        </r>
      </text>
    </comment>
    <comment ref="C346" authorId="0">
      <text>
        <r>
          <rPr>
            <sz val="9"/>
            <color rgb="FF000000"/>
            <rFont val="Arial"/>
            <family val="2"/>
          </rPr>
          <t>q325exhibit992.htm | Short-term borrowings (period end), Q3'24 | 1,457</t>
        </r>
      </text>
    </comment>
    <comment ref="D346" authorId="0">
      <text>
        <r>
          <rPr>
            <sz val="9"/>
            <color rgb="FF000000"/>
            <rFont val="Arial"/>
            <family val="2"/>
          </rPr>
          <t>q425exhibit992.htm | Short-term borrowings (period end), Q4'24 | 1,374</t>
        </r>
      </text>
    </comment>
    <comment ref="E346" authorId="0">
      <text>
        <r>
          <rPr>
            <sz val="9"/>
            <color rgb="FF000000"/>
            <rFont val="Arial"/>
            <family val="2"/>
          </rPr>
          <t>q425exhibit992.htm | Short-term borrowings (period end), FY'24 | 1,374</t>
        </r>
      </text>
    </comment>
    <comment ref="F346" authorId="0">
      <text>
        <r>
          <rPr>
            <sz val="9"/>
            <color rgb="FF000000"/>
            <rFont val="Arial"/>
            <family val="2"/>
          </rPr>
          <t>q425exhibit992.htm | Short-term borrowings (period end), Q1'25 | 1,559</t>
        </r>
      </text>
    </comment>
    <comment ref="G346" authorId="0">
      <text>
        <r>
          <rPr>
            <sz val="9"/>
            <color rgb="FF000000"/>
            <rFont val="Arial"/>
            <family val="2"/>
          </rPr>
          <t>q226exhibit992.htm | Short-term borrowings (period end), Q2'25 | 1,493</t>
        </r>
      </text>
    </comment>
    <comment ref="C347" authorId="0">
      <text>
        <r>
          <rPr>
            <sz val="9"/>
            <color rgb="FF000000"/>
            <rFont val="Arial"/>
            <family val="2"/>
          </rPr>
          <t>q325exhibit992.htm | Salaries and employee benefits, Q3'24 | 2,049</t>
        </r>
      </text>
    </comment>
    <comment ref="D347" authorId="0">
      <text>
        <r>
          <rPr>
            <sz val="9"/>
            <color rgb="FF000000"/>
            <rFont val="Arial"/>
            <family val="2"/>
          </rPr>
          <t>q425exhibit992.htm | Salaries and employee benefits, Q4'24 | 2,102</t>
        </r>
      </text>
    </comment>
    <comment ref="E347" authorId="0">
      <text>
        <r>
          <rPr>
            <sz val="9"/>
            <color rgb="FF000000"/>
            <rFont val="Arial"/>
            <family val="2"/>
          </rPr>
          <t>q425exhibit992.htm | Salaries and employee benefits, FY'24 | 8,198</t>
        </r>
      </text>
    </comment>
    <comment ref="F347" authorId="0">
      <text>
        <r>
          <rPr>
            <sz val="9"/>
            <color rgb="FF000000"/>
            <rFont val="Arial"/>
            <family val="2"/>
          </rPr>
          <t>q425exhibit992.htm | Salaries and employee benefits, Q1'25 | 2,120</t>
        </r>
      </text>
    </comment>
    <comment ref="G347" authorId="0">
      <text>
        <r>
          <rPr>
            <sz val="9"/>
            <color rgb="FF000000"/>
            <rFont val="Arial"/>
            <family val="2"/>
          </rPr>
          <t>q226exhibit992.htm | Salaries and employee benefits, Q2'25 | 2,152</t>
        </r>
      </text>
    </comment>
    <comment ref="C348" authorId="0">
      <text>
        <r>
          <rPr>
            <sz val="9"/>
            <color rgb="FF000000"/>
            <rFont val="Arial"/>
            <family val="2"/>
          </rPr>
          <t>q325exhibit992.htm | Professional services, Q3'24 | 579</t>
        </r>
      </text>
    </comment>
    <comment ref="D348" authorId="0">
      <text>
        <r>
          <rPr>
            <sz val="9"/>
            <color rgb="FF000000"/>
            <rFont val="Arial"/>
            <family val="2"/>
          </rPr>
          <t>q425exhibit992.htm | Professional services, Q4'24 | 698</t>
        </r>
      </text>
    </comment>
    <comment ref="E348" authorId="0">
      <text>
        <r>
          <rPr>
            <sz val="9"/>
            <color rgb="FF000000"/>
            <rFont val="Arial"/>
            <family val="2"/>
          </rPr>
          <t>q425exhibit992.htm | Professional services, FY'24 | 2,274</t>
        </r>
      </text>
    </comment>
    <comment ref="F348" authorId="0">
      <text>
        <r>
          <rPr>
            <sz val="9"/>
            <color rgb="FF000000"/>
            <rFont val="Arial"/>
            <family val="2"/>
          </rPr>
          <t>q425exhibit992.htm | Professional services, Q1'25 | 541</t>
        </r>
      </text>
    </comment>
    <comment ref="G348" authorId="0">
      <text>
        <r>
          <rPr>
            <sz val="9"/>
            <color rgb="FF000000"/>
            <rFont val="Arial"/>
            <family val="2"/>
          </rPr>
          <t>q226exhibit992.htm | Professional services, Q2'25 | 591</t>
        </r>
      </text>
    </comment>
    <comment ref="C349" authorId="0">
      <text>
        <r>
          <rPr>
            <sz val="9"/>
            <color rgb="FF000000"/>
            <rFont val="Arial"/>
            <family val="2"/>
          </rPr>
          <t>q325exhibit992.htm | Data processing and equipment, Q3'24 | 725</t>
        </r>
      </text>
    </comment>
    <comment ref="D349" authorId="0">
      <text>
        <r>
          <rPr>
            <sz val="9"/>
            <color rgb="FF000000"/>
            <rFont val="Arial"/>
            <family val="2"/>
          </rPr>
          <t>q425exhibit992.htm | Data processing and equipment, Q4'24 | 805</t>
        </r>
      </text>
    </comment>
    <comment ref="E349" authorId="0">
      <text>
        <r>
          <rPr>
            <sz val="9"/>
            <color rgb="FF000000"/>
            <rFont val="Arial"/>
            <family val="2"/>
          </rPr>
          <t>q425exhibit992.htm | Data processing and equipment, FY'24 | 2,888</t>
        </r>
      </text>
    </comment>
    <comment ref="F349" authorId="0">
      <text>
        <r>
          <rPr>
            <sz val="9"/>
            <color rgb="FF000000"/>
            <rFont val="Arial"/>
            <family val="2"/>
          </rPr>
          <t>q425exhibit992.htm | Data processing and equipment, Q1'25 | 705</t>
        </r>
      </text>
    </comment>
    <comment ref="G349" authorId="0">
      <text>
        <r>
          <rPr>
            <sz val="9"/>
            <color rgb="FF000000"/>
            <rFont val="Arial"/>
            <family val="2"/>
          </rPr>
          <t>q226exhibit992.htm | Data processing and equipment, Q2'25 | 720</t>
        </r>
      </text>
    </comment>
    <comment ref="C350" authorId="0">
      <text>
        <r>
          <rPr>
            <sz val="9"/>
            <color rgb="FF000000"/>
            <rFont val="Arial"/>
            <family val="2"/>
          </rPr>
          <t>q325exhibit992.htm | Other, net, Q3'24 | 476</t>
        </r>
      </text>
    </comment>
    <comment ref="D350" authorId="0">
      <text>
        <r>
          <rPr>
            <sz val="9"/>
            <color rgb="FF000000"/>
            <rFont val="Arial"/>
            <family val="2"/>
          </rPr>
          <t>q425exhibit992.htm | Other, net, Q4'24 | 567</t>
        </r>
      </text>
    </comment>
    <comment ref="E350" authorId="0">
      <text>
        <r>
          <rPr>
            <sz val="9"/>
            <color rgb="FF000000"/>
            <rFont val="Arial"/>
            <family val="2"/>
          </rPr>
          <t>q425exhibit992.htm | Other, net, FY'24 | 1,202</t>
        </r>
      </text>
    </comment>
    <comment ref="F350" authorId="0">
      <text>
        <r>
          <rPr>
            <sz val="9"/>
            <color rgb="FF000000"/>
            <rFont val="Arial"/>
            <family val="2"/>
          </rPr>
          <t>q425exhibit992.htm | Other, net, Q1'25 | 400</t>
        </r>
      </text>
    </comment>
    <comment ref="G350" authorId="0">
      <text>
        <r>
          <rPr>
            <sz val="9"/>
            <color rgb="FF000000"/>
            <rFont val="Arial"/>
            <family val="2"/>
          </rPr>
          <t>q226exhibit992.htm | Other, net, Q2'25 | 375</t>
        </r>
      </text>
    </comment>
    <comment ref="C353" authorId="0">
      <text>
        <r>
          <rPr>
            <sz val="9"/>
            <color rgb="FF000000"/>
            <rFont val="Arial"/>
            <family val="2"/>
          </rPr>
          <t>q226exhibit991.htm | Diluted Earnings Per Common Share (EPS), Six Months Ended June 30, 2026 | $8.81</t>
        </r>
      </text>
    </comment>
  </commentList>
</comments>
</file>

<file path=xl/sharedStrings.xml><?xml version="1.0" encoding="utf-8"?>
<sst xmlns="http://schemas.openxmlformats.org/spreadsheetml/2006/main" count="1123" uniqueCount="1123">
  <si>
    <t>American Express Company (NYSE: AXP)</t>
  </si>
  <si>
    <t>Cover</t>
  </si>
  <si>
    <t>$ millions, except per share</t>
  </si>
  <si>
    <t>Period</t>
  </si>
  <si>
    <t>3Q26E</t>
  </si>
  <si>
    <t>Period end</t>
  </si>
  <si>
    <t>Days in period</t>
  </si>
  <si>
    <t>Company Model — built by Shortcut</t>
  </si>
  <si>
    <t>Company</t>
  </si>
  <si>
    <t>American Express Company</t>
  </si>
  <si>
    <t>Ticker</t>
  </si>
  <si>
    <t>AXP</t>
  </si>
  <si>
    <t>Exchange</t>
  </si>
  <si>
    <t>New York Stock Exchange (NYSE: AXP)</t>
  </si>
  <si>
    <t>Fiscal year end</t>
  </si>
  <si>
    <t>31 December (FQ3 2026 = quarter ended 30 September 2026; supplied label 2026-09-30 matches issuer quarter end)</t>
  </si>
  <si>
    <t>Reporting currency</t>
  </si>
  <si>
    <t>USD; amounts in $ millions except per share</t>
  </si>
  <si>
    <t>EPS basis</t>
  </si>
  <si>
    <t>Normalized diluted EPS per common share, USD (CapIQ basis; GAAP excl. GBTG gain and AML penalty remainder)</t>
  </si>
  <si>
    <t>Information cutoff</t>
  </si>
  <si>
    <t>2026-10-18 21:34 UTC</t>
  </si>
  <si>
    <t>Expected report date</t>
  </si>
  <si>
    <t>2026-10-23 before market open (issuer release 23-Sep-2026, S22; matches CapIQ date)</t>
  </si>
  <si>
    <t>Model author</t>
  </si>
  <si>
    <t>Shortcut</t>
  </si>
  <si>
    <t>Headline: 3Q26E</t>
  </si>
  <si>
    <t>Estimate</t>
  </si>
  <si>
    <t>Consensus (CapIQ)</t>
  </si>
  <si>
    <t>Variance</t>
  </si>
  <si>
    <t>Variance %</t>
  </si>
  <si>
    <t>Guidance mid</t>
  </si>
  <si>
    <t>Est. vs guide</t>
  </si>
  <si>
    <t># estimates</t>
  </si>
  <si>
    <t>Total revenues net of interest expense ($m)</t>
  </si>
  <si>
    <t>n/a</t>
  </si>
  <si>
    <t>Guidance: AXP guides FY only (FY26 revenue growth ~10%); no quarterly guidance, so midpoint n/a. FY-implied 2H26 on Guidance tab.</t>
  </si>
  <si>
    <t>Net income to common - normalized ($m)</t>
  </si>
  <si>
    <t>Consensus = CapIQ net income excl. exceptional items (basis per CapIQ). Estimate = normalized NI to common (excl. GBTG gain, AML remainder).</t>
  </si>
  <si>
    <t>Normalized diluted EPS - consensus basis ($)</t>
  </si>
  <si>
    <t>Scored metric. Frozen CapIQ consensus $4.49 (20 estimates). Newer references (Zacks $4.47, Earnings Whispers $4.47) on Inputs D, not used. HIGH basis risk: assumes the $175m AML remainder (undisclosed; 50% of $350m) is excluded from CapIQ normalized EPS; including it gives $4.27 (IS H178).</t>
  </si>
  <si>
    <t>GAAP diluted EPS ($)</t>
  </si>
  <si>
    <t>GAAP includes ~$975m pretax GBTG gain (closed 29-Sep-2026) and assumed $175m unreserved AML penalty. CapIQ GAAP mean likely excludes the gain. Variance compares unlike bases (estimate includes ~$975m pretax GBTG gain; consensus likely excludes it) - not comparable.</t>
  </si>
  <si>
    <t>Overall model check (structural / linkage)</t>
  </si>
  <si>
    <t>PASS</t>
  </si>
  <si>
    <t>Structural/linkage PASS only - not independent forecast validation. Includes identities true by construction (Cover C30:C33, IS H177, Revenue summary rows 166/205, BS H52 cash plug) plus genuine history ties (IS rows 162/176/180-185, CF rows 46-47, BS row 72, segment pretax checks). Explicit per-cell ABS &lt;= Inputs C152:C155 tolerances; blank IS E176 (no FY25 CapIQ memo) evaluates as 0.</t>
  </si>
  <si>
    <t>P(beat consensus EPS)</t>
  </si>
  <si>
    <t>Size-aware prior (large/S&amp;P 500, 0.78; 5 beats in 6) = 80.3%, less evidence updates (Inputs C).</t>
  </si>
  <si>
    <t>Confidence</t>
  </si>
  <si>
    <t>low</t>
  </si>
  <si>
    <t>Check: Cover revenue - Income Statement</t>
  </si>
  <si>
    <t>Rows 30-33: linkage identities, true by construction (C22:C25 link directly to the Income Statement) - not independent validation.</t>
  </si>
  <si>
    <t>Check: Cover net income - Income Statement</t>
  </si>
  <si>
    <t>Check: Cover normalized EPS - Income Statement</t>
  </si>
  <si>
    <t>Check: Cover GAAP EPS - Income Statement</t>
  </si>
  <si>
    <t>Revenue summary - consolidated drivers and revenue by segment</t>
  </si>
  <si>
    <t>3Q25A</t>
  </si>
  <si>
    <t>4Q25A</t>
  </si>
  <si>
    <t>FY25A</t>
  </si>
  <si>
    <t>1Q26A</t>
  </si>
  <si>
    <t>2Q26A</t>
  </si>
  <si>
    <t>Source / notes</t>
  </si>
  <si>
    <t>Consolidated volume drivers</t>
  </si>
  <si>
    <t>Billed business - USCS ($bn)</t>
  </si>
  <si>
    <t>Billed business - CS ($bn)</t>
  </si>
  <si>
    <t>Billed business - ICS ($bn)</t>
  </si>
  <si>
    <t>Billed - Corp. &amp; other ($bn)</t>
  </si>
  <si>
    <t>History: total less segments (rounding/other). 3Q26E assumption 0.4 (2Q26 0.4).</t>
  </si>
  <si>
    <t>Billed business - total ($bn)</t>
  </si>
  <si>
    <t>S7; S8 (FY25)</t>
  </si>
  <si>
    <t>% Y/Y</t>
  </si>
  <si>
    <t>Y/Y change (absolute)</t>
  </si>
  <si>
    <t>% Q/Q</t>
  </si>
  <si>
    <t>Sequential change (absolute)</t>
  </si>
  <si>
    <t>Total Y/Y growth</t>
  </si>
  <si>
    <t>FX impact</t>
  </si>
  <si>
    <t>History: issuer FX-adjusted prior-year billed (earnings releases) / reported prior year - 1. 3Q26E: billed-weighted ICS and CS FX assumptions. Forecast basis differs from history (billed-weighted assumption vs issuer FX-adjusted disclosures); comparison caveat only.</t>
  </si>
  <si>
    <t>M&amp;A / scope impact</t>
  </si>
  <si>
    <t>Organic growth</t>
  </si>
  <si>
    <t>unavailable</t>
  </si>
  <si>
    <t>USCS share of billed business</t>
  </si>
  <si>
    <t>Y/Y change (bps)</t>
  </si>
  <si>
    <t>Q/Q change (bps)</t>
  </si>
  <si>
    <t>CS share of billed business</t>
  </si>
  <si>
    <t>ICS share of billed business</t>
  </si>
  <si>
    <t>G&amp;S billed growth - reported</t>
  </si>
  <si>
    <t>S7; S8 (FY25); S9. Issuer merchant-industry disclosure (rounded). Memo only - not modeled for 3Q26E.</t>
  </si>
  <si>
    <t>G&amp;S billed growth - FX-adjusted</t>
  </si>
  <si>
    <t>S7; S8 (FY25); S9</t>
  </si>
  <si>
    <t>T&amp;E billed growth - reported</t>
  </si>
  <si>
    <t>T&amp;E billed growth - FX-adjusted</t>
  </si>
  <si>
    <t>G&amp;S share of billed business</t>
  </si>
  <si>
    <t>S7; S8 (FY25); S9. Share disclosed only for the latest quarter in each supplement; FY25 and 1Q26 shares not in fetched filings (n/a).</t>
  </si>
  <si>
    <t>T&amp;E share of billed business</t>
  </si>
  <si>
    <t>Processed volumes ($bn)</t>
  </si>
  <si>
    <t>Derived: network volumes - billed business. Assumption 3Q26E: 61.8 (+6% Y/Y; 2Q26 61.0).</t>
  </si>
  <si>
    <t>Network volumes - total ($bn)</t>
  </si>
  <si>
    <t>Discount revenue build</t>
  </si>
  <si>
    <t>Discount rate (bps of billed)</t>
  </si>
  <si>
    <t>Assumption: 221.8 bps = 3Q25 223.6 less ~1.8 bps Y/Y (2Q26 -1.9 bps; 1Q26 -3.5 bps; mix shift by geography/merchant per 10-Q).</t>
  </si>
  <si>
    <t>Discount revenue</t>
  </si>
  <si>
    <t>Proprietary card base and net card fees</t>
  </si>
  <si>
    <t>Prop. CIF - opening (m)</t>
  </si>
  <si>
    <t>3Q26E opening = 2Q26 reported total 87.6, while closing H72 = sum of segments (2Q26 segment sum 87.7): mixed basis; net adds H69 0.7 vs segment net adds 0.6. Card-fee mix effect (~$1.7m) is offset in residual service fees (IS H12); ancillary mix, not independent validation.</t>
  </si>
  <si>
    <t>Gross adds - new cards acquired (m)</t>
  </si>
  <si>
    <t>S7; S8 (FY25). Assumption: 3.0m (2Q26 3.0m, 1Q26 3.1m).</t>
  </si>
  <si>
    <t>Attrition &amp; portfolio transfers (m)</t>
  </si>
  <si>
    <t>Derived: closing - opening - gross additions. Includes small business cobrand portfolio transfers (2Q26, 3Q26).</t>
  </si>
  <si>
    <t>Net additions (m)</t>
  </si>
  <si>
    <t>Prop. CIF - closing (m)</t>
  </si>
  <si>
    <t>S7; S8 (FY25). 3Q26E = sum of segment closings (different basis from reported-total opening; see J61).</t>
  </si>
  <si>
    <t>Avg proprietary CIF (m)</t>
  </si>
  <si>
    <t>Proprietary basic cards-in-force (m)</t>
  </si>
  <si>
    <t>S7; S8 (FY25). 3Q26E = USCS basic + ICS basic + CS proprietary cards (CS reports no supplementary split; 2Q26 sum 67.6 vs 67.5 reported). Mixed basis vs G79 reported total; see J61.</t>
  </si>
  <si>
    <t>Network partner cards-in-force (m)</t>
  </si>
  <si>
    <t>History derived (total - proprietary). Assumption 3Q26E 68.0 (2Q26 67.5).</t>
  </si>
  <si>
    <t>Total cards-in-force (m)</t>
  </si>
  <si>
    <t>Basic CIF incl. partners (m)</t>
  </si>
  <si>
    <t>S7; S8 (FY25). 3Q26E: proprietary basic + partner basic cards held at 2Q26 level.</t>
  </si>
  <si>
    <t>Avg prop. basic CM spending ($)</t>
  </si>
  <si>
    <t>S7; S8 (FY25). 3Q26E derived: billed business / average proprietary basic cards.</t>
  </si>
  <si>
    <t>Attrition rate (ann., % opening)</t>
  </si>
  <si>
    <t>Gross add rate (ann., % opening)</t>
  </si>
  <si>
    <t>Avg fee per card - ann. ($)</t>
  </si>
  <si>
    <t>S7; S8 (FY25). Assumption: $136 (+14% Y/Y vs $119); 2Q26 call: card fee growth to accelerate in 3Q26 and exit year in high teens.</t>
  </si>
  <si>
    <t>Net card fees</t>
  </si>
  <si>
    <t>3Q26E = average proprietary cards x annualized fee per card / 4 (issuer annualizes quarterly fee per card). Partial offset: card-fee mix differences flow to residual service fees (IS H12); revenue/EPS unaffected; not independent validation.</t>
  </si>
  <si>
    <t>Service fees and other revenue</t>
  </si>
  <si>
    <t>3Q26E derived on Income Statement as segment non-interest revenues less discount revenue and net card fees.</t>
  </si>
  <si>
    <t>Revenue by segment (total revenues net of interest expense)</t>
  </si>
  <si>
    <t>USCS - U.S. Consumer Services</t>
  </si>
  <si>
    <t>% of total revenue</t>
  </si>
  <si>
    <t>CS - Commercial Services</t>
  </si>
  <si>
    <t>ICS - International Card Services</t>
  </si>
  <si>
    <t>GMNS - Merchant &amp; Network Services</t>
  </si>
  <si>
    <t>Corporate &amp; Other (reconciling)</t>
  </si>
  <si>
    <t>Total revenues net of int. expense</t>
  </si>
  <si>
    <t>History: issuer FX-adjusted prior-year revenue / reported - 1 (earnings releases). 3Q26E linked to billed-weighted FX impact (ICS -1.5% translation; FRED H.10 averages). Different basis from history; CS/GMNS historical FX derived from integer-rounded issuer growth rates, so zeros may be rounding artefacts.</t>
  </si>
  <si>
    <t>Not disclosed: Swisscard consolidation (12-Jan-2026) and cobrand portfolio transfers not quantified by issuer at revenue level.</t>
  </si>
  <si>
    <t>Check: segments + Corp. - IS revenue</t>
  </si>
  <si>
    <t>Identity (by construction): Corporate &amp; Other is a residual, so this is 0 regardless of inputs - structural, not independent validation.</t>
  </si>
  <si>
    <t>Memo: non-interest revenues (built)</t>
  </si>
  <si>
    <t>Memo: net interest income (built)</t>
  </si>
  <si>
    <t>Corporate &amp; Other (reconciling item; not a reportable segment)</t>
  </si>
  <si>
    <t>Non-interest revenues</t>
  </si>
  <si>
    <t>History derived: consolidated less segments. 3Q26E assumption 10 (1Q26 15, 2Q26 -12).</t>
  </si>
  <si>
    <t>Net interest income</t>
  </si>
  <si>
    <t>History derived. 3Q26E assumption -90 (1Q26 -89, 2Q26 -92).</t>
  </si>
  <si>
    <t>Provisions for credit losses</t>
  </si>
  <si>
    <t>History derived. 3Q26E assumption 0.</t>
  </si>
  <si>
    <t>VCE (rewards, BD, CM services)</t>
  </si>
  <si>
    <t>History derived. 3Q26E assumption 5 (2Q26 5).</t>
  </si>
  <si>
    <t>Marketing</t>
  </si>
  <si>
    <t>History derived. 3Q26E assumption 9.</t>
  </si>
  <si>
    <t>Opex excl. GBTG gain / AML</t>
  </si>
  <si>
    <t>History derived. 3Q26E assumption 550 (2Q26 454, 1Q26 602, 3Q25 564); keeps FY26 opex growth mid-single-digit.</t>
  </si>
  <si>
    <t>Pretax income/(loss) incl. GBTG, AML</t>
  </si>
  <si>
    <t>Consolidated roll-up used by the Income Statement (segments + Corporate &amp; Other)</t>
  </si>
  <si>
    <t>Total provisions for credit losses</t>
  </si>
  <si>
    <t>Total VCE</t>
  </si>
  <si>
    <t>Total marketing</t>
  </si>
  <si>
    <t>Total opex (excl. GBTG gain / AML)</t>
  </si>
  <si>
    <t>Reserve build - card segments</t>
  </si>
  <si>
    <t>Pretax income by segment</t>
  </si>
  <si>
    <t>USCS</t>
  </si>
  <si>
    <t>CS</t>
  </si>
  <si>
    <t>ICS</t>
  </si>
  <si>
    <t>GMNS</t>
  </si>
  <si>
    <t>Corporate &amp; Other</t>
  </si>
  <si>
    <t>Pretax income - total</t>
  </si>
  <si>
    <t>Check: segment pretax - IS pretax</t>
  </si>
  <si>
    <t>Identity (by construction): Corporate &amp; Other pretax is a residual, so this is 0 regardless of inputs - structural, not independent validation.</t>
  </si>
  <si>
    <t>Geography: AXP does not report quarterly revenue by geography (Q2 2026 10-Q checked); international card issuing is the ICS segment. No Geo tab.</t>
  </si>
  <si>
    <t>Segment - USCS: U.S. Consumer Services</t>
  </si>
  <si>
    <t>Card Member base (drivers)</t>
  </si>
  <si>
    <t>Prior period closing</t>
  </si>
  <si>
    <t>Net additions / (terminations) (m)</t>
  </si>
  <si>
    <t>Derived; 3Q26E assumption. Assumption: +0.5m, in line with 1Q26 (+0.4m) and 2Q26 (+0.5m) net adds; Platinum acquisition momentum (2Q26 call).</t>
  </si>
  <si>
    <t>Prop. basic cards - opening (m)</t>
  </si>
  <si>
    <t>Net additions - basic cards (m)</t>
  </si>
  <si>
    <t>Assumption: +0.4m, in line with recent quarters (1Q26 +0.5m, 2Q26 +0.4m).</t>
  </si>
  <si>
    <t>Prop. basic cards - closing (m)</t>
  </si>
  <si>
    <t>Average prop. basic cards (m)</t>
  </si>
  <si>
    <t>Supplementary cards-in-force (m)</t>
  </si>
  <si>
    <t>Basic cards % of proprietary cards</t>
  </si>
  <si>
    <t>Avg basic Card Member spending ($)</t>
  </si>
  <si>
    <t>S7; S8 (FY25). Assumption: +5.8% Y/Y vs 3Q25 $5,291 (2Q26 +6.2% Y/Y); CFO at Barclays 16-Sep-2026: billings strong, no slowdown.</t>
  </si>
  <si>
    <t>Billed business ($bn)</t>
  </si>
  <si>
    <t>S7; S8 (FY25). 3Q26E = average cards x average spend per card (history: reported).</t>
  </si>
  <si>
    <t>USCS is U.S.-only; issuer reports FX-adjusted growth as n/a for this segment.</t>
  </si>
  <si>
    <t>Card balances and credit</t>
  </si>
  <si>
    <t>Card balances - opening ($m)</t>
  </si>
  <si>
    <t>Net change in Card balances ($m)</t>
  </si>
  <si>
    <t>Card balances - closing ($m)</t>
  </si>
  <si>
    <t>S7; S8 (FY25); 3Q26E assumption. Assumption: Sep-30-2026 U.S. Consumer Card balances $114.3bn per 8-K filed 15-Oct-2026 (held-for-investment), rounded up for non-HFI items.</t>
  </si>
  <si>
    <t>Average Card balances ($m)</t>
  </si>
  <si>
    <t>S7; S8 (FY25). History: issuer-reported average (daily). 3Q26E: simple average of opening and closing.</t>
  </si>
  <si>
    <t>NII yield on avg Card balances</t>
  </si>
  <si>
    <t>Assumption: 12.10% vs 3Q25 12.03% and 2Q26 11.75% (3Q seasonally high; 2Q26 Y/Y +18 bps).</t>
  </si>
  <si>
    <t>NWO rate - principal, int. &amp; fees</t>
  </si>
  <si>
    <t>S7; S8 (FY25). Assumption: 2.1% (P,I&amp;F); 8-K 15-Oct-2026: 3Q26 U.S. Consumer principal-only NWO 1.6% vs 1.8% in 3Q25.</t>
  </si>
  <si>
    <t>NWO rate - principal only (memo)</t>
  </si>
  <si>
    <t>S7; S8 (FY25). Memo only; not used in forecast.</t>
  </si>
  <si>
    <t>Implied net write-offs ($m)</t>
  </si>
  <si>
    <t>Rate x average balances x days/365; issuer rates are rounded to 0.1%.</t>
  </si>
  <si>
    <t>30+ days past due (% of total)</t>
  </si>
  <si>
    <t>S7; S8 (FY25). 8-K 15-Oct-2026: U.S. Consumer 30+ days past due 1.2% at 30-Sep-2026.</t>
  </si>
  <si>
    <t>Revenue build</t>
  </si>
  <si>
    <t>NIR yield (bps of billed)</t>
  </si>
  <si>
    <t>Assumption: +5.9 bps Y/Y (2Q26 +3.3 bps) as net card fee growth accelerates in 3Q26 (2Q26 call guidance).</t>
  </si>
  <si>
    <t>Interest income</t>
  </si>
  <si>
    <t>Interest expense</t>
  </si>
  <si>
    <t>S7; S8 (FY25). 3Q26E: 2Q26 interest expense scaled by average balances and days (funding cost held flat).</t>
  </si>
  <si>
    <t>Implied net write-offs</t>
  </si>
  <si>
    <t>Reserve build / (release) and other</t>
  </si>
  <si>
    <t>Assumption: modest seasonal reserve build; Sept-26 30+ DPD ticked up to 1.2% (8-K 15-Oct-2026).</t>
  </si>
  <si>
    <t>Provision rate (ann., % avg bal.)</t>
  </si>
  <si>
    <t>Revenue after provisions</t>
  </si>
  <si>
    <t>Expenses</t>
  </si>
  <si>
    <t>VCE rate (bps of billed business)</t>
  </si>
  <si>
    <t>Assumption: 243 bps of billed (2Q26 241.6, 4Q25 241.2); Platinum refresh not lapped until 4Q26 (2Q26 call).</t>
  </si>
  <si>
    <t>VCE: rewards, bus. dev., CM services</t>
  </si>
  <si>
    <t>S7; S8 (FY25). Assumption: segment share of ~10% Y/Y 2H26 marketing growth guided on 2Q26 call.</t>
  </si>
  <si>
    <t>Salaries &amp; other operating expenses</t>
  </si>
  <si>
    <t>S7; S8 (FY25). Assumption: +8% Y/Y; FY26 opex guided to mid-single-digit growth with tech investment pulled into 2H26.</t>
  </si>
  <si>
    <t>Total expenses</t>
  </si>
  <si>
    <t>Segment profit</t>
  </si>
  <si>
    <t>Pretax segment income</t>
  </si>
  <si>
    <t>Pretax margin (% of revenue)</t>
  </si>
  <si>
    <t>Pretax income - reported (memo)</t>
  </si>
  <si>
    <t>Check: computed - reported</t>
  </si>
  <si>
    <t>Segment - CS: Commercial Services</t>
  </si>
  <si>
    <t>Derived; 3Q26E assumption. Assumption: -0.3m; second small business cobrand portfolio transfer expected in 3Q26 (2Q26 call).</t>
  </si>
  <si>
    <t>S7; S8 (FY25). Assumption: $9,800 (+11% Y/Y) - card base shrinks after portfolio transfers, spend per remaining card rises (2Q26 +9.4%).</t>
  </si>
  <si>
    <t>Billed growth - reported (issuer)</t>
  </si>
  <si>
    <t>S7</t>
  </si>
  <si>
    <t>Billed growth - FX-adjusted (issuer)</t>
  </si>
  <si>
    <t>Assumption: FX immaterial for CS (2Q26 reported = FX-adjusted 5%). Historical C31:G31 derived from integer-rounded issuer reported vs FX-adjusted growth; zeros are rounding artefacts, not measured zero FX.</t>
  </si>
  <si>
    <t>S7; S8 (FY25); 3Q26E assumption. Assumption: U.S. small business balances $46.6bn at 30-Sep-2026 vs ~$45.9bn at 30-Jun (8-Ks); corporate flat.</t>
  </si>
  <si>
    <t>Assumption: 6.10% vs 2Q26 6.17%; portfolio transfer removes revolving balances.</t>
  </si>
  <si>
    <t>S7; S8 (FY25). Assumption: 2.3%; 8-K 15-Oct-2026: 3Q26 U.S. Small Business principal-only NWO 2.3% (3Q25 2.3%).</t>
  </si>
  <si>
    <t>S7; S8 (FY25). 8-K 15-Oct-2026: U.S. Small Business 30+ days past due 1.4% at 30-Sep-2026.</t>
  </si>
  <si>
    <t>90+ days past billing - corp. (%)</t>
  </si>
  <si>
    <t>S7; S8 (FY25). Assumption: flat at 0.4%.</t>
  </si>
  <si>
    <t>Assumption: +2.0 bps Y/Y (2Q26 +0.7 bps; 1Q26 n/m).</t>
  </si>
  <si>
    <t>Assumption: small build with balance growth; Sept-26 small business 30+ DPD 1.4%.</t>
  </si>
  <si>
    <t>Assumption: 140 bps (2Q26 140.6).</t>
  </si>
  <si>
    <t>S7; S8 (FY25). Assumption: +15% Y/Y, commercial product roadmap investment.</t>
  </si>
  <si>
    <t>S7; S8 (FY25). Assumption: flat Y/Y (2Q26 -2% Y/Y).</t>
  </si>
  <si>
    <t>Segment - ICS: International Card Services</t>
  </si>
  <si>
    <t>Derived; 3Q26E assumption. Assumption: +0.4m (2Q26 +0.7m incl. Swisscard effects; 1Q26 +0.2m).</t>
  </si>
  <si>
    <t>Assumption: +0.3m.</t>
  </si>
  <si>
    <t>S7; S8 (FY25). Assumption: $6,500 (+3.1% Y/Y reported) = ~12% FX-adjusted billed growth less ~1.5% FX translation.</t>
  </si>
  <si>
    <t>Assumption: -1.5% translation. FRED: EUR/USD avg 3Q26 0.86889 EUR per USD vs ~0.856 in 3Q25 (USD ~1.5% stronger); GBP similar.</t>
  </si>
  <si>
    <t>S7; S8 (FY25); 3Q26E assumption. Assumption: +2.4% Q/Q, below 2Q26 pace given FX translation.</t>
  </si>
  <si>
    <t>Assumption: 3.20% (2Q26 3.19%).</t>
  </si>
  <si>
    <t>S7; S8 (FY25). Assumption: 2.0% (flat with 2Q26).</t>
  </si>
  <si>
    <t>S7; S8 (FY25). Assumption: flat at 1.1%.</t>
  </si>
  <si>
    <t>Assumption: 280 bps (2Q26 278.2; 3Q25 283.8); mix shift continues.</t>
  </si>
  <si>
    <t>Assumption: small build.</t>
  </si>
  <si>
    <t>Assumption: 144 bps (2Q26 143.6).</t>
  </si>
  <si>
    <t>S7; S8 (FY25). Assumption: +10% Y/Y.</t>
  </si>
  <si>
    <t>S7; S8 (FY25). Assumption: +8% Y/Y (2Q26 +13% incl. Swisscard consolidation).</t>
  </si>
  <si>
    <t>Segment - GMNS: Global Merchant and Network Services</t>
  </si>
  <si>
    <t>Network volume drivers</t>
  </si>
  <si>
    <t>Billed business - proprietary ($bn)</t>
  </si>
  <si>
    <t>Network volumes ($bn)</t>
  </si>
  <si>
    <t>NV growth - reported (issuer)</t>
  </si>
  <si>
    <t>NV growth - FX-adjusted (issuer)</t>
  </si>
  <si>
    <t>History derived from integer-rounded issuer reported vs FX-adjusted growth (rounding artefacts possible). 3Q26E linked to billed-weighted consolidated FX assumption (different basis).</t>
  </si>
  <si>
    <t>NIR yield (bps of NV)</t>
  </si>
  <si>
    <t>Assumption: 37.2 bps (3Q25 37.2, 2Q26 37.1).</t>
  </si>
  <si>
    <t>S7; S8 (FY25). Assumption: 8 (2Q26 8).</t>
  </si>
  <si>
    <t>Interest expense / (benefit)</t>
  </si>
  <si>
    <t>S7; S8 (FY25). Negative = internal funding credit for merchant payables. 3Q26E derived from NII assumption.</t>
  </si>
  <si>
    <t>Assumption: 180 (2Q26 177, 1Q26 179).</t>
  </si>
  <si>
    <t>Provisions and expenses</t>
  </si>
  <si>
    <t>S7; S8 (FY25). Assumption: 8 (2Q26 10; 4Q25 70 one-off).</t>
  </si>
  <si>
    <t>BD &amp; CMS rate (bps of NV)</t>
  </si>
  <si>
    <t>Assumption: 6.40 bps (2Q26 6.35, 4Q25 6.74).</t>
  </si>
  <si>
    <t>Business dev. and CM services</t>
  </si>
  <si>
    <t>S7; S8 (FY25). Assumption: +10% Y/Y (2H26 marketing guide ~+10%).</t>
  </si>
  <si>
    <t>S7; S8 (FY25). Assumption: +3% Y/Y.</t>
  </si>
  <si>
    <t>Income Statement - as reported (GAAP) with bridge to normalized EPS</t>
  </si>
  <si>
    <t>Revenues</t>
  </si>
  <si>
    <t>S7; S8 (FY25). 3Q26E derived: segment-built non-interest revenues less discount revenue and net card fees.</t>
  </si>
  <si>
    <t>Total non-interest revenues</t>
  </si>
  <si>
    <t>Interest on Card balances &amp; loans</t>
  </si>
  <si>
    <t>S7; S8 (FY25). 3Q26E derived: segment-built NII + interest expense - other interest income.</t>
  </si>
  <si>
    <t>Interest on investment securities</t>
  </si>
  <si>
    <t>Deposits with banks and other</t>
  </si>
  <si>
    <t>S7; S8 (FY25). 3Q26E: opening (30-Jun-2026) cash x yield (avoids circularity with the cash plug).</t>
  </si>
  <si>
    <t>Total interest income</t>
  </si>
  <si>
    <t>Interest expense - deposits</t>
  </si>
  <si>
    <t>S7; S8 (FY25). 3Q26E uses derived average customer deposits = AVERAGE(BS G34,H34) = $157,723m (derived memo, not issuer-reported).</t>
  </si>
  <si>
    <t>Interest expense - LTD and other</t>
  </si>
  <si>
    <t>Total interest expense</t>
  </si>
  <si>
    <t>FX-adjusted revenue growth (issuer)</t>
  </si>
  <si>
    <t>Interest drivers</t>
  </si>
  <si>
    <t>Avg Card balances and Other loans</t>
  </si>
  <si>
    <t>S7; S8 (FY25). 3Q26E: card segment average balances + average gross Other loans (Balance Sheet).</t>
  </si>
  <si>
    <t>Yield on Card balances &amp; Other loans</t>
  </si>
  <si>
    <t>Derived/presentation only: 3Q26E H20 (and H12, H90, H114) are residuals of the segment build, so consolidated yield/rate rows 45 and 52-61 do not independently drive NII or EPS.</t>
  </si>
  <si>
    <t>Net interest yield on avg loans</t>
  </si>
  <si>
    <t>Model NIM proxy (NII / avg Card balances &amp; Other loans) - not issuer-defined NIM; reported net interest yield memo in row 51 (3Q26E n/a).</t>
  </si>
  <si>
    <t>Net interest yield - reported (memo)</t>
  </si>
  <si>
    <t>Yield on investment securities</t>
  </si>
  <si>
    <t>Assumption 4.3% (2Q26 derived 4.3%). FY: on average of Dec-24 and Dec-25 balances. Presentation only (NII set by segment build).</t>
  </si>
  <si>
    <t>Yield on opening cash (annualized)</t>
  </si>
  <si>
    <t>Assumption 3.65% (2Q26 derived 3.37% on opening cash; Fed raised rates in Sep-2026). FY: on average of Dec-24 and Dec-25 cash. Presentation only (NII set by segment build).</t>
  </si>
  <si>
    <t>Cost of customer deposits (ann.)</t>
  </si>
  <si>
    <t>Assumption 3.22% (2Q26 derived 3.25%, 1Q26 3.36%). Presentation only (NII set by segment build).</t>
  </si>
  <si>
    <t>Cost of LTD &amp; ST borrowings</t>
  </si>
  <si>
    <t>Assumption 4.60% (2Q26 derived 4.58%). Presentation only (NII set by segment build).</t>
  </si>
  <si>
    <t>Card balances</t>
  </si>
  <si>
    <t>S7; S8 (FY25). FY25 = Card Member receivables 751 + Card Member loans 4,067 (pre-2026 presentation).</t>
  </si>
  <si>
    <t>Other</t>
  </si>
  <si>
    <t>S7; S8 (FY25). Assumption 65 (3Q25 67, 2Q26 67).</t>
  </si>
  <si>
    <t>2Q26 1,084 per quarterly supplement (S7); Cash Flow G11 YTD-derived 1,085 (6M26 less 3M26). $1m quarter-vs-YTD rounding; both sourced figures preserved.</t>
  </si>
  <si>
    <t>Card Member rewards</t>
  </si>
  <si>
    <t>Rewards rate (bps of billed)</t>
  </si>
  <si>
    <t>Assumption 110.0 bps (3Q25 109.5, 2Q26 110.8).</t>
  </si>
  <si>
    <t>Business development</t>
  </si>
  <si>
    <t>Bus. development rate (bps)</t>
  </si>
  <si>
    <t>Assumption 38.5 bps (2Q26 38.5).</t>
  </si>
  <si>
    <t>Card Member services</t>
  </si>
  <si>
    <t>S7; S8 (FY25). 3Q26E derived: segment-built VCE less rewards and business development.</t>
  </si>
  <si>
    <t>Variable customer engagement (VCE)</t>
  </si>
  <si>
    <t>VCE as % of revenue</t>
  </si>
  <si>
    <t>Salaries and employee benefits</t>
  </si>
  <si>
    <t>S7; S8 (FY25). Assumption 2,380 (+6.3% Y/Y).</t>
  </si>
  <si>
    <t>Professional services</t>
  </si>
  <si>
    <t>S7; S8 (FY25). Assumption 650 (+4% Y/Y).</t>
  </si>
  <si>
    <t>Data processing and equipment</t>
  </si>
  <si>
    <t>S7; S8 (FY25). Assumption 840 (+12% Y/Y; technology investment pulled into 2H26).</t>
  </si>
  <si>
    <t>Other, net (excl. GBTG gain / AML)</t>
  </si>
  <si>
    <t>S7; S8 (FY25). History = Other, net as reported (no separately disclosed items). 3Q26E derived from segment opex roll-up.</t>
  </si>
  <si>
    <t>Gain on sale of GBTG stake (pretax)</t>
  </si>
  <si>
    <t>S17; S18. Issuer est. ~$975m pretax gain on ~30% GBTG stake; merger closed 29-Sep-2026 (in 3Q26). Recorded in Other, net per Accertify precedent (assumption).</t>
  </si>
  <si>
    <t>AML penalty - unreserved remainder</t>
  </si>
  <si>
    <t>S19. Assumption: 50% of $350m OCC penalty unreserved and recognized in 3Q26 (issuer: "a portion ... was reserved for in prior periods"). Amount not disclosed.</t>
  </si>
  <si>
    <t>Other, net (as reported)</t>
  </si>
  <si>
    <t>Opex excl. GBTG gain / AML remainder</t>
  </si>
  <si>
    <t>Total opex (as reported)</t>
  </si>
  <si>
    <t>Pretax income</t>
  </si>
  <si>
    <t>Pretax margin</t>
  </si>
  <si>
    <t>Pretax income excl. GBTG gain / AML</t>
  </si>
  <si>
    <t>ETR on pretax excl. GBTG gain / AML</t>
  </si>
  <si>
    <t>Assumption 23.0%: 3Q25 24.1%, 3Q24 21.8%, 1H26 22.5%; CapIQ consensus ETR 22.2%.</t>
  </si>
  <si>
    <t>Tax on pretax excl. GBTG / AML</t>
  </si>
  <si>
    <t>Tax rate on GBTG gain</t>
  </si>
  <si>
    <t>Assumption 23%; issuer has not disclosed the tax on the GBTG gain (Accertify 2024 gain was taxed at ~10%: $0.73 pretax, $0.07 tax per share).</t>
  </si>
  <si>
    <t>Tax on GBTG gain</t>
  </si>
  <si>
    <t>Tax benefit on AML penalty</t>
  </si>
  <si>
    <t>Civil money penalties are generally non-deductible (26 U.S.C. 162(f)); explicit zero, not missing data.</t>
  </si>
  <si>
    <t>Income tax provision</t>
  </si>
  <si>
    <t>Effective tax rate (GAAP)</t>
  </si>
  <si>
    <t>Net income</t>
  </si>
  <si>
    <t>2Q26 3,110 per quarterly supplement (S7); Cash Flow G10 YTD-derived 3,111 (6M26 less 3M26). $1m quarter-vs-YTD rounding; both sourced figures preserved.</t>
  </si>
  <si>
    <t>Net margin</t>
  </si>
  <si>
    <t>Preferred share dividends</t>
  </si>
  <si>
    <t>S7; S8 (FY25). Assumption 14 (3Q pattern: 3Q25 14).</t>
  </si>
  <si>
    <t>Participating awards (% of NI)</t>
  </si>
  <si>
    <t>Assumption 0.66% of net income (3Q25 0.69%, 2Q26 0.64%).</t>
  </si>
  <si>
    <t>Earnings to participating awards</t>
  </si>
  <si>
    <t>Net income to common shareholders</t>
  </si>
  <si>
    <t>Avg shares outstanding - basic (m)</t>
  </si>
  <si>
    <t>Avg shares outstanding - diluted (m)</t>
  </si>
  <si>
    <t>Basic EPS (GAAP)</t>
  </si>
  <si>
    <t>Diluted EPS (GAAP)</t>
  </si>
  <si>
    <t>Diluted EPS - as reported (memo)</t>
  </si>
  <si>
    <t>Check: diluted EPS vs reported</t>
  </si>
  <si>
    <t>Dividends declared per share ($)</t>
  </si>
  <si>
    <t>S7; S8 (FY25). Declared $0.95 for 3Q26 (record 9-Oct-2026, paid 10-Nov-2026).</t>
  </si>
  <si>
    <t>GAAP to normalized (consensus basis) bridge</t>
  </si>
  <si>
    <t>Net income to common (GAAP)</t>
  </si>
  <si>
    <t>(-) GBTG gain, pretax</t>
  </si>
  <si>
    <t>(+) Tax on GBTG gain</t>
  </si>
  <si>
    <t>(+) AML penalty remainder</t>
  </si>
  <si>
    <t>(-) Tax benefit on AML penalty</t>
  </si>
  <si>
    <t>(+/-) Participating allocation</t>
  </si>
  <si>
    <t>Normalized net income to common</t>
  </si>
  <si>
    <t>Normalized diluted EPS</t>
  </si>
  <si>
    <t>Scored forecast. Basis judgments: excludes assumed $175m AML remainder (HIGH basis risk; see H178) and ~$975m GBTG gain taxed at assumed 23%; any GBTG "use of gain" reinvestment spend is unmodeled (S1/S2 unresolved).</t>
  </si>
  <si>
    <t>CapIQ normalized EPS actual</t>
  </si>
  <si>
    <t>Check: normalized EPS - CapIQ actual</t>
  </si>
  <si>
    <t>Check: EPS = NI / diluted shares</t>
  </si>
  <si>
    <t>Identity (by construction): H159 = H154/H157, so this is always 0 - structural, not independent validation.</t>
  </si>
  <si>
    <t>Memo: normalized EPS incl. AML remainder (sensitivity only)</t>
  </si>
  <si>
    <t>HIGH basis risk sensitivity: if CapIQ normalized EPS retains the assumed $175m unreserved AML remainder (amount undisclosed; S19 says only a portion was previously reserved), comparable EPS = H178 vs scored H173. Not the forecast.</t>
  </si>
  <si>
    <t>FY25 reconciliation to component quarters (FY = 1H25 + 3Q25 + 4Q25)</t>
  </si>
  <si>
    <t>Check: FY25 revenue - quarters</t>
  </si>
  <si>
    <t>Check: FY25 provisions - sum of qtrs</t>
  </si>
  <si>
    <t>Check: FY25 expenses - sum of qtrs</t>
  </si>
  <si>
    <t>Check: FY25 pretax - sum of qtrs</t>
  </si>
  <si>
    <t>Check: FY25 net income - sum of qtrs</t>
  </si>
  <si>
    <t>Check: FY25 NI common - quarters</t>
  </si>
  <si>
    <t>Balance Sheet - as reported (period end)</t>
  </si>
  <si>
    <t>Assets</t>
  </si>
  <si>
    <t>Cash and due from banks</t>
  </si>
  <si>
    <t>S3; S4; S5. 3Q26E held flat; total cash is the balancing item.</t>
  </si>
  <si>
    <t>Interest-bearing bank deposits</t>
  </si>
  <si>
    <t>S3; S4; S5</t>
  </si>
  <si>
    <t>Short-term investment securities</t>
  </si>
  <si>
    <t>Total cash and cash equivalents</t>
  </si>
  <si>
    <t>3Q26E: balancing item (total liabilities + equity - non-cash assets).</t>
  </si>
  <si>
    <t>Card balances (gross)</t>
  </si>
  <si>
    <t>S3; S4; S5; supplements</t>
  </si>
  <si>
    <t>Less: reserves - Card balances</t>
  </si>
  <si>
    <t>Card balances, less reserves</t>
  </si>
  <si>
    <t>S3; S4; S5. 3Q25: Card Member receivables 60,823 + Card Member loans 138,946 (pre-2026 presentation). History hardcoded as reported (gross - reserve differs by $1m in 1Q26 on rounding).</t>
  </si>
  <si>
    <t>Reserve as % of Card balances</t>
  </si>
  <si>
    <t>Card balances held for sale</t>
  </si>
  <si>
    <t>S3; S4; S5. Assumption: second small business cobrand portfolio transferred in 3Q26 (2Q26 call).</t>
  </si>
  <si>
    <t>Other loans (gross)</t>
  </si>
  <si>
    <t>S7; S8. Assumption 3Q26E: 11,600 (+1.5% Q/Q; 2Q26 +5.3% Q/Q).</t>
  </si>
  <si>
    <t>Less: reserves - Other loans</t>
  </si>
  <si>
    <t>S7; S8. Assumption: flat reserve.</t>
  </si>
  <si>
    <t>Other loans, less reserves</t>
  </si>
  <si>
    <t>S3; S4; S5. History hardcoded as reported (gross - reserve may differ by $1m on rounding).</t>
  </si>
  <si>
    <t>Investment securities</t>
  </si>
  <si>
    <t>S3; S4; S5. Assumption: flat.</t>
  </si>
  <si>
    <t>Premises and equipment, net</t>
  </si>
  <si>
    <t>S3; S4; S5. 3Q26E: opening + capex - D&amp;A (all D&amp;A charged here for simplicity).</t>
  </si>
  <si>
    <t>Other assets</t>
  </si>
  <si>
    <t>S3; S4; S5. 3Q26E: GBTG equity-method carrying value removed on sale.</t>
  </si>
  <si>
    <t>Total assets</t>
  </si>
  <si>
    <t>Liabilities</t>
  </si>
  <si>
    <t>Customer deposits</t>
  </si>
  <si>
    <t>S3; S4; S5. Assumption: +1.5bn Q/Q.</t>
  </si>
  <si>
    <t>Accounts payable</t>
  </si>
  <si>
    <t>Short-term borrowings</t>
  </si>
  <si>
    <t>Long-term debt</t>
  </si>
  <si>
    <t>Other liabilities</t>
  </si>
  <si>
    <t>S3; S4; S5. 3Q26E: + accrued AML penalty remainder (assumed unpaid at 30-Sep).</t>
  </si>
  <si>
    <t>Total liabilities</t>
  </si>
  <si>
    <t>Shareholders' equity</t>
  </si>
  <si>
    <t>Par value per common share ($)</t>
  </si>
  <si>
    <t>S5</t>
  </si>
  <si>
    <t>Common shares (par value)</t>
  </si>
  <si>
    <t>Additional paid-in capital</t>
  </si>
  <si>
    <t>Retained earnings</t>
  </si>
  <si>
    <t>S3; S4; S5. 3Q26E: + net income - dividends (common and preferred) - buyback cost in excess of par.</t>
  </si>
  <si>
    <t>Accumulated OCI (loss)</t>
  </si>
  <si>
    <t>S3; S4; S5. Assumption: no OCI in 3Q26E.</t>
  </si>
  <si>
    <t>Total shareholders' equity</t>
  </si>
  <si>
    <t>Total liabilities &amp; equity</t>
  </si>
  <si>
    <t>Check: assets - liabilities - equity</t>
  </si>
  <si>
    <t>3Q26E: identity by construction (cash H13 is the balancing item). History C52:G52 is a genuine balance check.</t>
  </si>
  <si>
    <t>Memo: Card balances (gross) % Y/Y</t>
  </si>
  <si>
    <t>Memo: Card balances by customer type (issuer disclosure)</t>
  </si>
  <si>
    <t>Consumer</t>
  </si>
  <si>
    <t>S7. 3Q26E: total Card balances x 2Q26 share (mix held flat - assumption).</t>
  </si>
  <si>
    <t>% of total Card balances</t>
  </si>
  <si>
    <t>Small business</t>
  </si>
  <si>
    <t>Corporate</t>
  </si>
  <si>
    <t>Pay-in-full Card balances (memo)</t>
  </si>
  <si>
    <t>Check: customer split - total</t>
  </si>
  <si>
    <t>Memo: preferred equity ($m)</t>
  </si>
  <si>
    <t>S7 (Appendix I)</t>
  </si>
  <si>
    <t>Memo: book value per share ($)</t>
  </si>
  <si>
    <t>Cash Flow Statement - quarterly (derived from YTD as reported)</t>
  </si>
  <si>
    <t>Operating activities</t>
  </si>
  <si>
    <t>3Q25 column = 9M25 (S3, original 10-Q) less 6M25 comparative (S5, 2Q26 10-Q); comparatives may be recast for 2026 presentation, so line-level 3Q25 classification is source-limited (totals tie, C46/C47).</t>
  </si>
  <si>
    <t>2Q26 YTD-derived 3,111 vs IS G144 3,110 (quarterly supplement): $1m quarter-vs-YTD rounding; both sourced figures preserved.</t>
  </si>
  <si>
    <t>2Q26 YTD-derived 1,085 vs IS G70 1,084 (quarterly supplement): $1m quarter-vs-YTD rounding; both sourced figures preserved.</t>
  </si>
  <si>
    <t>Depreciation and amortization</t>
  </si>
  <si>
    <t>Assumption 500 (2Q26 488).</t>
  </si>
  <si>
    <t>Stock-based compensation</t>
  </si>
  <si>
    <t>Assumption 150 (2Q26 155).</t>
  </si>
  <si>
    <t>Deferred taxes</t>
  </si>
  <si>
    <t>Assumption: explicit zero (no basis to forecast).</t>
  </si>
  <si>
    <t>Other items (incl. GBTG gain)</t>
  </si>
  <si>
    <t>3Q26E: GBTG gain reclassified to investing (dispositions).</t>
  </si>
  <si>
    <t>Originations of HFS Card balances</t>
  </si>
  <si>
    <t>Assumption: zero after portfolio transfer.</t>
  </si>
  <si>
    <t>Change in other assets</t>
  </si>
  <si>
    <t>Change in AP &amp; other liabilities</t>
  </si>
  <si>
    <t>Cash from operating activities</t>
  </si>
  <si>
    <t>Investing activities</t>
  </si>
  <si>
    <t>Sale of investments</t>
  </si>
  <si>
    <t>Assumption: investment flows netted in purchases line.</t>
  </si>
  <si>
    <t>Maturities of investments</t>
  </si>
  <si>
    <t>Assumption: netted in purchases line.</t>
  </si>
  <si>
    <t>Purchase of investments (3Q26E: net)</t>
  </si>
  <si>
    <t>Change in Card balances &amp; loans</t>
  </si>
  <si>
    <t>Capital expenditures</t>
  </si>
  <si>
    <t>Assumption -1,000 (2Q26 -898; new HQ build).</t>
  </si>
  <si>
    <t>Acquisitions, net of cash acquired</t>
  </si>
  <si>
    <t>TheFork ($700m) expected to close by end-2026, not in 3Q26 (Tripadvisor 8-K).</t>
  </si>
  <si>
    <t>Dispositions, net (GBTG proceeds)</t>
  </si>
  <si>
    <t>Cash used in investing activities</t>
  </si>
  <si>
    <t>Financing activities</t>
  </si>
  <si>
    <t>Net increase in customer deposits</t>
  </si>
  <si>
    <t>Net change in short-term borrowings</t>
  </si>
  <si>
    <t>Proceeds from long-term debt</t>
  </si>
  <si>
    <t>Assumption 3,000 issuance.</t>
  </si>
  <si>
    <t>Payments of long-term debt</t>
  </si>
  <si>
    <t>Assumption -3,000 maturities (LTD flat).</t>
  </si>
  <si>
    <t>Issuance of common shares</t>
  </si>
  <si>
    <t>Assumption: zero (de minimis; 2Q26 0).</t>
  </si>
  <si>
    <t>Repurchase of shares and other</t>
  </si>
  <si>
    <t>Dividends paid (common + preferred)</t>
  </si>
  <si>
    <t>Cash from financing activities</t>
  </si>
  <si>
    <t>Effect of exchange rates on cash</t>
  </si>
  <si>
    <t>Assumption: zero.</t>
  </si>
  <si>
    <t>Net change in cash</t>
  </si>
  <si>
    <t>Cash - beginning of period</t>
  </si>
  <si>
    <t>Cash - end of period</t>
  </si>
  <si>
    <t>Check: ending cash - Balance Sheet</t>
  </si>
  <si>
    <t>Check: CFO - reported CFO</t>
  </si>
  <si>
    <t>Memo</t>
  </si>
  <si>
    <t>CFO less capex (not issuer FCF)</t>
  </si>
  <si>
    <t>Memo only: CFO less capex. Issuer-defined FCF not identified in cached sources; issuer_defined_free_cash_flow tracked as not applicable.</t>
  </si>
  <si>
    <t>GBTG Class A shares sold (m)</t>
  </si>
  <si>
    <t>S18</t>
  </si>
  <si>
    <t>GBTG price per share ($)</t>
  </si>
  <si>
    <t>GBTG sale proceeds ($m)</t>
  </si>
  <si>
    <t>GBTG carrying value removed ($m)</t>
  </si>
  <si>
    <t>Share Count - shares outstanding, buybacks and EPS share base</t>
  </si>
  <si>
    <t>Shares outstanding - opening (m)</t>
  </si>
  <si>
    <t>Repurchase of common shares (m)</t>
  </si>
  <si>
    <t>S7; S8</t>
  </si>
  <si>
    <t>Employee plans &amp; other (derived) (m)</t>
  </si>
  <si>
    <t>History derived (includes rounding). 3Q26E assumption zero.</t>
  </si>
  <si>
    <t>Shares outstanding - closing (m)</t>
  </si>
  <si>
    <t>Weighted average shares - basic (m)</t>
  </si>
  <si>
    <t>S7; S8. 3Q26E: average of opening and closing (2Q26: (682+675)/2 = 678.5 vs reported 678).</t>
  </si>
  <si>
    <t>Dilutive share awards (m)</t>
  </si>
  <si>
    <t>Assumption 1.0m (history 1m every quarter).</t>
  </si>
  <si>
    <t>Weighted avg shares - diluted (m)</t>
  </si>
  <si>
    <t>Buybacks</t>
  </si>
  <si>
    <t>Share repurchases ($m)</t>
  </si>
  <si>
    <t>Assumption $2.0bn (2Q26 $2.3bn incl. other; CET1 10.4% in 10-11% target). GBTG proceeds received 29-Sep: return of capital assumed from 4Q26.</t>
  </si>
  <si>
    <t>Implied average repurchase price ($)</t>
  </si>
  <si>
    <t>Assumption $320: AXP market cap $227.0bn (31-Jul-2026) to $205.3bn (30-Sep-2026) on ~675m shares = ~$336 to ~$304 (finhacker.cz).</t>
  </si>
  <si>
    <t>Dividend per share declared ($)</t>
  </si>
  <si>
    <t>Share count behind the forecast EPS</t>
  </si>
  <si>
    <t>Diluted shares for 3Q26E EPS (m)</t>
  </si>
  <si>
    <t>Normalized NI to common for EPS ($m)</t>
  </si>
  <si>
    <t>Normalized diluted EPS (3Q26E)</t>
  </si>
  <si>
    <t>Guidance - issuer guidance history and record vs midpoint</t>
  </si>
  <si>
    <t>Metric</t>
  </si>
  <si>
    <t>Date given</t>
  </si>
  <si>
    <t>Low</t>
  </si>
  <si>
    <t>High</t>
  </si>
  <si>
    <t>Midpoint</t>
  </si>
  <si>
    <t>Actual</t>
  </si>
  <si>
    <t>Beat/miss</t>
  </si>
  <si>
    <t>Revenue growth</t>
  </si>
  <si>
    <t>FY2025</t>
  </si>
  <si>
    <t>Beat</t>
  </si>
  <si>
    <t>S14</t>
  </si>
  <si>
    <t>Revenue growth (raised)</t>
  </si>
  <si>
    <t>S13. Actual = FY25 reported growth 9.52% vs 9.5% midpoint (0.02pp; context only). Guidance basis (reported vs FX-adjusted) not recorded; FX-adjusted 9.30% (IS E37) would be below - not a reconciled beat.</t>
  </si>
  <si>
    <t>Diluted EPS (raised)</t>
  </si>
  <si>
    <t>S13</t>
  </si>
  <si>
    <t>FY2026</t>
  </si>
  <si>
    <t>pending</t>
  </si>
  <si>
    <t>Pending</t>
  </si>
  <si>
    <t>S12</t>
  </si>
  <si>
    <t>Diluted EPS</t>
  </si>
  <si>
    <t>Revenue growth (reaffirmed)</t>
  </si>
  <si>
    <t>S11</t>
  </si>
  <si>
    <t>Diluted EPS (reaffirmed)</t>
  </si>
  <si>
    <t>Revenue growth (raised to ~10%)</t>
  </si>
  <si>
    <t>S10. C34 applies ~10% to FY25 reported revenue; reported vs FX-adjusted guidance basis not recorded.</t>
  </si>
  <si>
    <t>Diluted EPS (maintained; excludes GBTG gain and its use)</t>
  </si>
  <si>
    <t>S10; S16</t>
  </si>
  <si>
    <t>Marketing expense growth Y/Y (~10%)</t>
  </si>
  <si>
    <t>2H2026</t>
  </si>
  <si>
    <t>S15</t>
  </si>
  <si>
    <t>Operating expense growth</t>
  </si>
  <si>
    <t>mid-single-digit</t>
  </si>
  <si>
    <t>VCE / revenue ratio</t>
  </si>
  <si>
    <t>Net card fee growth</t>
  </si>
  <si>
    <t>3Q2026</t>
  </si>
  <si>
    <t>above 15.4%</t>
  </si>
  <si>
    <t>high teens (exit)</t>
  </si>
  <si>
    <t>Credit metrics</t>
  </si>
  <si>
    <t>generally stable</t>
  </si>
  <si>
    <t>GBTG pretax gain ($m; excl. from guidance)</t>
  </si>
  <si>
    <t>S17; closed 29-Sep-2026 (S18)</t>
  </si>
  <si>
    <t>AML penalty ($m; no FY26 guide impact)</t>
  </si>
  <si>
    <t>S19</t>
  </si>
  <si>
    <t>FY2026 guidance implied for 2H26 and 4Q26 (vs this model)</t>
  </si>
  <si>
    <t>FY26 EPS guidance midpoint ($)</t>
  </si>
  <si>
    <t>1H26 reported diluted EPS ($)</t>
  </si>
  <si>
    <t>Issuer-reported 6M26 diluted EPS $8.81 (S10, Q2'26 release; Inputs C353) - not a sum of quarterly EPS.</t>
  </si>
  <si>
    <t>Implied 2H26 EPS at midpoint ($) - approximation</t>
  </si>
  <si>
    <t>APPROXIMATION: FY EPS uses annual weighted diluted shares, so half-year per-share figures are not exactly additive.</t>
  </si>
  <si>
    <t>3Q26E normalized EPS - this model ($)</t>
  </si>
  <si>
    <t>Implied 4Q26 EPS at guidance midpoint ($) - approximation</t>
  </si>
  <si>
    <t>APPROXIMATION: per-share EPS is not exactly additive across periods with different share counts.</t>
  </si>
  <si>
    <t>FY26 revenue at ~10% growth guidance ($m)</t>
  </si>
  <si>
    <t>Implied 2H26 revenue ($m)</t>
  </si>
  <si>
    <t>3Q26E revenue - this model ($m)</t>
  </si>
  <si>
    <t>Implied 4Q26 revenue ($m)</t>
  </si>
  <si>
    <t>Implied 4Q26 revenue growth Y/Y</t>
  </si>
  <si>
    <t>Record: FY25 EPS $15.38 vs initial midpoint $15.25 (beat) and raised midpoint $15.35 (beat); guidance has been set conservatively.</t>
  </si>
  <si>
    <t>Sources</t>
  </si>
  <si>
    <t>ID - title</t>
  </si>
  <si>
    <t>Published</t>
  </si>
  <si>
    <t>Publisher</t>
  </si>
  <si>
    <t>Feeds</t>
  </si>
  <si>
    <t>Retrieved (UTC)</t>
  </si>
  <si>
    <t>URL or file</t>
  </si>
  <si>
    <t>S1 - AXP_consensus.json - consensus snapshot</t>
  </si>
  <si>
    <t>S&amp;P Capital IQ (supplied file)</t>
  </si>
  <si>
    <t>Cover consensus; Inputs A</t>
  </si>
  <si>
    <t>workspace/AXP_consensus.json</t>
  </si>
  <si>
    <t>S2 - AXP_history.csv - six-quarter actual vs consensus</t>
  </si>
  <si>
    <t>Inputs B; prior calibration; IS CapIQ memo</t>
  </si>
  <si>
    <t>workspace/AXP_history.csv</t>
  </si>
  <si>
    <t>S3 - Form 10-Q, quarter ended 30-Sep-2025</t>
  </si>
  <si>
    <t>American Express (SEC 10-Q)</t>
  </si>
  <si>
    <t>Balance Sheet 3Q25; Inputs F (9M25 cash flow)</t>
  </si>
  <si>
    <t>https://www.sec.gov/Archives/edgar/data/4962/000000496225000222/axp-20250930.htm</t>
  </si>
  <si>
    <t>S4 - Form 10-Q, quarter ended 31-Mar-2026</t>
  </si>
  <si>
    <t>Balance Sheet 1Q26; Inputs F (3M26 cash flow)</t>
  </si>
  <si>
    <t>https://www.sec.gov/Archives/edgar/data/4962/000000496226000192/axp-20260331.htm</t>
  </si>
  <si>
    <t>S5 - Form 10-Q, quarter ended 30-Jun-2026</t>
  </si>
  <si>
    <t>Balance Sheet 2Q26 and Dec-25; Inputs F (6M26, 6M25); Swisscard, legal reserves, portfolio sale</t>
  </si>
  <si>
    <t>https://www.sec.gov/Archives/edgar/data/4962/000000496226000322/axp-20260630.htm</t>
  </si>
  <si>
    <t>S6 - Form 10-K FY2025 - consolidated statements of cash flows (XBRL R8)</t>
  </si>
  <si>
    <t>American Express (SEC 10-K)</t>
  </si>
  <si>
    <t>Inputs F (FY25 cash flow)</t>
  </si>
  <si>
    <t>https://www.sec.gov/Archives/edgar/data/4962/000000496226000080/R8.htm</t>
  </si>
  <si>
    <t>S7 - Q2'26 supplemental financial tables</t>
  </si>
  <si>
    <t>American Express (8-K Ex. 99.2)</t>
  </si>
  <si>
    <t>IS, segments, credit, share count 3Q25-2Q26; 1H25; 2Q25 comparatives</t>
  </si>
  <si>
    <t>https://www.sec.gov/Archives/edgar/data/4962/000000496226000318/q226exhibit992.htm</t>
  </si>
  <si>
    <t>S8 - Q4'25 supplemental financial tables</t>
  </si>
  <si>
    <t>FY25 columns; FY24, 4Q24, 1Q25 comparatives</t>
  </si>
  <si>
    <t>https://www.sec.gov/Archives/edgar/data/4962/000000496226000037/q425exhibit992.htm</t>
  </si>
  <si>
    <t>S9 - Q3'25 supplemental financial tables</t>
  </si>
  <si>
    <t>3Q24 comparatives</t>
  </si>
  <si>
    <t>https://www.sec.gov/Archives/edgar/data/4962/000000496225000218/q325exhibit992.htm</t>
  </si>
  <si>
    <t>S10 - Q2'26 earnings release</t>
  </si>
  <si>
    <t>American Express (8-K Ex. 99.1)</t>
  </si>
  <si>
    <t>Guidance (FY26 revenue ~10%, EPS $17.30-17.90); FX-adjusted prior-year revenue/billed; 6M26 diluted EPS memo (Inputs C353)</t>
  </si>
  <si>
    <t>https://www.sec.gov/Archives/edgar/data/4962/000000496226000318/q226exhibit991.htm</t>
  </si>
  <si>
    <t>S11 - Q1'26 earnings release</t>
  </si>
  <si>
    <t>Guidance reaffirmed; FX-adjusted prior-year revenue/billed</t>
  </si>
  <si>
    <t>https://www.sec.gov/Archives/edgar/data/4962/000000496226000188/q126exhibit991.htm</t>
  </si>
  <si>
    <t>S12 - Q4'25 earnings release</t>
  </si>
  <si>
    <t>FY26 guidance; FX-adjusted prior-year revenue/billed</t>
  </si>
  <si>
    <t>https://www.sec.gov/Archives/edgar/data/4962/000000496226000037/q425exhibit991.htm</t>
  </si>
  <si>
    <t>S13 - Q3'25 earnings release</t>
  </si>
  <si>
    <t>FY25 guidance raise; FX-adjusted prior-year revenue/billed</t>
  </si>
  <si>
    <t>https://www.sec.gov/Archives/edgar/data/4962/000000496225000218/q325exhibit991v2.htm</t>
  </si>
  <si>
    <t>S14 - Q4'24 earnings release</t>
  </si>
  <si>
    <t>FY25 initial guidance</t>
  </si>
  <si>
    <t>https://www.sec.gov/Archives/edgar/data/4962/000000496225000007/q424exhibit991.htm</t>
  </si>
  <si>
    <t>S15 - AXP Q2 2026 earnings call transcript</t>
  </si>
  <si>
    <t>StockAnalysis (transcript)</t>
  </si>
  <si>
    <t>2H26 marketing, opex, VCE, card fee, credit and portfolio-transfer guidance</t>
  </si>
  <si>
    <t>https://stockanalysis.com/stocks/axp/transcripts/546571-q2-2026/</t>
  </si>
  <si>
    <t>S16 - AXP at Barclays Global Financial Services Conference</t>
  </si>
  <si>
    <t>Investing.com (transcript)</t>
  </si>
  <si>
    <t>Billing trends; EPS guidance excludes GBT gain and its use</t>
  </si>
  <si>
    <t>https://www.investing.com/news/transcripts/american-express-at-barclays-conference-growth-plan-stays-on-track-93CH-4903935</t>
  </si>
  <si>
    <t>S17 - Sale of ~30% GBTG equity interest; ~$975m pretax gain expected</t>
  </si>
  <si>
    <t>American Express (SEC 8-K)</t>
  </si>
  <si>
    <t>IS GBTG gain; bridge</t>
  </si>
  <si>
    <t>https://www.sec.gov/Archives/edgar/data/4962/000000496226000203/axp-20260504.htm</t>
  </si>
  <si>
    <t>S18 - GBTG merger consummated 29-Sep-2026; 157,786,199 shares at $9.50 cash</t>
  </si>
  <si>
    <t>American Express (Schedule 13D/A)</t>
  </si>
  <si>
    <t>CF GBTG proceeds; timing in 3Q26</t>
  </si>
  <si>
    <t>https://www.sec.gov/Archives/edgar/data/4962/0000004962-26-000357.txt</t>
  </si>
  <si>
    <t>S19 - Fed/OCC consent orders; $350m OCC penalty (partly reserved)</t>
  </si>
  <si>
    <t>IS AML penalty remainder; bridge; P(beat)</t>
  </si>
  <si>
    <t>https://www.sec.gov/Archives/edgar/data/4962/000000496226000376/axp-20261008.htm</t>
  </si>
  <si>
    <t>S20 - September 2026 U.S. consumer / small business credit metrics and balances</t>
  </si>
  <si>
    <t>StockTitan (copy of AXP 8-K)</t>
  </si>
  <si>
    <t>USCS/CS 3Q26E NWO, delinquency, balances</t>
  </si>
  <si>
    <t>https://www.stocktitan.net/sec-filings/AXP/8-k-american-express-co-reports-material-event-3c88697d3b1a.html</t>
  </si>
  <si>
    <t>S21 - July 2026 credit metrics; June write-off recovery sale</t>
  </si>
  <si>
    <t>Credit trend context</t>
  </si>
  <si>
    <t>https://www.sec.gov/Archives/edgar/data/4962/000000496226000345/axp-20260817.htm</t>
  </si>
  <si>
    <t>S22 - AXP plans 3Q26 earnings call on Friday 23-Oct-2026</t>
  </si>
  <si>
    <t>Business Wire via Nasdaq</t>
  </si>
  <si>
    <t>Cover expected report date</t>
  </si>
  <si>
    <t>https://www.nasdaq.com/press-release/american-express-plans-live-audio-webcast-third-quarter-2026-earnings-conference-call</t>
  </si>
  <si>
    <t>S23 - JPMorgan 3Q26: card sales volume +10%, Card NCO 2.91%</t>
  </si>
  <si>
    <t>PYMNTS</t>
  </si>
  <si>
    <t>Peer spend/credit evidence</t>
  </si>
  <si>
    <t>https://www.pymnts.com/earnings/2026/jpmorgan-card-spending-hits-539-billion-as-credit-improves/</t>
  </si>
  <si>
    <t>S24 - 3Q26 earnings presentation (U.S. cards spend +13%)</t>
  </si>
  <si>
    <t>Citigroup</t>
  </si>
  <si>
    <t>Peer spend evidence</t>
  </si>
  <si>
    <t>https://www.citigroup.com/rcs/citigpa/storage/public/Earnings/Q32026/2026psqtr3rslt.pdf</t>
  </si>
  <si>
    <t>S25 - 3Q26 results: combined card spend +8%</t>
  </si>
  <si>
    <t>Bank of America (8-K Ex. 99.1)</t>
  </si>
  <si>
    <t>https://investor.bankofamerica.com/regulatory-and-other-filings/select-sec-filings/content/0000070858-26-000481/bac09302026ex991.htm</t>
  </si>
  <si>
    <t>S26 - Consumer Checkpoint October 2026 (Sept card spend +6.2% Y/Y)</t>
  </si>
  <si>
    <t>Bank of America Institute</t>
  </si>
  <si>
    <t>Macro spend evidence</t>
  </si>
  <si>
    <t>https://institute.bankofamerica.com/economic-insights/consumer-checkpoint-october-2026.html</t>
  </si>
  <si>
    <t>S27 - USD in 3Q26; EUR per USD average 0.86889 (3Q26)</t>
  </si>
  <si>
    <t>FRED / DataPorium</t>
  </si>
  <si>
    <t>FX impact assumptions (ICS, consolidated)</t>
  </si>
  <si>
    <t>https://fred.stlouisfed.org/release/tables?eid=717192&amp;rid=205</t>
  </si>
  <si>
    <t>S28 - AXP market cap $211.77bn (16-Oct-2026)</t>
  </si>
  <si>
    <t>StockAnalysis</t>
  </si>
  <si>
    <t>Prior calibration (size bucket)</t>
  </si>
  <si>
    <t>https://stockanalysis.com/stocks/axp/market-cap/</t>
  </si>
  <si>
    <t>S29 - AXP index memberships (S&amp;P 500, Dow Jones)</t>
  </si>
  <si>
    <t>whichindex.com</t>
  </si>
  <si>
    <t>Prior calibration (S&amp;P 500 flag)</t>
  </si>
  <si>
    <t>https://whichindex.com/companies/american-express/</t>
  </si>
  <si>
    <t>S30 - Will rising expenses affect AXP Q3 earnings? (consensus $4.47, $20.13bn)</t>
  </si>
  <si>
    <t>Zacks via Yahoo Finance</t>
  </si>
  <si>
    <t>Inputs D (newer consensus, not baseline)</t>
  </si>
  <si>
    <t>https://finance.yahoo.com/markets/stocks/articles/rising-expenses-affect-american-express-145000645.html</t>
  </si>
  <si>
    <t>S31 - AXP preview (consensus $4.47, whisper $4.55)</t>
  </si>
  <si>
    <t>Earnings Whispers</t>
  </si>
  <si>
    <t>https://earningswhispers.com/article/AXP/20600</t>
  </si>
  <si>
    <t>S32 - TheFork sale to AXP ($700m) expected to close by end-2026</t>
  </si>
  <si>
    <t>Tripadvisor (SEC 8-K)</t>
  </si>
  <si>
    <t>CF acquisitions = 0 in 3Q26E</t>
  </si>
  <si>
    <t>https://www.sec.gov/Archives/edgar/data/1526520/000119312526330742/trip-20260802.htm</t>
  </si>
  <si>
    <t>S33 - Q2'24 release: Accertify gain excluded from adjusted EPS</t>
  </si>
  <si>
    <t>Bridge precedent; gain in Other, net</t>
  </si>
  <si>
    <t>https://www.sec.gov/Archives/edgar/data/4962/000000496224000051/q224exhibit991.htm</t>
  </si>
  <si>
    <t>S34 - shortcut-logo.png</t>
  </si>
  <si>
    <t>Shortcut (supplied file)</t>
  </si>
  <si>
    <t>Cover logo</t>
  </si>
  <si>
    <t>workspace/shortcut-logo.png</t>
  </si>
  <si>
    <t>Omitted tab - Geo: Q2 2026 10-Q (S5) checked; AXP does not report quarterly revenue by geography, so no quarterly Geo timeline can be built (international card issuing = ICS segment).</t>
  </si>
  <si>
    <t>No Dates, Consensus or Checks tabs: period headers sit on each tab, consensus is on the Cover, and the check summary is in artifacts/checks.md.</t>
  </si>
  <si>
    <t>Target-quarter actuals: none used; 3Q26 results not released before the cutoff (report scheduled 23-Oct-2026).</t>
  </si>
  <si>
    <t>Inputs - CapIQ snapshot, history, calibration, YTD cash flows and prior-period comparatives</t>
  </si>
  <si>
    <t>A. S&amp;P Capital IQ consensus snapshot (AXP_consensus.json, captured 2026-10-18; raw values preserved, blanks kept blank)</t>
  </si>
  <si>
    <t>Field</t>
  </si>
  <si>
    <t>Raw value</t>
  </si>
  <si>
    <t>Numeric (formula)</t>
  </si>
  <si>
    <t>source</t>
  </si>
  <si>
    <t>S&amp;P Capital IQ</t>
  </si>
  <si>
    <t>S1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</si>
  <si>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</si>
  <si>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</si>
  <si>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</si>
  <si>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</si>
  <si>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</si>
  <si>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</si>
  <si>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</si>
  <si>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</si>
  <si>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</si>
  <si>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</si>
  <si>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</si>
  <si>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</si>
  <si>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</si>
  <si>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</si>
  <si>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</si>
  <si>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</si>
  <si>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</si>
  <si>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</si>
  <si>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</si>
  <si>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</si>
  <si>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</si>
  <si>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</si>
  <si>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</si>
  <si>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</si>
  <si>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target_manifest.targets[1]</t>
  </si>
  <si>
    <t>total_revenue</t>
  </si>
  <si>
    <t>target_manifest.targets[2]</t>
  </si>
  <si>
    <t>net_income_to_common</t>
  </si>
  <si>
    <t>target_manifest.targets[3]</t>
  </si>
  <si>
    <t>normalized_diluted_eps</t>
  </si>
  <si>
    <t>target_manifest.targets[4]</t>
  </si>
  <si>
    <t>gaap_diluted_eps</t>
  </si>
  <si>
    <t>target_manifest.targets[5]</t>
  </si>
  <si>
    <t>diluted_shares</t>
  </si>
  <si>
    <t>target_manifest.targets[6]</t>
  </si>
  <si>
    <t>revenue_growth</t>
  </si>
  <si>
    <t>target_manifest.targets[7]</t>
  </si>
  <si>
    <t>material_segment_revenue</t>
  </si>
  <si>
    <t>target_manifest.targets[8]</t>
  </si>
  <si>
    <t>pretax_profit</t>
  </si>
  <si>
    <t>target_manifest.targets[9]</t>
  </si>
  <si>
    <t>net_interest_income</t>
  </si>
  <si>
    <t>target_manifest.targets[10]</t>
  </si>
  <si>
    <t>fee_noninterest_income</t>
  </si>
  <si>
    <t>target_manifest.targets[11]</t>
  </si>
  <si>
    <t>operating_expenses</t>
  </si>
  <si>
    <t>target_manifest.targets[12]</t>
  </si>
  <si>
    <t>credit_loss_provisions</t>
  </si>
  <si>
    <t>target_manifest.targets[13]</t>
  </si>
  <si>
    <t>net_interest_margin</t>
  </si>
  <si>
    <t>target_manifest.targets[14]</t>
  </si>
  <si>
    <t>average_loans</t>
  </si>
  <si>
    <t>target_manifest.targets[15]</t>
  </si>
  <si>
    <t>average_deposits</t>
  </si>
  <si>
    <t>target_manifest.targets[16]</t>
  </si>
  <si>
    <t>operating_cash_flow</t>
  </si>
  <si>
    <t>target_manifest.targets[17]</t>
  </si>
  <si>
    <t>capital_expenditures</t>
  </si>
  <si>
    <t>target_manifest.targets[18]</t>
  </si>
  <si>
    <t>issuer_defined_free_cash_flow</t>
  </si>
  <si>
    <t>target_manifest.policy</t>
  </si>
  <si>
    <t>Track applicable disclosed lines; record unavailable/not applicable with a reason. Only normalized EPS is scored.</t>
  </si>
  <si>
    <t>summary_row (complete)</t>
  </si>
  <si>
    <t>company_name</t>
  </si>
  <si>
    <t>exchange_ticker</t>
  </si>
  <si>
    <t>NYSE:AXP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</si>
  <si>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</si>
  <si>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</si>
  <si>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</si>
  <si>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</si>
  <si>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</si>
  <si>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</si>
  <si>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</si>
  <si>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</si>
  <si>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</si>
  <si>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</si>
  <si>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</si>
  <si>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</si>
  <si>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</si>
  <si>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</si>
  <si>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</si>
  <si>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</si>
  <si>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</si>
  <si>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</si>
  <si>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</si>
  <si>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</si>
  <si>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</si>
  <si>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</si>
  <si>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</si>
  <si>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</si>
  <si>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</si>
  <si>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</si>
  <si>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</si>
  <si>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</si>
  <si>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</si>
  <si>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</si>
  <si>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</si>
  <si>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</si>
  <si>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</si>
  <si>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</si>
  <si>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</si>
  <si>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</si>
  <si>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</si>
  <si>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</si>
  <si>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</si>
  <si>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</si>
  <si>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</si>
  <si>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</si>
  <si>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</si>
  <si>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</si>
  <si>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</si>
  <si>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</si>
  <si>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</si>
  <si>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</si>
  <si>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</si>
  <si>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</si>
  <si>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</si>
  <si>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</si>
  <si>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</si>
  <si>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</si>
  <si>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</si>
  <si>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</si>
  <si>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</si>
  <si>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</si>
  <si>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</si>
  <si>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</si>
  <si>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</si>
  <si>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</si>
  <si>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</si>
  <si>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</si>
  <si>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</si>
  <si>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387.49/290.97</t>
  </si>
  <si>
    <t>estimates_captured_at</t>
  </si>
  <si>
    <t>notes</t>
  </si>
  <si>
    <t>a GAAP EPS "Guidance 0.95" value looks like a different line item and was excluded</t>
  </si>
  <si>
    <t>B. S&amp;P Capital IQ six-quarter history (AXP_history.csv; all six rows, 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</si>
  <si>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</si>
  <si>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</si>
  <si>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</si>
  <si>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</si>
  <si>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</si>
  <si>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</si>
  <si>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</si>
  <si>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surprise ($/sh)</t>
  </si>
  <si>
    <t>Strict beat?</t>
  </si>
  <si>
    <t>Revenue surprise ($m)</t>
  </si>
  <si>
    <t>C. Size-aware starting probability (playbook v2) and evidence updates</t>
  </si>
  <si>
    <t>Market capitalization ($bn), 2026-10-16 close</t>
  </si>
  <si>
    <t>S28. StockAnalysis: $211.77bn as of 16-Oct-2026 (close $313.59); CapIQ export market cap blank.</t>
  </si>
  <si>
    <t>Size threshold - mid-cap lower bound ($bn)</t>
  </si>
  <si>
    <t>Playbook v2</t>
  </si>
  <si>
    <t>Size threshold - large-cap lower bound ($bn)</t>
  </si>
  <si>
    <t>Cohort prior - small cap</t>
  </si>
  <si>
    <t>Cohort prior - mid cap</t>
  </si>
  <si>
    <t>Cohort prior - large cap or S&amp;P 500</t>
  </si>
  <si>
    <t>Size bucket (small $0.3-2bn / mid $2-10bn / large &gt;$10bn)</t>
  </si>
  <si>
    <t>large</t>
  </si>
  <si>
    <t>S&amp;P 500 member</t>
  </si>
  <si>
    <t>S29. whichindex.com lists AXP in S&amp;P 500 (weight ~0.25%) and the Dow Jones Industrial Average.</t>
  </si>
  <si>
    <t>Cohort prior (applied once)</t>
  </si>
  <si>
    <t>Strict normalized EPS beats in history (b)</t>
  </si>
  <si>
    <t>Valid actual-consensus pairs (n)</t>
  </si>
  <si>
    <t>Pseudo-observations (fixed)</t>
  </si>
  <si>
    <t>Starting probability = (k x prior + b) / (k + n)</t>
  </si>
  <si>
    <t>Update 1: model vs consensus</t>
  </si>
  <si>
    <t>S15-S31. Bottom-up normalized EPS above consensus by ~$0.04 (&lt; 0.5 s.d. of $0.09 dispersion).</t>
  </si>
  <si>
    <t>Update 2: AML basis risk</t>
  </si>
  <si>
    <t>S15-S31. Unreserved AML penalty remainder may stay in issuer adjusted / CapIQ normalized EPS.</t>
  </si>
  <si>
    <t>Update 3: GBTG reinvestment</t>
  </si>
  <si>
    <t>S15-S31. GBTG gain 'invest a portion' spending could be booked in 3Q26 and not adjusted out.</t>
  </si>
  <si>
    <t>Update 4: revisions</t>
  </si>
  <si>
    <t>S15-S31. Negative revisions into the print (Zacks ESP -0.17%, two cuts in prior week).</t>
  </si>
  <si>
    <t>Update 5: credit and peers</t>
  </si>
  <si>
    <t>S15-S31. 3Q26 U.S. consumer NWO 1.6% vs 1.8% LY (8-K 15-Oct-2026); peer card spend +8-13% (JPM, C, BAC).</t>
  </si>
  <si>
    <t>Final P(beat consensus normalized EPS) (rounded to 2 dp)</t>
  </si>
  <si>
    <t>Forecast confidence</t>
  </si>
  <si>
    <t>Low: one-off items (GBTG gain, AML penalty) create EPS-basis ambiguity; core model within $0.05 of consensus.</t>
  </si>
  <si>
    <t>Historical normalized surprise - mean ($/share)</t>
  </si>
  <si>
    <t>Historical normalized surprise - median ($/share)</t>
  </si>
  <si>
    <t>C2. Check tolerances used by the Cover overall check</t>
  </si>
  <si>
    <t>Tolerance - $m identities</t>
  </si>
  <si>
    <t>Tolerance - segment pretax vs reported</t>
  </si>
  <si>
    <t>Tolerance - EPS vs reported ($/share)</t>
  </si>
  <si>
    <t>Tolerance - exact identities</t>
  </si>
  <si>
    <t>D. Other consensus references observed before the cutoff (not the scoring baseline; frozen CapIQ consensus unchanged)</t>
  </si>
  <si>
    <t>Provider (publication date)</t>
  </si>
  <si>
    <t>EPS</t>
  </si>
  <si>
    <t>Revenue ($m)</t>
  </si>
  <si>
    <t>Note</t>
  </si>
  <si>
    <t>Zacks via Yahoo Finance (2026-10-16)</t>
  </si>
  <si>
    <t>S30</t>
  </si>
  <si>
    <t>Earnings Whispers (2026-10-15)</t>
  </si>
  <si>
    <t>S31; whisper $4.55</t>
  </si>
  <si>
    <t>Fiscal AI via Stocktwits (2026-10-05)</t>
  </si>
  <si>
    <t>Stocktwits 5-Oct-2026</t>
  </si>
  <si>
    <t>MarketBeat / American Banking News (2026-10-16)</t>
  </si>
  <si>
    <t>MarketBeat 16-Oct-2026</t>
  </si>
  <si>
    <t>E. 1H25 reported income statement (YTD Jun-2025, S7) for FY25 reconciliation</t>
  </si>
  <si>
    <t>Total revenues net of interest expense</t>
  </si>
  <si>
    <t>Net income attributable to common shareholders</t>
  </si>
  <si>
    <t>F. Cash flow statement - year-to-date as reported (feeds quarterly Cash Flow Statement)</t>
  </si>
  <si>
    <t>Line item</t>
  </si>
  <si>
    <t>6M25 (S5)</t>
  </si>
  <si>
    <t>9M25 (S3)</t>
  </si>
  <si>
    <t>FY25 (S6)</t>
  </si>
  <si>
    <t>3M26 (S4)</t>
  </si>
  <si>
    <t>6M26 (S5)</t>
  </si>
  <si>
    <t>S3-S6</t>
  </si>
  <si>
    <t>Other items</t>
  </si>
  <si>
    <t>Originations of Card balances held for sale</t>
  </si>
  <si>
    <t>Accounts payable &amp; other liabilities</t>
  </si>
  <si>
    <t>Maturities and redemptions of investments</t>
  </si>
  <si>
    <t>Purchase of investments</t>
  </si>
  <si>
    <t>Net (increase)/decrease in Card balances and Other loans</t>
  </si>
  <si>
    <t>Purchase of premises and equipment, net</t>
  </si>
  <si>
    <t>Dispositions, net of cash disposed</t>
  </si>
  <si>
    <t>Net increase (decrease) in short-term borrowings</t>
  </si>
  <si>
    <t>Repurchase of common shares and other</t>
  </si>
  <si>
    <t>Dividends paid</t>
  </si>
  <si>
    <t>Net cash provided by operating activities (reported)</t>
  </si>
  <si>
    <t>Net cash used in investing activities (reported)</t>
  </si>
  <si>
    <t>Net cash provided by financing activities (reported)</t>
  </si>
  <si>
    <t>Net change in cash (reported)</t>
  </si>
  <si>
    <t>G. Prior-period comparatives (reported; used for Y/Y and opening balances). Columns: 3Q24A | 4Q24A | FY24A | 1Q25A | 2Q25A</t>
  </si>
  <si>
    <t>Series</t>
  </si>
  <si>
    <t>3Q24A</t>
  </si>
  <si>
    <t>4Q24A</t>
  </si>
  <si>
    <t>FY24A</t>
  </si>
  <si>
    <t>1Q25A</t>
  </si>
  <si>
    <t>2Q25A</t>
  </si>
  <si>
    <t>Days in comparative period</t>
  </si>
  <si>
    <t>Calendar days (2024 is a leap year)</t>
  </si>
  <si>
    <t>Consolidated disc</t>
  </si>
  <si>
    <t>S9; S8; S10-S13</t>
  </si>
  <si>
    <t>Consolidated fees</t>
  </si>
  <si>
    <t>Consolidated svc</t>
  </si>
  <si>
    <t>Consolidated nir</t>
  </si>
  <si>
    <t>Consolidated ii_loans</t>
  </si>
  <si>
    <t>Consolidated ii_inv</t>
  </si>
  <si>
    <t>Consolidated ii_dep</t>
  </si>
  <si>
    <t>Consolidated ie_dep</t>
  </si>
  <si>
    <t>Consolidated ie_ltd</t>
  </si>
  <si>
    <t>Consolidated nii</t>
  </si>
  <si>
    <t>Consolidated rev</t>
  </si>
  <si>
    <t>Consolidated prov</t>
  </si>
  <si>
    <t>Consolidated rew</t>
  </si>
  <si>
    <t>Consolidated bd</t>
  </si>
  <si>
    <t>Consolidated cms</t>
  </si>
  <si>
    <t>Consolidated mkt</t>
  </si>
  <si>
    <t>Consolidated opex</t>
  </si>
  <si>
    <t>Consolidated texp</t>
  </si>
  <si>
    <t>Consolidated pretax</t>
  </si>
  <si>
    <t>Consolidated ni</t>
  </si>
  <si>
    <t>Consolidated nic</t>
  </si>
  <si>
    <t>Consolidated eps</t>
  </si>
  <si>
    <t>Consolidated rev_fxadj_py</t>
  </si>
  <si>
    <t>Consolidated billed_fxadj_py</t>
  </si>
  <si>
    <t>Consolidated billed</t>
  </si>
  <si>
    <t>S9 / S8</t>
  </si>
  <si>
    <t>Consolidated nv</t>
  </si>
  <si>
    <t>Consolidated prop_cif</t>
  </si>
  <si>
    <t>Consolidated new_cards</t>
  </si>
  <si>
    <t>Consolidated fee_per_card</t>
  </si>
  <si>
    <t>Consolidated niy_rep</t>
  </si>
  <si>
    <t>Balance card_gross</t>
  </si>
  <si>
    <t>Balance dep</t>
  </si>
  <si>
    <t>Balance cash</t>
  </si>
  <si>
    <t>Balance shares_out</t>
  </si>
  <si>
    <t>Shares basic</t>
  </si>
  <si>
    <t>Shares dil</t>
  </si>
  <si>
    <t>Processed volumes (derived)</t>
  </si>
  <si>
    <t>Discount revenue rate, bps of billed (derived)</t>
  </si>
  <si>
    <t>Rewards rate, bps of billed (derived)</t>
  </si>
  <si>
    <t>Business development rate, bps of billed (derived)</t>
  </si>
  <si>
    <t>Total VCE (derived)</t>
  </si>
  <si>
    <t>VCE / revenue (derived)</t>
  </si>
  <si>
    <t>Pretax margin (derived)</t>
  </si>
  <si>
    <t>Effective tax rate (derived)</t>
  </si>
  <si>
    <t>FX impact on revenue growth (FX-adj PY / reported PY - 1)</t>
  </si>
  <si>
    <t>FX impact on billed growth (derived)</t>
  </si>
  <si>
    <t>USCS nir</t>
  </si>
  <si>
    <t>USCS ii</t>
  </si>
  <si>
    <t>USCS ie</t>
  </si>
  <si>
    <t>USCS prov</t>
  </si>
  <si>
    <t>USCS vce</t>
  </si>
  <si>
    <t>USCS mkt</t>
  </si>
  <si>
    <t>USCS opex</t>
  </si>
  <si>
    <t>USCS billed</t>
  </si>
  <si>
    <t>USCS cif</t>
  </si>
  <si>
    <t>USCS spend</t>
  </si>
  <si>
    <t>USCS bal</t>
  </si>
  <si>
    <t>USCS nwo</t>
  </si>
  <si>
    <t>USCS dpd30</t>
  </si>
  <si>
    <t>USCS basic</t>
  </si>
  <si>
    <t>USCS average Card balances</t>
  </si>
  <si>
    <t>S8; S7 (3Q24 average not available)</t>
  </si>
  <si>
    <t>USCS net interest income (derived)</t>
  </si>
  <si>
    <t>USCS total revenues net of interest expense (derived)</t>
  </si>
  <si>
    <t>USCS total expenses (derived)</t>
  </si>
  <si>
    <t>USCS pretax segment income (derived)</t>
  </si>
  <si>
    <t>USCS pretax margin (derived)</t>
  </si>
  <si>
    <t>USCS NIR yield on billed, bps (derived)</t>
  </si>
  <si>
    <t>USCS VCE rate on billed, bps (derived)</t>
  </si>
  <si>
    <t>USCS NII yield on avg Card balances (derived)</t>
  </si>
  <si>
    <t>USCS provision rate on avg Card balances (derived)</t>
  </si>
  <si>
    <t>CS nir</t>
  </si>
  <si>
    <t>CS ii</t>
  </si>
  <si>
    <t>CS ie</t>
  </si>
  <si>
    <t>CS prov</t>
  </si>
  <si>
    <t>CS vce</t>
  </si>
  <si>
    <t>CS mkt</t>
  </si>
  <si>
    <t>CS opex</t>
  </si>
  <si>
    <t>CS billed</t>
  </si>
  <si>
    <t>CS cif</t>
  </si>
  <si>
    <t>CS spend</t>
  </si>
  <si>
    <t>CS bal</t>
  </si>
  <si>
    <t>CS nwo</t>
  </si>
  <si>
    <t>CS dpd30</t>
  </si>
  <si>
    <t>CS average Card balances</t>
  </si>
  <si>
    <t>CS net interest income (derived)</t>
  </si>
  <si>
    <t>CS total revenues net of interest expense (derived)</t>
  </si>
  <si>
    <t>CS total expenses (derived)</t>
  </si>
  <si>
    <t>CS pretax segment income (derived)</t>
  </si>
  <si>
    <t>CS pretax margin (derived)</t>
  </si>
  <si>
    <t>CS NIR yield on billed, bps (derived)</t>
  </si>
  <si>
    <t>CS VCE rate on billed, bps (derived)</t>
  </si>
  <si>
    <t>CS NII yield on avg Card balances (derived)</t>
  </si>
  <si>
    <t>CS provision rate on avg Card balances (derived)</t>
  </si>
  <si>
    <t>ICS nir</t>
  </si>
  <si>
    <t>ICS ii</t>
  </si>
  <si>
    <t>ICS ie</t>
  </si>
  <si>
    <t>ICS prov</t>
  </si>
  <si>
    <t>ICS vce</t>
  </si>
  <si>
    <t>ICS mkt</t>
  </si>
  <si>
    <t>ICS opex</t>
  </si>
  <si>
    <t>ICS billed</t>
  </si>
  <si>
    <t>ICS cif</t>
  </si>
  <si>
    <t>ICS spend</t>
  </si>
  <si>
    <t>ICS bal</t>
  </si>
  <si>
    <t>ICS nwo</t>
  </si>
  <si>
    <t>ICS dpd30</t>
  </si>
  <si>
    <t>ICS basic</t>
  </si>
  <si>
    <t>ICS average Card balances</t>
  </si>
  <si>
    <t>ICS net interest income (derived)</t>
  </si>
  <si>
    <t>ICS total revenues net of interest expense (derived)</t>
  </si>
  <si>
    <t>ICS total expenses (derived)</t>
  </si>
  <si>
    <t>ICS pretax segment income (derived)</t>
  </si>
  <si>
    <t>ICS pretax margin (derived)</t>
  </si>
  <si>
    <t>ICS NIR yield on billed, bps (derived)</t>
  </si>
  <si>
    <t>ICS VCE rate on billed, bps (derived)</t>
  </si>
  <si>
    <t>ICS NII yield on avg Card balances (derived)</t>
  </si>
  <si>
    <t>ICS provision rate on avg Card balances (derived)</t>
  </si>
  <si>
    <t>GMNS nir</t>
  </si>
  <si>
    <t>GMNS ii</t>
  </si>
  <si>
    <t>GMNS ie</t>
  </si>
  <si>
    <t>GMNS prov</t>
  </si>
  <si>
    <t>GMNS vce</t>
  </si>
  <si>
    <t>GMNS mkt</t>
  </si>
  <si>
    <t>GMNS opex</t>
  </si>
  <si>
    <t>GMNS NII (derived)</t>
  </si>
  <si>
    <t>GMNS revenue (derived)</t>
  </si>
  <si>
    <t>GMNS total expenses (derived)</t>
  </si>
  <si>
    <t>GMNS pretax (derived)</t>
  </si>
  <si>
    <t>GMNS pretax margin (derived)</t>
  </si>
  <si>
    <t>GMNS NIR yield on network volumes, bps (derived)</t>
  </si>
  <si>
    <t>GMNS BD &amp; CMS rate on network volumes, bps (derived)</t>
  </si>
  <si>
    <t>USCS share of billed business (derived)</t>
  </si>
  <si>
    <t>CS share of billed business (derived)</t>
  </si>
  <si>
    <t>ICS share of billed business (derived)</t>
  </si>
  <si>
    <t>Proprietary basic cards-in-force</t>
  </si>
  <si>
    <t>S9; S8</t>
  </si>
  <si>
    <t>Total cards-in-force incl. network partners</t>
  </si>
  <si>
    <t>Basic cards-in-force incl. network partners</t>
  </si>
  <si>
    <t>Average proprietary basic Card Member spending ($)</t>
  </si>
  <si>
    <t>Investment securities (period end)</t>
  </si>
  <si>
    <t>S9</t>
  </si>
  <si>
    <t>Long-term debt (period end)</t>
  </si>
  <si>
    <t>Short-term borrowings (period end)</t>
  </si>
  <si>
    <t>S9; S8; S7</t>
  </si>
  <si>
    <t>Other, net</t>
  </si>
  <si>
    <t>H. Issuer-reported historical memo (not a forecast driver; scored EPS unaffected)</t>
  </si>
  <si>
    <t>6M26 diluted EPS - issuer reported ($)</t>
  </si>
  <si>
    <t>S10. Q2'26 earnings release (8-K Ex. 99.1, 24-Jul-2026), Six Months Ended June 30, 2026 diluted EPS $8.81; feeds Guidance C30.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</si>
</sst>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1757" formatCode="$0.00"/>
    <numFmt numFmtId="11758" formatCode="#,##0.0_);(#,##0.0);–_)"/>
    <numFmt numFmtId="11761" formatCode="yyyy-mm-dd"/>
    <numFmt numFmtId="11766" formatCode="0.0%_);(0.0%);–_)"/>
    <numFmt numFmtId="11767" formatCode="0.0%"/>
    <numFmt numFmtId="11779" formatCode="#,##0_);(#,##0);–_)"/>
    <numFmt numFmtId="11788" formatCode="$#,##0_);($#,##0);–_)"/>
    <numFmt numFmtId="11804" formatCode="0.0"/>
  </numFmts>
  <fonts count="13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 val="0"/>
      <i/>
      <sz val="10"/>
      <color rgb="FF006100"/>
      <name val="Arial"/>
    </font>
    <font>
      <b val="0"/>
      <i val="0"/>
      <sz val="10"/>
      <color rgb="FF006100"/>
      <name val="Arial"/>
    </font>
    <font>
      <b/>
      <i val="0"/>
      <sz val="10"/>
      <color rgb="FF000000"/>
      <name val="Arial"/>
    </font>
    <font>
      <b val="0"/>
      <i/>
      <sz val="10"/>
      <color rgb="FF000000"/>
      <name val="Arial"/>
    </font>
    <font>
      <b/>
      <i val="0"/>
      <sz val="14"/>
      <color rgb="FF000000"/>
      <name val="Arial"/>
    </font>
    <font>
      <b val="0"/>
      <i val="0"/>
      <sz val="10"/>
      <color rgb="FF0000FF"/>
      <name val="Arial"/>
    </font>
    <font>
      <b/>
      <i val="0"/>
      <sz val="12"/>
      <color rgb="FF000000"/>
      <name val="Arial"/>
    </font>
    <font>
      <b/>
      <i val="0"/>
      <u/>
      <sz val="10"/>
      <color rgb="FF000000"/>
      <name val="Arial"/>
    </font>
    <font>
      <b/>
      <i val="0"/>
      <sz val="10"/>
      <color rgb="FF006100"/>
      <name val="Arial"/>
    </font>
    <font>
      <b/>
      <i val="0"/>
      <sz val="10"/>
      <color rgb="FF0000FF"/>
      <name val="Arial"/>
    </font>
    <font>
      <b val="0"/>
      <i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EAF1FB"/>
      </patternFill>
    </fill>
  </fills>
  <borders count="8">
    <border>
      <left/>
      <right/>
      <top/>
      <bottom/>
    </border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1"/>
  </cellStyleXfs>
  <cellXfs count="95">
    <xf numFmtId="0" fontId="0" fillId="0" borderId="1" xfId="0"/>
    <xf numFmtId="0" fontId="1" fillId="0" borderId="1" xfId="0"/>
    <xf numFmtId="0" fontId="8" fillId="0" borderId="1" xfId="0"/>
    <xf numFmtId="0" fontId="4" fillId="0" borderId="1" xfId="0"/>
    <xf numFmtId="0" fontId="5" fillId="0" borderId="1" xfId="0"/>
    <xf numFmtId="0" fontId="4" fillId="2" borderId="5" xfId="0"/>
    <xf numFmtId="0" fontId="4" fillId="2" borderId="5" xfId="0">
      <alignment horizontal="right" vertical="bottom"/>
    </xf>
    <xf numFmtId="0" fontId="1" fillId="2" borderId="1" xfId="0"/>
    <xf numFmtId="11761" fontId="7" fillId="2" borderId="1" xfId="0">
      <alignment horizontal="right" vertical="bottom"/>
    </xf>
    <xf numFmtId="0" fontId="1" fillId="2" borderId="6" xfId="0"/>
    <xf numFmtId="1" fontId="1" fillId="2" borderId="6" xfId="0">
      <alignment horizontal="right" vertical="bottom"/>
    </xf>
    <xf numFmtId="0" fontId="6" fillId="0" borderId="1" xfId="0"/>
    <xf numFmtId="0" fontId="1" fillId="0" borderId="1" xfId="0">
      <alignment horizontal="left" vertical="bottom"/>
    </xf>
    <xf numFmtId="0" fontId="4" fillId="2" borderId="7" xfId="0">
      <alignment vertical="bottom" wrapText="1"/>
    </xf>
    <xf numFmtId="0" fontId="4" fillId="2" borderId="7" xfId="0">
      <alignment horizontal="right" vertical="bottom" wrapText="1"/>
    </xf>
    <xf numFmtId="11758" fontId="3" fillId="3" borderId="1" xfId="0"/>
    <xf numFmtId="11758" fontId="3" fillId="0" borderId="1" xfId="0"/>
    <xf numFmtId="11758" fontId="1" fillId="0" borderId="1" xfId="0"/>
    <xf numFmtId="11766" fontId="1" fillId="0" borderId="1" xfId="0"/>
    <xf numFmtId="0" fontId="1" fillId="0" borderId="1" xfId="0">
      <alignment horizontal="right" vertical="bottom"/>
    </xf>
    <xf numFmtId="1" fontId="3" fillId="0" borderId="1" xfId="0"/>
    <xf numFmtId="11757" fontId="3" fillId="3" borderId="1" xfId="0"/>
    <xf numFmtId="11757" fontId="3" fillId="0" borderId="1" xfId="0"/>
    <xf numFmtId="11757" fontId="1" fillId="0" borderId="1" xfId="0"/>
    <xf numFmtId="0" fontId="10" fillId="3" borderId="5" xfId="0">
      <alignment horizontal="right" vertical="bottom"/>
    </xf>
    <xf numFmtId="11767" fontId="3" fillId="3" borderId="1" xfId="0">
      <alignment horizontal="right" vertical="bottom"/>
    </xf>
    <xf numFmtId="0" fontId="3" fillId="3" borderId="1" xfId="0">
      <alignment horizontal="right" vertical="bottom"/>
    </xf>
    <xf numFmtId="11758" fontId="2" fillId="0" borderId="1" xfId="0"/>
    <xf numFmtId="11757" fontId="2" fillId="0" borderId="1" xfId="0"/>
    <xf numFmtId="0" fontId="1" fillId="3" borderId="1" xfId="0"/>
    <xf numFmtId="0" fontId="9" fillId="0" borderId="1" xfId="0"/>
    <xf numFmtId="0" fontId="1" fillId="0" borderId="1" xfId="0">
      <alignment horizontal="left" vertical="bottom" indent="1"/>
    </xf>
    <xf numFmtId="11758" fontId="7" fillId="3" borderId="1" xfId="0"/>
    <xf numFmtId="11758" fontId="11" fillId="0" borderId="5" xfId="0"/>
    <xf numFmtId="11758" fontId="4" fillId="3" borderId="5" xfId="0"/>
    <xf numFmtId="0" fontId="5" fillId="0" borderId="1" xfId="0">
      <alignment horizontal="left" vertical="bottom" indent="1"/>
    </xf>
    <xf numFmtId="11766" fontId="2" fillId="0" borderId="1" xfId="0"/>
    <xf numFmtId="11766" fontId="5" fillId="3" borderId="1" xfId="0"/>
    <xf numFmtId="11758" fontId="5" fillId="3" borderId="1" xfId="0"/>
    <xf numFmtId="11766" fontId="5" fillId="0" borderId="1" xfId="0"/>
    <xf numFmtId="11758" fontId="5" fillId="0" borderId="1" xfId="0"/>
    <xf numFmtId="0" fontId="5" fillId="0" borderId="1" xfId="0">
      <alignment horizontal="left" vertical="bottom" indent="2"/>
    </xf>
    <xf numFmtId="11766" fontId="2" fillId="3" borderId="1" xfId="0"/>
    <xf numFmtId="0" fontId="5" fillId="0" borderId="1" xfId="0">
      <alignment horizontal="right" vertical="bottom"/>
    </xf>
    <xf numFmtId="0" fontId="5" fillId="3" borderId="1" xfId="0">
      <alignment horizontal="right" vertical="bottom"/>
    </xf>
    <xf numFmtId="11766" fontId="5" fillId="0" borderId="1" xfId="0">
      <alignment horizontal="right" vertical="bottom"/>
    </xf>
    <xf numFmtId="11766" fontId="5" fillId="3" borderId="1" xfId="0">
      <alignment horizontal="right" vertical="bottom"/>
    </xf>
    <xf numFmtId="11779" fontId="2" fillId="0" borderId="1" xfId="0"/>
    <xf numFmtId="11779" fontId="5" fillId="3" borderId="1" xfId="0"/>
    <xf numFmtId="11779" fontId="5" fillId="0" borderId="1" xfId="0"/>
    <xf numFmtId="11766" fontId="12" fillId="0" borderId="1" xfId="0"/>
    <xf numFmtId="11758" fontId="10" fillId="0" borderId="5" xfId="0"/>
    <xf numFmtId="11758" fontId="1" fillId="3" borderId="1" xfId="0"/>
    <xf numFmtId="11758" fontId="7" fillId="0" borderId="1" xfId="0"/>
    <xf numFmtId="11758" fontId="10" fillId="3" borderId="5" xfId="0"/>
    <xf numFmtId="11788" fontId="7" fillId="0" borderId="1" xfId="0"/>
    <xf numFmtId="11788" fontId="1" fillId="3" borderId="1" xfId="0"/>
    <xf numFmtId="11788" fontId="2" fillId="0" borderId="1" xfId="0"/>
    <xf numFmtId="11788" fontId="5" fillId="3" borderId="1" xfId="0"/>
    <xf numFmtId="11788" fontId="5" fillId="0" borderId="1" xfId="0"/>
    <xf numFmtId="11788" fontId="7" fillId="3" borderId="1" xfId="0"/>
    <xf numFmtId="11766" fontId="2" fillId="0" borderId="1" xfId="0">
      <alignment horizontal="right" vertical="bottom"/>
    </xf>
    <xf numFmtId="11766" fontId="2" fillId="3" borderId="1" xfId="0">
      <alignment horizontal="right" vertical="bottom"/>
    </xf>
    <xf numFmtId="11758" fontId="4" fillId="0" borderId="5" xfId="0"/>
    <xf numFmtId="11758" fontId="2" fillId="3" borderId="1" xfId="0"/>
    <xf numFmtId="11758" fontId="11" fillId="3" borderId="5" xfId="0"/>
    <xf numFmtId="11766" fontId="12" fillId="3" borderId="1" xfId="0"/>
    <xf numFmtId="0" fontId="1" fillId="3" borderId="1" xfId="0">
      <alignment horizontal="right" vertical="bottom"/>
    </xf>
    <xf numFmtId="11757" fontId="1" fillId="3" borderId="1" xfId="0"/>
    <xf numFmtId="11757" fontId="4" fillId="0" borderId="5" xfId="0"/>
    <xf numFmtId="11757" fontId="4" fillId="3" borderId="5" xfId="0"/>
    <xf numFmtId="11757" fontId="7" fillId="0" borderId="1" xfId="0"/>
    <xf numFmtId="2" fontId="5" fillId="0" borderId="1" xfId="0"/>
    <xf numFmtId="11757" fontId="7" fillId="3" borderId="1" xfId="0"/>
    <xf numFmtId="2" fontId="5" fillId="3" borderId="1" xfId="0"/>
    <xf numFmtId="11757" fontId="5" fillId="3" borderId="1" xfId="0"/>
    <xf numFmtId="4" fontId="7" fillId="3" borderId="1" xfId="0"/>
    <xf numFmtId="11788" fontId="1" fillId="0" borderId="1" xfId="0"/>
    <xf numFmtId="0" fontId="1" fillId="0" borderId="5" xfId="0"/>
    <xf numFmtId="0" fontId="4" fillId="2" borderId="7" xfId="0">
      <alignment horizontal="left" vertical="bottom" wrapText="1"/>
    </xf>
    <xf numFmtId="11761" fontId="7" fillId="0" borderId="1" xfId="0">
      <alignment horizontal="right" vertical="bottom"/>
    </xf>
    <xf numFmtId="11766" fontId="7" fillId="0" borderId="1" xfId="0"/>
    <xf numFmtId="11766" fontId="3" fillId="0" borderId="1" xfId="0"/>
    <xf numFmtId="0" fontId="7" fillId="0" borderId="1" xfId="0">
      <alignment horizontal="left" vertical="bottom"/>
    </xf>
    <xf numFmtId="11761" fontId="7" fillId="0" borderId="1" xfId="0">
      <alignment horizontal="left" vertical="bottom"/>
    </xf>
    <xf numFmtId="0" fontId="7" fillId="0" borderId="1" xfId="0"/>
    <xf numFmtId="11761" fontId="7" fillId="0" borderId="1" xfId="0"/>
    <xf numFmtId="2" fontId="7" fillId="0" borderId="1" xfId="0">
      <alignment horizontal="right" vertical="bottom"/>
    </xf>
    <xf numFmtId="2" fontId="1" fillId="0" borderId="1" xfId="0">
      <alignment horizontal="right" vertical="bottom"/>
    </xf>
    <xf numFmtId="11804" fontId="7" fillId="0" borderId="1" xfId="0"/>
    <xf numFmtId="1" fontId="1" fillId="0" borderId="1" xfId="0"/>
    <xf numFmtId="1" fontId="7" fillId="0" borderId="1" xfId="0"/>
    <xf numFmtId="11766" fontId="4" fillId="0" borderId="1" xfId="0"/>
    <xf numFmtId="2" fontId="1" fillId="0" borderId="1" xfId="0"/>
    <xf numFmtId="2" fontId="7" fillId="0" borderId="1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609600</xdr:colOff>
      <xdr:row>2</xdr:row>
      <xdr:rowOff>190500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38100"/>
          <a:ext cx="571500" cy="575733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8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1E709E1-C8B8-1EF8-C508-C38E72BEDCE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10.00390625" customWidth="1"/>
    <col min="2" max="2" width="46.00390625" customWidth="1"/>
    <col min="3" max="3" width="16.00390625" customWidth="1"/>
    <col min="4" max="4" width="19.00390625" customWidth="1"/>
    <col min="5" max="9" width="14.00390625" customWidth="1"/>
    <col min="10" max="10" width="60.00390625" customWidth="1"/>
  </cols>
  <sheetData>
    <row r="1" ht="16.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6.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6.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4</v>
      </c>
      <c r="D5" s="5"/>
      <c r="E5" s="5"/>
      <c r="F5" s="5"/>
      <c r="G5" s="5"/>
      <c r="H5" s="5"/>
      <c r="I5" s="5"/>
      <c r="J5" s="5"/>
      <c r="K5" s="1"/>
      <c r="L5" s="1"/>
      <c r="M5" s="1"/>
    </row>
    <row r="6" ht="15" customHeight="1">
      <c r="A6" s="1"/>
      <c r="B6" s="7" t="s">
        <v>5</v>
      </c>
      <c r="C6" s="8">
        <v>46295</v>
      </c>
      <c r="D6" s="7"/>
      <c r="E6" s="7"/>
      <c r="F6" s="7"/>
      <c r="G6" s="7"/>
      <c r="H6" s="7"/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>C6-EOMONTH(C6,-3)</f>
        <v>92</v>
      </c>
      <c r="D7" s="9"/>
      <c r="E7" s="9"/>
      <c r="F7" s="9"/>
      <c r="G7" s="9"/>
      <c r="H7" s="9"/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15" customHeight="1">
      <c r="A9" s="1"/>
      <c r="B9" s="1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15" customHeight="1">
      <c r="A11" s="1"/>
      <c r="B11" s="1" t="s">
        <v>8</v>
      </c>
      <c r="C11" s="12" t="s">
        <v>9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15" customHeight="1">
      <c r="A12" s="1"/>
      <c r="B12" s="1" t="s">
        <v>10</v>
      </c>
      <c r="C12" s="12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15" customHeight="1">
      <c r="A13" s="1"/>
      <c r="B13" s="1" t="s">
        <v>12</v>
      </c>
      <c r="C13" s="12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15" customHeight="1">
      <c r="A14" s="1"/>
      <c r="B14" s="1" t="s">
        <v>14</v>
      </c>
      <c r="C14" s="12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15" customHeight="1">
      <c r="A15" s="1"/>
      <c r="B15" s="1" t="s">
        <v>16</v>
      </c>
      <c r="C15" s="12" t="s">
        <v>17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ht="15" customHeight="1">
      <c r="A16" s="1"/>
      <c r="B16" s="1" t="s">
        <v>18</v>
      </c>
      <c r="C16" s="12" t="s">
        <v>19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15" customHeight="1">
      <c r="A17" s="1"/>
      <c r="B17" s="1" t="s">
        <v>20</v>
      </c>
      <c r="C17" s="12" t="s">
        <v>21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15" customHeight="1">
      <c r="A18" s="1"/>
      <c r="B18" s="1" t="s">
        <v>22</v>
      </c>
      <c r="C18" s="12" t="s">
        <v>23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ht="15" customHeight="1">
      <c r="A19" s="1"/>
      <c r="B19" s="1" t="s">
        <v>24</v>
      </c>
      <c r="C19" s="12" t="s">
        <v>25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34.5" customHeight="1">
      <c r="A21" s="1"/>
      <c r="B21" s="13" t="s">
        <v>26</v>
      </c>
      <c r="C21" s="14" t="s">
        <v>27</v>
      </c>
      <c r="D21" s="14" t="s">
        <v>28</v>
      </c>
      <c r="E21" s="14" t="s">
        <v>29</v>
      </c>
      <c r="F21" s="14" t="s">
        <v>30</v>
      </c>
      <c r="G21" s="14" t="s">
        <v>31</v>
      </c>
      <c r="H21" s="14" t="s">
        <v>32</v>
      </c>
      <c r="I21" s="14" t="s">
        <v>33</v>
      </c>
      <c r="J21" s="13"/>
      <c r="K21" s="1"/>
      <c r="L21" s="1"/>
      <c r="M21" s="1"/>
    </row>
    <row r="22" ht="15" customHeight="1">
      <c r="A22" s="1"/>
      <c r="B22" s="1" t="s">
        <v>34</v>
      </c>
      <c r="C22" s="15">
        <f>'Income Statement'!H34</f>
        <v>20055.77756027397</v>
      </c>
      <c r="D22" s="16">
        <f>Inputs!D80</f>
        <v>20115.51</v>
      </c>
      <c r="E22" s="17">
        <f t="shared" si="0" ref="E22:E25">C22-D22</f>
        <v>-59.73243972602722</v>
      </c>
      <c r="F22" s="18">
        <f t="shared" si="1" ref="F22:F25">C22/D22-1</f>
        <v>-0.002969471801909429</v>
      </c>
      <c r="G22" s="19" t="s">
        <v>35</v>
      </c>
      <c r="H22" s="19" t="s">
        <v>35</v>
      </c>
      <c r="I22" s="20">
        <f>Inputs!D85</f>
        <v>19</v>
      </c>
      <c r="J22" s="4" t="s">
        <v>36</v>
      </c>
      <c r="K22" s="1"/>
      <c r="L22" s="1"/>
      <c r="M22" s="1"/>
    </row>
    <row r="23" ht="15" customHeight="1">
      <c r="A23" s="1"/>
      <c r="B23" s="1" t="s">
        <v>37</v>
      </c>
      <c r="C23" s="15">
        <f>'Income Statement'!H172</f>
        <v>3046.8646632890977</v>
      </c>
      <c r="D23" s="16">
        <f>Inputs!D93</f>
        <v>3034.34</v>
      </c>
      <c r="E23" s="17">
        <f t="shared" si="0"/>
        <v>12.524663289097589</v>
      </c>
      <c r="F23" s="18">
        <f t="shared" si="1"/>
        <v>0.0041276400433365446</v>
      </c>
      <c r="G23" s="19" t="s">
        <v>35</v>
      </c>
      <c r="H23" s="19" t="s">
        <v>35</v>
      </c>
      <c r="I23" s="19" t="s">
        <v>35</v>
      </c>
      <c r="J23" s="4" t="s">
        <v>38</v>
      </c>
      <c r="K23" s="1"/>
      <c r="L23" s="1"/>
      <c r="M23" s="1"/>
    </row>
    <row r="24" ht="15" customHeight="1">
      <c r="A24" s="1"/>
      <c r="B24" s="1" t="s">
        <v>39</v>
      </c>
      <c r="C24" s="21">
        <f>'Income Statement'!H173</f>
        <v>4.528128795525317</v>
      </c>
      <c r="D24" s="22">
        <f>Inputs!D62</f>
        <v>4.49</v>
      </c>
      <c r="E24" s="23">
        <f t="shared" si="0"/>
        <v>0.038128795525317116</v>
      </c>
      <c r="F24" s="18">
        <f t="shared" si="1"/>
        <v>0.008491936642609499</v>
      </c>
      <c r="G24" s="19" t="s">
        <v>35</v>
      </c>
      <c r="H24" s="19" t="s">
        <v>35</v>
      </c>
      <c r="I24" s="20">
        <f>Inputs!D67</f>
        <v>20</v>
      </c>
      <c r="J24" s="4" t="s">
        <v>40</v>
      </c>
      <c r="K24" s="1"/>
      <c r="L24" s="1"/>
      <c r="M24" s="1"/>
    </row>
    <row r="25" ht="15" customHeight="1">
      <c r="A25" s="1"/>
      <c r="B25" s="1" t="s">
        <v>41</v>
      </c>
      <c r="C25" s="21">
        <f>'Income Statement'!H159</f>
        <v>5.37813815833416</v>
      </c>
      <c r="D25" s="22">
        <f>Inputs!D71</f>
        <v>4.51</v>
      </c>
      <c r="E25" s="23">
        <f t="shared" si="0"/>
        <v>0.8681381583341601</v>
      </c>
      <c r="F25" s="18">
        <f t="shared" si="1"/>
        <v>0.1924918311162218</v>
      </c>
      <c r="G25" s="19" t="s">
        <v>35</v>
      </c>
      <c r="H25" s="19" t="s">
        <v>35</v>
      </c>
      <c r="I25" s="20">
        <f>Inputs!D76</f>
        <v>21</v>
      </c>
      <c r="J25" s="4" t="s">
        <v>42</v>
      </c>
      <c r="K25" s="1"/>
      <c r="L25" s="1"/>
      <c r="M25" s="1"/>
    </row>
    <row r="26" ht="15" customHeight="1">
      <c r="A26" s="1"/>
      <c r="B26" s="3" t="s">
        <v>43</v>
      </c>
      <c r="C26" s="24" t="str">
        <f>IF(AND(ABS('Revenue summary'!C166)&lt;=Inputs!$C$152,ABS('Revenue summary'!D166)&lt;=Inputs!$C$152,ABS('Revenue summary'!E166)&lt;=Inputs!$C$152,ABS('Revenue summary'!F166)&lt;=Inputs!$C$152,ABS('Revenue summary'!G166)&lt;=Inputs!$C$152,ABS('Revenue summary'!H166)&lt;=Inputs!$C$152,ABS('Revenue summary'!C205)&lt;=Inputs!$C$152,ABS('Revenue summary'!D205)&lt;=Inputs!$C$152,ABS('Revenue summary'!E205)&lt;=Inputs!$C$152,ABS('Revenue summary'!F205)&lt;=Inputs!$C$152,ABS('Revenue summary'!G205)&lt;=Inputs!$C$152,ABS('Revenue summary'!H205)&lt;=Inputs!$C$152,ABS('Balance Sheet'!C52)&lt;=Inputs!$C$152,ABS('Balance Sheet'!D52)&lt;=Inputs!$C$152,ABS('Balance Sheet'!E52)&lt;=Inputs!$C$152,ABS('Balance Sheet'!F52)&lt;=Inputs!$C$152,ABS('Balance Sheet'!G52)&lt;=Inputs!$C$152,ABS('Balance Sheet'!H52)&lt;=Inputs!$C$152,ABS('Cash Flow Statement'!C46)&lt;=Inputs!$C$152,ABS('Cash Flow Statement'!D46)&lt;=Inputs!$C$152,ABS('Cash Flow Statement'!E46)&lt;=Inputs!$C$152,ABS('Cash Flow Statement'!F46)&lt;=Inputs!$C$152,ABS('Cash Flow Statement'!G46)&lt;=Inputs!$C$152,ABS('Cash Flow Statement'!H46)&lt;=Inputs!$C$152,ABS('Cash Flow Statement'!C47)&lt;=Inputs!$C$152,ABS('Cash Flow Statement'!D47)&lt;=Inputs!$C$152,ABS('Cash Flow Statement'!E47)&lt;=Inputs!$C$152,ABS('Cash Flow Statement'!F47)&lt;=Inputs!$C$152,ABS('Cash Flow Statement'!G47)&lt;=Inputs!$C$152,ABS('Income Statement'!C162)&lt;=Inputs!$C$154,ABS('Income Statement'!D162)&lt;=Inputs!$C$154,ABS('Income Statement'!E162)&lt;=Inputs!$C$154,ABS('Income Statement'!F162)&lt;=Inputs!$C$154,ABS('Income Statement'!G162)&lt;=Inputs!$C$154,ABS('Income Statement'!C176)&lt;=Inputs!$C$154,ABS('Income Statement'!D176)&lt;=Inputs!$C$154,ABS('Income Statement'!E176)&lt;=Inputs!$C$154,ABS('Income Statement'!F176)&lt;=Inputs!$C$154,ABS('Income Statement'!G176)&lt;=Inputs!$C$154,ABS('Income Statement'!H177)&lt;=Inputs!$C$155,ABS('Income Statement'!E180)&lt;=Inputs!$C$152,ABS('Income Statement'!E181)&lt;=Inputs!$C$152,ABS('Income Statement'!E182)&lt;=Inputs!$C$152,ABS('Income Statement'!E183)&lt;=Inputs!$C$152,ABS('Income Statement'!E184)&lt;=Inputs!$C$152,ABS('Income Statement'!E185)&lt;=Inputs!$C$152,ABS(C30)&lt;=Inputs!$C$155,ABS(C31)&lt;=Inputs!$C$155,ABS(C32)&lt;=Inputs!$C$155,ABS(C33)&lt;=Inputs!$C$155,ABS('Balance Sheet'!C72)&lt;=Inputs!$C$153,ABS('Balance Sheet'!D72)&lt;=Inputs!$C$153,ABS('Balance Sheet'!E72)&lt;=Inputs!$C$153,ABS('Balance Sheet'!F72)&lt;=Inputs!$C$153,ABS('Balance Sheet'!G72)&lt;=Inputs!$C$153,ABS('Balance Sheet'!H72)&lt;=Inputs!$C$153,ABS('Segment - USCS'!C145)&lt;=Inputs!$C$153,ABS('Segment - USCS'!D145)&lt;=Inputs!$C$153,ABS('Segment - USCS'!E145)&lt;=Inputs!$C$153,ABS('Segment - USCS'!F145)&lt;=Inputs!$C$153,ABS('Segment - USCS'!G145)&lt;=Inputs!$C$153,ABS('Segment - CS'!C135)&lt;=Inputs!$C$153,ABS('Segment - CS'!D135)&lt;=Inputs!$C$153,ABS('Segment - CS'!E135)&lt;=Inputs!$C$153,ABS('Segment - CS'!F135)&lt;=Inputs!$C$153,ABS('Segment - CS'!G135)&lt;=Inputs!$C$153,ABS('Segment - ICS'!C147)&lt;=Inputs!$C$153,ABS('Segment - ICS'!D147)&lt;=Inputs!$C$153,ABS('Segment - ICS'!E147)&lt;=Inputs!$C$153,ABS('Segment - ICS'!F147)&lt;=Inputs!$C$153,ABS('Segment - ICS'!G147)&lt;=Inputs!$C$153,ABS('Segment - GMNS'!C87)&lt;=Inputs!$C$153,ABS('Segment - GMNS'!D87)&lt;=Inputs!$C$153,ABS('Segment - GMNS'!E87)&lt;=Inputs!$C$153,ABS('Segment - GMNS'!F87)&lt;=Inputs!$C$153,ABS('Segment - GMNS'!G87)&lt;=Inputs!$C$153),"PASS","FAIL")</f>
        <v>PASS</v>
      </c>
      <c r="D26" s="1"/>
      <c r="E26" s="1"/>
      <c r="F26" s="1"/>
      <c r="G26" s="1"/>
      <c r="H26" s="1"/>
      <c r="I26" s="1"/>
      <c r="J26" s="4" t="s">
        <v>45</v>
      </c>
      <c r="K26" s="1"/>
      <c r="L26" s="1"/>
      <c r="M26" s="1"/>
    </row>
    <row r="27" ht="15" customHeight="1">
      <c r="A27" s="1"/>
      <c r="B27" s="1" t="s">
        <v>46</v>
      </c>
      <c r="C27" s="25">
        <f>Inputs!C146</f>
        <v>0.7</v>
      </c>
      <c r="D27" s="1"/>
      <c r="E27" s="1"/>
      <c r="F27" s="1"/>
      <c r="G27" s="1"/>
      <c r="H27" s="1"/>
      <c r="I27" s="1"/>
      <c r="J27" s="4" t="s">
        <v>47</v>
      </c>
      <c r="K27" s="1"/>
      <c r="L27" s="1"/>
      <c r="M27" s="1"/>
    </row>
    <row r="28" ht="15" customHeight="1">
      <c r="A28" s="1"/>
      <c r="B28" s="1" t="s">
        <v>48</v>
      </c>
      <c r="C28" s="26" t="str">
        <f>Inputs!C147</f>
        <v>low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ht="15" customHeight="1">
      <c r="A30" s="1"/>
      <c r="B30" s="4" t="s">
        <v>50</v>
      </c>
      <c r="C30" s="27">
        <f>C22-'Income Statement'!H34</f>
        <v>0</v>
      </c>
      <c r="D30" s="1"/>
      <c r="E30" s="1"/>
      <c r="F30" s="1"/>
      <c r="G30" s="1"/>
      <c r="H30" s="1"/>
      <c r="I30" s="1"/>
      <c r="J30" s="4" t="s">
        <v>51</v>
      </c>
      <c r="K30" s="1"/>
      <c r="L30" s="1"/>
      <c r="M30" s="1"/>
    </row>
    <row r="31" ht="15" customHeight="1">
      <c r="A31" s="1"/>
      <c r="B31" s="4" t="s">
        <v>52</v>
      </c>
      <c r="C31" s="27">
        <f>C23-'Income Statement'!H172</f>
        <v>0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ht="15" customHeight="1">
      <c r="A32" s="1"/>
      <c r="B32" s="4" t="s">
        <v>53</v>
      </c>
      <c r="C32" s="28">
        <f>C24-'Income Statement'!H173</f>
        <v>0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ht="15" customHeight="1">
      <c r="A33" s="1"/>
      <c r="B33" s="4" t="s">
        <v>54</v>
      </c>
      <c r="C33" s="28">
        <f>C25-'Income Statement'!H159</f>
        <v>0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FBC6698-3598-3D78-6749-1740E56A9C4D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62</v>
      </c>
      <c r="C9" s="1"/>
      <c r="D9" s="1"/>
      <c r="E9" s="1"/>
      <c r="F9" s="1"/>
      <c r="G9" s="1"/>
      <c r="H9" s="29"/>
      <c r="I9" s="1"/>
      <c r="J9" s="1"/>
      <c r="K9" s="1"/>
      <c r="L9" s="1"/>
      <c r="M9" s="1"/>
    </row>
    <row r="10" ht="15" customHeight="1">
      <c r="A10" s="1"/>
      <c r="B10" s="31" t="s">
        <v>63</v>
      </c>
      <c r="C10" s="16">
        <f>'Segment - USCS'!C38</f>
        <v>177.5</v>
      </c>
      <c r="D10" s="16">
        <f>'Segment - USCS'!D38</f>
        <v>189.2</v>
      </c>
      <c r="E10" s="16">
        <f>'Segment - USCS'!E38</f>
        <v>707.5</v>
      </c>
      <c r="F10" s="16">
        <f>'Segment - USCS'!F38</f>
        <v>180.2</v>
      </c>
      <c r="G10" s="16">
        <f>'Segment - USCS'!G38</f>
        <v>196.4</v>
      </c>
      <c r="H10" s="15">
        <f>'Segment - USCS'!H38</f>
        <v>197.12000000000003</v>
      </c>
      <c r="I10" s="1"/>
      <c r="J10" s="1"/>
      <c r="K10" s="1"/>
      <c r="L10" s="1"/>
      <c r="M10" s="1"/>
    </row>
    <row r="11" ht="15" customHeight="1">
      <c r="A11" s="1"/>
      <c r="B11" s="31" t="s">
        <v>64</v>
      </c>
      <c r="C11" s="16">
        <f>'Segment - CS'!C23</f>
        <v>136.3</v>
      </c>
      <c r="D11" s="16">
        <f>'Segment - CS'!D23</f>
        <v>140.9</v>
      </c>
      <c r="E11" s="16">
        <f>'Segment - CS'!E23</f>
        <v>541.9</v>
      </c>
      <c r="F11" s="16">
        <f>'Segment - CS'!F23</f>
        <v>134.4</v>
      </c>
      <c r="G11" s="16">
        <f>'Segment - CS'!G23</f>
        <v>141.8</v>
      </c>
      <c r="H11" s="15">
        <f>'Segment - CS'!H23</f>
        <v>141.61</v>
      </c>
      <c r="I11" s="1"/>
      <c r="J11" s="1"/>
      <c r="K11" s="1"/>
      <c r="L11" s="1"/>
      <c r="M11" s="1"/>
    </row>
    <row r="12" ht="15" customHeight="1">
      <c r="A12" s="1"/>
      <c r="B12" s="31" t="s">
        <v>65</v>
      </c>
      <c r="C12" s="16">
        <f>'Segment - ICS'!C38</f>
        <v>106.9</v>
      </c>
      <c r="D12" s="16">
        <f>'Segment - ICS'!D38</f>
        <v>114.3</v>
      </c>
      <c r="E12" s="16">
        <f>'Segment - ICS'!E38</f>
        <v>418</v>
      </c>
      <c r="F12" s="16">
        <f>'Segment - ICS'!F38</f>
        <v>111.7</v>
      </c>
      <c r="G12" s="16">
        <f>'Segment - ICS'!G38</f>
        <v>117.2</v>
      </c>
      <c r="H12" s="15">
        <f>'Segment - ICS'!H38</f>
        <v>117.97499999999998</v>
      </c>
      <c r="I12" s="1"/>
      <c r="J12" s="1"/>
      <c r="K12" s="1"/>
      <c r="L12" s="1"/>
      <c r="M12" s="1"/>
    </row>
    <row r="13" ht="15" customHeight="1">
      <c r="A13" s="1"/>
      <c r="B13" s="31" t="s">
        <v>66</v>
      </c>
      <c r="C13" s="17">
        <f t="shared" si="1" ref="C13:G13">C14-C10-C11-C12</f>
        <v>0.29999999999998295</v>
      </c>
      <c r="D13" s="17">
        <f t="shared" si="1"/>
        <v>0.7000000000000313</v>
      </c>
      <c r="E13" s="17">
        <f t="shared" si="1"/>
        <v>2.3999999999999773</v>
      </c>
      <c r="F13" s="17">
        <f t="shared" si="1"/>
        <v>1.7000000000000028</v>
      </c>
      <c r="G13" s="17">
        <f t="shared" si="1"/>
        <v>0.39999999999996305</v>
      </c>
      <c r="H13" s="32">
        <v>0.4</v>
      </c>
      <c r="I13" s="1"/>
      <c r="J13" s="4" t="s">
        <v>67</v>
      </c>
      <c r="K13" s="1"/>
      <c r="L13" s="1"/>
      <c r="M13" s="1"/>
    </row>
    <row r="14" ht="15" customHeight="1">
      <c r="A14" s="1"/>
      <c r="B14" s="3" t="s">
        <v>68</v>
      </c>
      <c r="C14" s="33">
        <v>421</v>
      </c>
      <c r="D14" s="33">
        <v>445.1</v>
      </c>
      <c r="E14" s="33">
        <v>1669.8</v>
      </c>
      <c r="F14" s="33">
        <v>428</v>
      </c>
      <c r="G14" s="33">
        <v>455.8</v>
      </c>
      <c r="H14" s="34">
        <f>H10+H11+H12+H13</f>
        <v>457.10499999999996</v>
      </c>
      <c r="I14" s="1"/>
      <c r="J14" s="4" t="s">
        <v>69</v>
      </c>
      <c r="K14" s="1"/>
      <c r="L14" s="1"/>
      <c r="M14" s="1"/>
    </row>
    <row r="15" ht="15" customHeight="1">
      <c r="A15" s="1"/>
      <c r="B15" s="35" t="s">
        <v>70</v>
      </c>
      <c r="C15" s="36">
        <f>C14/Inputs!C230-1</f>
        <v>0.08701265169119532</v>
      </c>
      <c r="D15" s="36">
        <f>D14/Inputs!D230-1</f>
        <v>0.08986287952987282</v>
      </c>
      <c r="E15" s="36">
        <f>E14/Inputs!E230-1</f>
        <v>0.07666516216390473</v>
      </c>
      <c r="F15" s="36">
        <f>F14/Inputs!F230-1</f>
        <v>0.10480123902942706</v>
      </c>
      <c r="G15" s="36">
        <f>G14/Inputs!G230-1</f>
        <v>0.09488349747778035</v>
      </c>
      <c r="H15" s="37">
        <f t="shared" si="13" ref="H15:H187">H14/C14-1</f>
        <v>0.08576009501187642</v>
      </c>
      <c r="I15" s="1"/>
      <c r="J15" s="1"/>
      <c r="K15" s="1"/>
      <c r="L15" s="1"/>
      <c r="M15" s="1"/>
    </row>
    <row r="16" ht="15" customHeight="1">
      <c r="A16" s="1"/>
      <c r="B16" s="35" t="s">
        <v>71</v>
      </c>
      <c r="C16" s="27">
        <f>C14-Inputs!C230</f>
        <v>33.69999999999999</v>
      </c>
      <c r="D16" s="27">
        <f>D14-Inputs!D230</f>
        <v>36.700000000000045</v>
      </c>
      <c r="E16" s="27">
        <f>E14-Inputs!E230</f>
        <v>118.89999999999986</v>
      </c>
      <c r="F16" s="27">
        <f>F14-Inputs!F230</f>
        <v>40.60000000000002</v>
      </c>
      <c r="G16" s="27">
        <f>G14-Inputs!G230</f>
        <v>39.5</v>
      </c>
      <c r="H16" s="38">
        <f t="shared" si="14" ref="H16:H106">H14-C14</f>
        <v>36.10499999999996</v>
      </c>
      <c r="I16" s="1"/>
      <c r="J16" s="1"/>
      <c r="K16" s="1"/>
      <c r="L16" s="1"/>
      <c r="M16" s="1"/>
    </row>
    <row r="17" ht="15" customHeight="1">
      <c r="A17" s="1"/>
      <c r="B17" s="35" t="s">
        <v>72</v>
      </c>
      <c r="C17" s="36">
        <f>C14/Inputs!G230-1</f>
        <v>0.011289935142925644</v>
      </c>
      <c r="D17" s="39">
        <f t="shared" si="2" ref="D17:H45">D14/C14-1</f>
        <v>0.05724465558194769</v>
      </c>
      <c r="E17" s="1"/>
      <c r="F17" s="39">
        <f t="shared" si="16" ref="F17:F45">F14/D14-1</f>
        <v>-0.03841833295888575</v>
      </c>
      <c r="G17" s="39">
        <f t="shared" si="2"/>
        <v>0.06495327102803738</v>
      </c>
      <c r="H17" s="37">
        <f t="shared" si="2"/>
        <v>0.002863097849933993</v>
      </c>
      <c r="I17" s="1"/>
      <c r="J17" s="1"/>
      <c r="K17" s="1"/>
      <c r="L17" s="1"/>
      <c r="M17" s="1"/>
    </row>
    <row r="18" ht="15" customHeight="1">
      <c r="A18" s="1"/>
      <c r="B18" s="35" t="s">
        <v>73</v>
      </c>
      <c r="C18" s="27">
        <f>C14-Inputs!G230</f>
        <v>4.699999999999989</v>
      </c>
      <c r="D18" s="40">
        <f t="shared" si="3" ref="D18:H46">D14-C14</f>
        <v>24.100000000000023</v>
      </c>
      <c r="E18" s="1"/>
      <c r="F18" s="40">
        <f t="shared" si="17" ref="F18:F46">F14-D14</f>
        <v>-17.100000000000023</v>
      </c>
      <c r="G18" s="40">
        <f t="shared" si="3"/>
        <v>27.80000000000001</v>
      </c>
      <c r="H18" s="38">
        <f t="shared" si="3"/>
        <v>1.30499999999995</v>
      </c>
      <c r="I18" s="1"/>
      <c r="J18" s="1"/>
      <c r="K18" s="1"/>
      <c r="L18" s="1"/>
      <c r="M18" s="1"/>
    </row>
    <row r="19" ht="15" customHeight="1">
      <c r="A19" s="1"/>
      <c r="B19" s="41" t="s">
        <v>74</v>
      </c>
      <c r="C19" s="39">
        <f t="shared" si="4" ref="C19:H19">C15</f>
        <v>0.08701265169119532</v>
      </c>
      <c r="D19" s="39">
        <f t="shared" si="4"/>
        <v>0.08986287952987282</v>
      </c>
      <c r="E19" s="39">
        <f t="shared" si="4"/>
        <v>0.07666516216390473</v>
      </c>
      <c r="F19" s="39">
        <f t="shared" si="4"/>
        <v>0.10480123902942706</v>
      </c>
      <c r="G19" s="39">
        <f t="shared" si="4"/>
        <v>0.09488349747778035</v>
      </c>
      <c r="H19" s="37">
        <f t="shared" si="4"/>
        <v>0.08576009501187642</v>
      </c>
      <c r="I19" s="1"/>
      <c r="J19" s="1"/>
      <c r="K19" s="1"/>
      <c r="L19" s="1"/>
      <c r="M19" s="1"/>
    </row>
    <row r="20" ht="15" customHeight="1">
      <c r="A20" s="1"/>
      <c r="B20" s="41" t="s">
        <v>75</v>
      </c>
      <c r="C20" s="36">
        <f>Inputs!C251</f>
        <v>0.0020655822359927356</v>
      </c>
      <c r="D20" s="36">
        <f>Inputs!D251</f>
        <v>0.010528893241919635</v>
      </c>
      <c r="E20" s="36">
        <f>Inputs!E251</f>
        <v>0.0029660197304790525</v>
      </c>
      <c r="F20" s="36">
        <f>Inputs!F251</f>
        <v>0.016004130098089986</v>
      </c>
      <c r="G20" s="36">
        <f>Inputs!G251</f>
        <v>0.0012010569300984208</v>
      </c>
      <c r="H20" s="42">
        <f>('Segment - ICS'!H46*'Segment - ICS'!H38+'Segment - CS'!H31*'Segment - CS'!H23)/H14</f>
        <v>-0.0038713752857658518</v>
      </c>
      <c r="I20" s="1"/>
      <c r="J20" s="4" t="s">
        <v>76</v>
      </c>
      <c r="K20" s="1"/>
      <c r="L20" s="1"/>
      <c r="M20" s="1"/>
    </row>
    <row r="21" ht="15" customHeight="1">
      <c r="A21" s="1"/>
      <c r="B21" s="41" t="s">
        <v>77</v>
      </c>
      <c r="C21" s="43" t="s">
        <v>35</v>
      </c>
      <c r="D21" s="43" t="s">
        <v>35</v>
      </c>
      <c r="E21" s="43" t="s">
        <v>35</v>
      </c>
      <c r="F21" s="43" t="s">
        <v>35</v>
      </c>
      <c r="G21" s="43" t="s">
        <v>35</v>
      </c>
      <c r="H21" s="44" t="s">
        <v>35</v>
      </c>
      <c r="I21" s="1"/>
      <c r="J21" s="1"/>
      <c r="K21" s="1"/>
      <c r="L21" s="1"/>
      <c r="M21" s="1"/>
    </row>
    <row r="22" ht="15" customHeight="1">
      <c r="A22" s="1"/>
      <c r="B22" s="41" t="s">
        <v>78</v>
      </c>
      <c r="C22" s="45" t="str">
        <f t="shared" si="5" ref="C22:H165">IF(AND(ISNUMBER(C19),ISNUMBER(C20),ISNUMBER(C21)),(1+C19)/((1+C21)*(1+C20))-1,"unavailable")</f>
        <v>unavailable</v>
      </c>
      <c r="D22" s="45" t="str">
        <f t="shared" si="5"/>
        <v>unavailable</v>
      </c>
      <c r="E22" s="45" t="str">
        <f t="shared" si="5"/>
        <v>unavailable</v>
      </c>
      <c r="F22" s="45" t="str">
        <f t="shared" si="5"/>
        <v>unavailable</v>
      </c>
      <c r="G22" s="45" t="str">
        <f t="shared" si="5"/>
        <v>unavailable</v>
      </c>
      <c r="H22" s="46" t="str">
        <f t="shared" si="5"/>
        <v>unavailable</v>
      </c>
      <c r="I22" s="1"/>
      <c r="J22" s="1"/>
      <c r="K22" s="1"/>
      <c r="L22" s="1"/>
      <c r="M22" s="1"/>
    </row>
    <row r="23" ht="15" customHeight="1">
      <c r="A23" s="1"/>
      <c r="B23" s="4" t="s">
        <v>80</v>
      </c>
      <c r="C23" s="39">
        <f t="shared" si="6" ref="C23:H23">C10/C14</f>
        <v>0.42161520190023755</v>
      </c>
      <c r="D23" s="39">
        <f t="shared" si="6"/>
        <v>0.4250730172994832</v>
      </c>
      <c r="E23" s="39">
        <f t="shared" si="6"/>
        <v>0.4237034375374296</v>
      </c>
      <c r="F23" s="39">
        <f t="shared" si="6"/>
        <v>0.42102803738317757</v>
      </c>
      <c r="G23" s="39">
        <f t="shared" si="6"/>
        <v>0.43089074155331286</v>
      </c>
      <c r="H23" s="37">
        <f t="shared" si="6"/>
        <v>0.4312357117073759</v>
      </c>
      <c r="I23" s="1"/>
      <c r="J23" s="1"/>
      <c r="K23" s="1"/>
      <c r="L23" s="1"/>
      <c r="M23" s="1"/>
    </row>
    <row r="24" ht="15" customHeight="1">
      <c r="A24" s="1"/>
      <c r="B24" s="35" t="s">
        <v>81</v>
      </c>
      <c r="C24" s="47">
        <f>(C23-Inputs!C337)*10000</f>
        <v>25.60205773204205</v>
      </c>
      <c r="D24" s="47">
        <f>(D23-Inputs!D337)*10000</f>
        <v>-9.798720247087832</v>
      </c>
      <c r="E24" s="47">
        <f>(E23-Inputs!E337)*10000</f>
        <v>14.969767727124328</v>
      </c>
      <c r="F24" s="47">
        <f>(F23-Inputs!F337)*10000</f>
        <v>-30.81410216202951</v>
      </c>
      <c r="G24" s="47">
        <f>(G23-Inputs!G337)*10000</f>
        <v>69.17645228547099</v>
      </c>
      <c r="H24" s="48">
        <f t="shared" si="9" ref="H24:H102">(H23-C23)*10000</f>
        <v>96.20509807138356</v>
      </c>
      <c r="I24" s="1"/>
      <c r="J24" s="1"/>
      <c r="K24" s="1"/>
      <c r="L24" s="1"/>
      <c r="M24" s="1"/>
    </row>
    <row r="25" ht="15" customHeight="1">
      <c r="A25" s="1"/>
      <c r="B25" s="35" t="s">
        <v>82</v>
      </c>
      <c r="C25" s="47">
        <f>(C23-Inputs!G337)*10000</f>
        <v>-23.578944245282173</v>
      </c>
      <c r="D25" s="49">
        <f t="shared" si="7" ref="D25:H103">(D23-C23)*10000</f>
        <v>34.57815399245667</v>
      </c>
      <c r="E25" s="1"/>
      <c r="F25" s="49">
        <f t="shared" si="10" ref="F25:F103">(F23-D23)*10000</f>
        <v>-40.44979916305647</v>
      </c>
      <c r="G25" s="49">
        <f t="shared" si="7"/>
        <v>98.62704170135295</v>
      </c>
      <c r="H25" s="48">
        <f t="shared" si="7"/>
        <v>3.449701540630401</v>
      </c>
      <c r="I25" s="1"/>
      <c r="J25" s="1"/>
      <c r="K25" s="1"/>
      <c r="L25" s="1"/>
      <c r="M25" s="1"/>
    </row>
    <row r="26" ht="15" customHeight="1">
      <c r="A26" s="1"/>
      <c r="B26" s="4" t="s">
        <v>83</v>
      </c>
      <c r="C26" s="39">
        <f t="shared" si="8" ref="C26:H26">C11/C14</f>
        <v>0.32375296912114016</v>
      </c>
      <c r="D26" s="39">
        <f t="shared" si="8"/>
        <v>0.3165580768366659</v>
      </c>
      <c r="E26" s="39">
        <f t="shared" si="8"/>
        <v>0.32452988381842135</v>
      </c>
      <c r="F26" s="39">
        <f t="shared" si="8"/>
        <v>0.31401869158878504</v>
      </c>
      <c r="G26" s="39">
        <f t="shared" si="8"/>
        <v>0.3111013602457218</v>
      </c>
      <c r="H26" s="37">
        <f t="shared" si="8"/>
        <v>0.3097975301079621</v>
      </c>
      <c r="I26" s="1"/>
      <c r="J26" s="1"/>
      <c r="K26" s="1"/>
      <c r="L26" s="1"/>
      <c r="M26" s="1"/>
    </row>
    <row r="27" ht="15" customHeight="1">
      <c r="A27" s="1"/>
      <c r="B27" s="35" t="s">
        <v>81</v>
      </c>
      <c r="C27" s="47">
        <f>(C26-Inputs!C338)*10000</f>
        <v>-144.86122022676017</v>
      </c>
      <c r="D27" s="47">
        <f>(D26-Inputs!D338)*10000</f>
        <v>-164.48779186840457</v>
      </c>
      <c r="E27" s="47">
        <f>(E26-Inputs!E338)*10000</f>
        <v>-149.5041794184687</v>
      </c>
      <c r="F27" s="47">
        <f>(F26-Inputs!F338)*10000</f>
        <v>-194.86729164957862</v>
      </c>
      <c r="G27" s="47">
        <f>(G26-Inputs!G338)*10000</f>
        <v>-143.85067810968044</v>
      </c>
      <c r="H27" s="48">
        <f t="shared" si="9"/>
        <v>-139.55439013178028</v>
      </c>
      <c r="I27" s="1"/>
      <c r="J27" s="1"/>
      <c r="K27" s="1"/>
      <c r="L27" s="1"/>
      <c r="M27" s="1"/>
    </row>
    <row r="28" ht="15" customHeight="1">
      <c r="A28" s="1"/>
      <c r="B28" s="35" t="s">
        <v>82</v>
      </c>
      <c r="C28" s="47">
        <f>(C26-Inputs!G338)*10000</f>
        <v>-17.334589355497144</v>
      </c>
      <c r="D28" s="49">
        <f t="shared" si="7"/>
        <v>-71.9489228447423</v>
      </c>
      <c r="E28" s="1"/>
      <c r="F28" s="49">
        <f t="shared" si="10"/>
        <v>-25.393852478808874</v>
      </c>
      <c r="G28" s="49">
        <f t="shared" si="7"/>
        <v>-29.17331343063212</v>
      </c>
      <c r="H28" s="48">
        <f t="shared" si="7"/>
        <v>-13.038301377596984</v>
      </c>
      <c r="I28" s="1"/>
      <c r="J28" s="1"/>
      <c r="K28" s="1"/>
      <c r="L28" s="1"/>
      <c r="M28" s="1"/>
    </row>
    <row r="29" ht="15" customHeight="1">
      <c r="A29" s="1"/>
      <c r="B29" s="4" t="s">
        <v>84</v>
      </c>
      <c r="C29" s="39">
        <f t="shared" si="11" ref="C29:H29">C12/C14</f>
        <v>0.25391923990498816</v>
      </c>
      <c r="D29" s="39">
        <f t="shared" si="11"/>
        <v>0.2567962255672882</v>
      </c>
      <c r="E29" s="39">
        <f t="shared" si="11"/>
        <v>0.2503293807641634</v>
      </c>
      <c r="F29" s="39">
        <f t="shared" si="11"/>
        <v>0.260981308411215</v>
      </c>
      <c r="G29" s="39">
        <f t="shared" si="11"/>
        <v>0.25713032031592803</v>
      </c>
      <c r="H29" s="37">
        <f t="shared" si="11"/>
        <v>0.25809168571772345</v>
      </c>
      <c r="I29" s="1"/>
      <c r="J29" s="1"/>
      <c r="K29" s="1"/>
      <c r="L29" s="1"/>
      <c r="M29" s="1"/>
    </row>
    <row r="30" ht="15" customHeight="1">
      <c r="A30" s="1"/>
      <c r="B30" s="35" t="s">
        <v>81</v>
      </c>
      <c r="C30" s="47">
        <f>(C29-Inputs!C339)*10000</f>
        <v>122.46118293834041</v>
      </c>
      <c r="D30" s="47">
        <f>(D29-Inputs!D339)*10000</f>
        <v>175.69976791578097</v>
      </c>
      <c r="E30" s="47">
        <f>(E29-Inputs!E339)*10000</f>
        <v>137.57067913560545</v>
      </c>
      <c r="F30" s="47">
        <f>(F29-Inputs!F339)*10000</f>
        <v>211.77488070481866</v>
      </c>
      <c r="G30" s="47">
        <f>(G29-Inputs!G339)*10000</f>
        <v>75.50690241462488</v>
      </c>
      <c r="H30" s="48">
        <f t="shared" si="9"/>
        <v>41.724458127352925</v>
      </c>
      <c r="I30" s="1"/>
      <c r="J30" s="1"/>
      <c r="K30" s="1"/>
      <c r="L30" s="1"/>
      <c r="M30" s="1"/>
    </row>
    <row r="31" ht="15" customHeight="1">
      <c r="A31" s="1"/>
      <c r="B31" s="35" t="s">
        <v>82</v>
      </c>
      <c r="C31" s="47">
        <f>(C29-Inputs!G339)*10000</f>
        <v>43.396098305226175</v>
      </c>
      <c r="D31" s="49">
        <f t="shared" si="7"/>
        <v>28.769856623000468</v>
      </c>
      <c r="E31" s="1"/>
      <c r="F31" s="49">
        <f t="shared" si="10"/>
        <v>41.85082843926769</v>
      </c>
      <c r="G31" s="49">
        <f t="shared" si="7"/>
        <v>-38.509880952869445</v>
      </c>
      <c r="H31" s="48">
        <f t="shared" si="7"/>
        <v>9.613654017954222</v>
      </c>
      <c r="I31" s="1"/>
      <c r="J31" s="1"/>
      <c r="K31" s="1"/>
      <c r="L31" s="1"/>
      <c r="M31" s="1"/>
    </row>
    <row r="32" ht="15" customHeight="1">
      <c r="A32" s="1"/>
      <c r="B32" s="4" t="s">
        <v>85</v>
      </c>
      <c r="C32" s="50">
        <v>0.09</v>
      </c>
      <c r="D32" s="50">
        <v>0.09</v>
      </c>
      <c r="E32" s="50">
        <v>0.08</v>
      </c>
      <c r="F32" s="50">
        <v>0.1</v>
      </c>
      <c r="G32" s="50">
        <v>0.09</v>
      </c>
      <c r="H32" s="44" t="s">
        <v>35</v>
      </c>
      <c r="I32" s="1"/>
      <c r="J32" s="4" t="s">
        <v>86</v>
      </c>
      <c r="K32" s="1"/>
      <c r="L32" s="1"/>
      <c r="M32" s="1"/>
    </row>
    <row r="33" ht="15" customHeight="1">
      <c r="A33" s="1"/>
      <c r="B33" s="4" t="s">
        <v>87</v>
      </c>
      <c r="C33" s="50">
        <v>0.09</v>
      </c>
      <c r="D33" s="50">
        <v>0.08</v>
      </c>
      <c r="E33" s="50">
        <v>0.08</v>
      </c>
      <c r="F33" s="50">
        <v>0.08</v>
      </c>
      <c r="G33" s="50">
        <v>0.09</v>
      </c>
      <c r="H33" s="44" t="s">
        <v>35</v>
      </c>
      <c r="I33" s="1"/>
      <c r="J33" s="4" t="s">
        <v>88</v>
      </c>
      <c r="K33" s="1"/>
      <c r="L33" s="1"/>
      <c r="M33" s="1"/>
    </row>
    <row r="34" ht="15" customHeight="1">
      <c r="A34" s="1"/>
      <c r="B34" s="4" t="s">
        <v>89</v>
      </c>
      <c r="C34" s="50">
        <v>0.08</v>
      </c>
      <c r="D34" s="50">
        <v>0.09</v>
      </c>
      <c r="E34" s="50">
        <v>0.08</v>
      </c>
      <c r="F34" s="50">
        <v>0.12</v>
      </c>
      <c r="G34" s="50">
        <v>0.1</v>
      </c>
      <c r="H34" s="44" t="s">
        <v>35</v>
      </c>
      <c r="I34" s="1"/>
      <c r="J34" s="4" t="s">
        <v>88</v>
      </c>
      <c r="K34" s="1"/>
      <c r="L34" s="1"/>
      <c r="M34" s="1"/>
    </row>
    <row r="35" ht="15" customHeight="1">
      <c r="A35" s="1"/>
      <c r="B35" s="4" t="s">
        <v>90</v>
      </c>
      <c r="C35" s="50">
        <v>0.08</v>
      </c>
      <c r="D35" s="50">
        <v>0.08</v>
      </c>
      <c r="E35" s="50">
        <v>0.07</v>
      </c>
      <c r="F35" s="50">
        <v>0.09</v>
      </c>
      <c r="G35" s="50">
        <v>0.1</v>
      </c>
      <c r="H35" s="44" t="s">
        <v>35</v>
      </c>
      <c r="I35" s="1"/>
      <c r="J35" s="4" t="s">
        <v>88</v>
      </c>
      <c r="K35" s="1"/>
      <c r="L35" s="1"/>
      <c r="M35" s="1"/>
    </row>
    <row r="36" ht="15" customHeight="1">
      <c r="A36" s="1"/>
      <c r="B36" s="4" t="s">
        <v>91</v>
      </c>
      <c r="C36" s="50">
        <v>0.73</v>
      </c>
      <c r="D36" s="50">
        <v>0.74</v>
      </c>
      <c r="E36" s="43" t="s">
        <v>35</v>
      </c>
      <c r="F36" s="43" t="s">
        <v>35</v>
      </c>
      <c r="G36" s="50">
        <v>0.71</v>
      </c>
      <c r="H36" s="44" t="s">
        <v>35</v>
      </c>
      <c r="I36" s="1"/>
      <c r="J36" s="4" t="s">
        <v>92</v>
      </c>
      <c r="K36" s="1"/>
      <c r="L36" s="1"/>
      <c r="M36" s="1"/>
    </row>
    <row r="37" ht="15" customHeight="1">
      <c r="A37" s="1"/>
      <c r="B37" s="4" t="s">
        <v>93</v>
      </c>
      <c r="C37" s="50">
        <v>0.27</v>
      </c>
      <c r="D37" s="50">
        <v>0.26</v>
      </c>
      <c r="E37" s="43" t="s">
        <v>35</v>
      </c>
      <c r="F37" s="43" t="s">
        <v>35</v>
      </c>
      <c r="G37" s="50">
        <v>0.28</v>
      </c>
      <c r="H37" s="44" t="s">
        <v>35</v>
      </c>
      <c r="I37" s="1"/>
      <c r="J37" s="4" t="s">
        <v>88</v>
      </c>
      <c r="K37" s="1"/>
      <c r="L37" s="1"/>
      <c r="M37" s="1"/>
    </row>
    <row r="38" ht="15" customHeight="1">
      <c r="A38" s="1"/>
      <c r="B38" s="1" t="s">
        <v>94</v>
      </c>
      <c r="C38" s="17">
        <f t="shared" si="12" ref="C38:G38">C42-C14</f>
        <v>58.19999999999999</v>
      </c>
      <c r="D38" s="17">
        <f t="shared" si="12"/>
        <v>61.099999999999966</v>
      </c>
      <c r="E38" s="17">
        <f t="shared" si="12"/>
        <v>227.20000000000005</v>
      </c>
      <c r="F38" s="17">
        <f t="shared" si="12"/>
        <v>58.30000000000001</v>
      </c>
      <c r="G38" s="17">
        <f t="shared" si="12"/>
        <v>60.99999999999994</v>
      </c>
      <c r="H38" s="32">
        <v>61.8</v>
      </c>
      <c r="I38" s="1"/>
      <c r="J38" s="4" t="s">
        <v>95</v>
      </c>
      <c r="K38" s="1"/>
      <c r="L38" s="1"/>
      <c r="M38" s="1"/>
    </row>
    <row r="39" ht="15" customHeight="1">
      <c r="A39" s="1"/>
      <c r="B39" s="35" t="s">
        <v>70</v>
      </c>
      <c r="C39" s="36">
        <f>C38/Inputs!C242-1</f>
        <v>0.08379888268156432</v>
      </c>
      <c r="D39" s="36">
        <f>D38/Inputs!D242-1</f>
        <v>0.09892086330935146</v>
      </c>
      <c r="E39" s="36">
        <f>E38/Inputs!E242-1</f>
        <v>0.06217858812529298</v>
      </c>
      <c r="F39" s="36">
        <f>F38/Inputs!F242-1</f>
        <v>0.11685823754789193</v>
      </c>
      <c r="G39" s="36">
        <f>G38/Inputs!G242-1</f>
        <v>0.09515260323159702</v>
      </c>
      <c r="H39" s="37">
        <f t="shared" si="13"/>
        <v>0.06185567010309301</v>
      </c>
      <c r="I39" s="1"/>
      <c r="J39" s="1"/>
      <c r="K39" s="1"/>
      <c r="L39" s="1"/>
      <c r="M39" s="1"/>
    </row>
    <row r="40" ht="15" customHeight="1">
      <c r="A40" s="1"/>
      <c r="B40" s="35" t="s">
        <v>71</v>
      </c>
      <c r="C40" s="27">
        <f>C38-Inputs!C242</f>
        <v>4.5</v>
      </c>
      <c r="D40" s="27">
        <f>D38-Inputs!D242</f>
        <v>5.499999999999943</v>
      </c>
      <c r="E40" s="27">
        <f>E38-Inputs!E242</f>
        <v>13.300000000000182</v>
      </c>
      <c r="F40" s="27">
        <f>F38-Inputs!F242</f>
        <v>6.099999999999966</v>
      </c>
      <c r="G40" s="27">
        <f>G38-Inputs!G242</f>
        <v>5.2999999999999545</v>
      </c>
      <c r="H40" s="38">
        <f t="shared" si="14"/>
        <v>3.6000000000000085</v>
      </c>
      <c r="I40" s="1"/>
      <c r="J40" s="1"/>
      <c r="K40" s="1"/>
      <c r="L40" s="1"/>
      <c r="M40" s="1"/>
    </row>
    <row r="41" ht="15" customHeight="1">
      <c r="A41" s="1"/>
      <c r="B41" s="35" t="s">
        <v>73</v>
      </c>
      <c r="C41" s="27">
        <f>C38-Inputs!G242</f>
        <v>2.5</v>
      </c>
      <c r="D41" s="40">
        <f t="shared" si="15" ref="D41:H107">D38-C38</f>
        <v>2.8999999999999773</v>
      </c>
      <c r="E41" s="1"/>
      <c r="F41" s="40">
        <f t="shared" si="22" ref="F41:F107">F38-D38</f>
        <v>-2.7999999999999545</v>
      </c>
      <c r="G41" s="40">
        <f t="shared" si="15"/>
        <v>2.699999999999932</v>
      </c>
      <c r="H41" s="38">
        <f t="shared" si="15"/>
        <v>0.800000000000054</v>
      </c>
      <c r="I41" s="1"/>
      <c r="J41" s="1"/>
      <c r="K41" s="1"/>
      <c r="L41" s="1"/>
      <c r="M41" s="1"/>
    </row>
    <row r="42" ht="15" customHeight="1">
      <c r="A42" s="1"/>
      <c r="B42" s="3" t="s">
        <v>96</v>
      </c>
      <c r="C42" s="33">
        <v>479.2</v>
      </c>
      <c r="D42" s="33">
        <v>506.2</v>
      </c>
      <c r="E42" s="33">
        <v>1897</v>
      </c>
      <c r="F42" s="33">
        <v>486.3</v>
      </c>
      <c r="G42" s="33">
        <v>516.8</v>
      </c>
      <c r="H42" s="34">
        <f>H14+H38</f>
        <v>518.905</v>
      </c>
      <c r="I42" s="1"/>
      <c r="J42" s="4" t="s">
        <v>69</v>
      </c>
      <c r="K42" s="1"/>
      <c r="L42" s="1"/>
      <c r="M42" s="1"/>
    </row>
    <row r="43" ht="15" customHeight="1">
      <c r="A43" s="1"/>
      <c r="B43" s="35" t="s">
        <v>70</v>
      </c>
      <c r="C43" s="36">
        <f>C42/Inputs!C231-1</f>
        <v>0.08662131519274374</v>
      </c>
      <c r="D43" s="36">
        <f>D42/Inputs!D231-1</f>
        <v>0.090948275862069</v>
      </c>
      <c r="E43" s="36">
        <f>E42/Inputs!E231-1</f>
        <v>0.07490933816863099</v>
      </c>
      <c r="F43" s="36">
        <f>F42/Inputs!F231-1</f>
        <v>0.1062329390354868</v>
      </c>
      <c r="G43" s="36">
        <f>G42/Inputs!G231-1</f>
        <v>0.09491525423728797</v>
      </c>
      <c r="H43" s="37">
        <f t="shared" si="13"/>
        <v>0.08285684474123545</v>
      </c>
      <c r="I43" s="1"/>
      <c r="J43" s="1"/>
      <c r="K43" s="1"/>
      <c r="L43" s="1"/>
      <c r="M43" s="1"/>
    </row>
    <row r="44" ht="15" customHeight="1">
      <c r="A44" s="1"/>
      <c r="B44" s="35" t="s">
        <v>71</v>
      </c>
      <c r="C44" s="27">
        <f>C42-Inputs!C231</f>
        <v>38.19999999999999</v>
      </c>
      <c r="D44" s="27">
        <f>D42-Inputs!D231</f>
        <v>42.19999999999999</v>
      </c>
      <c r="E44" s="27">
        <f>E42-Inputs!E231</f>
        <v>132.20000000000005</v>
      </c>
      <c r="F44" s="27">
        <f>F42-Inputs!F231</f>
        <v>46.69999999999999</v>
      </c>
      <c r="G44" s="27">
        <f>G42-Inputs!G231</f>
        <v>44.799999999999955</v>
      </c>
      <c r="H44" s="38">
        <f t="shared" si="14"/>
        <v>39.704999999999984</v>
      </c>
      <c r="I44" s="1"/>
      <c r="J44" s="1"/>
      <c r="K44" s="1"/>
      <c r="L44" s="1"/>
      <c r="M44" s="1"/>
    </row>
    <row r="45" ht="15" customHeight="1">
      <c r="A45" s="1"/>
      <c r="B45" s="35" t="s">
        <v>72</v>
      </c>
      <c r="C45" s="36">
        <f>C42/Inputs!G231-1</f>
        <v>0.015254237288135464</v>
      </c>
      <c r="D45" s="39">
        <f t="shared" si="2"/>
        <v>0.05634390651085153</v>
      </c>
      <c r="E45" s="1"/>
      <c r="F45" s="39">
        <f t="shared" si="16"/>
        <v>-0.03931252469379687</v>
      </c>
      <c r="G45" s="39">
        <f t="shared" si="2"/>
        <v>0.0627184865309478</v>
      </c>
      <c r="H45" s="37">
        <f t="shared" si="2"/>
        <v>0.004073142414860786</v>
      </c>
      <c r="I45" s="1"/>
      <c r="J45" s="1"/>
      <c r="K45" s="1"/>
      <c r="L45" s="1"/>
      <c r="M45" s="1"/>
    </row>
    <row r="46" ht="15" customHeight="1">
      <c r="A46" s="1"/>
      <c r="B46" s="35" t="s">
        <v>73</v>
      </c>
      <c r="C46" s="27">
        <f>C42-Inputs!G231</f>
        <v>7.199999999999989</v>
      </c>
      <c r="D46" s="40">
        <f t="shared" si="3"/>
        <v>27</v>
      </c>
      <c r="E46" s="1"/>
      <c r="F46" s="40">
        <f t="shared" si="17"/>
        <v>-19.899999999999977</v>
      </c>
      <c r="G46" s="40">
        <f t="shared" si="3"/>
        <v>30.499999999999943</v>
      </c>
      <c r="H46" s="38">
        <f t="shared" si="3"/>
        <v>2.105000000000018</v>
      </c>
      <c r="I46" s="1"/>
      <c r="J46" s="1"/>
      <c r="K46" s="1"/>
      <c r="L46" s="1"/>
      <c r="M46" s="1"/>
    </row>
    <row r="47" ht="15" customHeight="1">
      <c r="A47" s="1"/>
      <c r="B47" s="1"/>
      <c r="C47" s="1"/>
      <c r="D47" s="1"/>
      <c r="E47" s="1"/>
      <c r="F47" s="1"/>
      <c r="G47" s="1"/>
      <c r="H47" s="29"/>
      <c r="I47" s="1"/>
      <c r="J47" s="1"/>
      <c r="K47" s="1"/>
      <c r="L47" s="1"/>
      <c r="M47" s="1"/>
    </row>
    <row r="48" ht="15" customHeight="1">
      <c r="A48" s="1"/>
      <c r="B48" s="30" t="s">
        <v>97</v>
      </c>
      <c r="C48" s="1"/>
      <c r="D48" s="1"/>
      <c r="E48" s="1"/>
      <c r="F48" s="1"/>
      <c r="G48" s="1"/>
      <c r="H48" s="29"/>
      <c r="I48" s="1"/>
      <c r="J48" s="1"/>
      <c r="K48" s="1"/>
      <c r="L48" s="1"/>
      <c r="M48" s="1"/>
    </row>
    <row r="49" ht="15" customHeight="1">
      <c r="A49" s="1"/>
      <c r="B49" s="1" t="s">
        <v>98</v>
      </c>
      <c r="C49" s="16">
        <f>'Income Statement'!C10/C14*10</f>
        <v>223.58669833729215</v>
      </c>
      <c r="D49" s="16">
        <f>'Income Statement'!D10/D14*10</f>
        <v>222.0624578746349</v>
      </c>
      <c r="E49" s="16">
        <f>'Income Statement'!E10/E14*10</f>
        <v>223.98490837226018</v>
      </c>
      <c r="F49" s="16">
        <f>'Income Statement'!F10/F14*10</f>
        <v>222.24299065420558</v>
      </c>
      <c r="G49" s="16">
        <f>'Income Statement'!G10/G14*10</f>
        <v>222.97060114085124</v>
      </c>
      <c r="H49" s="32">
        <v>221.8</v>
      </c>
      <c r="I49" s="1"/>
      <c r="J49" s="4" t="s">
        <v>99</v>
      </c>
      <c r="K49" s="1"/>
      <c r="L49" s="1"/>
      <c r="M49" s="1"/>
    </row>
    <row r="50" ht="15" customHeight="1">
      <c r="A50" s="1"/>
      <c r="B50" s="35" t="s">
        <v>81</v>
      </c>
      <c r="C50" s="27">
        <f>(C49-Inputs!C243)*1</f>
        <v>-3.1109520629143788</v>
      </c>
      <c r="D50" s="27">
        <f>(D49-Inputs!D243)*1</f>
        <v>-2.6437125465208453</v>
      </c>
      <c r="E50" s="27">
        <f>(E49-Inputs!E243)*1</f>
        <v>-2.928496747347765</v>
      </c>
      <c r="F50" s="27">
        <f>(F49-Inputs!F243)*1</f>
        <v>-3.441056841922432</v>
      </c>
      <c r="G50" s="27">
        <f>(G49-Inputs!G243)*1</f>
        <v>-1.8912773121874409</v>
      </c>
      <c r="H50" s="38">
        <f>(H49-C49)*1</f>
        <v>-1.7866983372921368</v>
      </c>
      <c r="I50" s="1"/>
      <c r="J50" s="1"/>
      <c r="K50" s="1"/>
      <c r="L50" s="1"/>
      <c r="M50" s="1"/>
    </row>
    <row r="51" ht="15" customHeight="1">
      <c r="A51" s="1"/>
      <c r="B51" s="35" t="s">
        <v>82</v>
      </c>
      <c r="C51" s="27">
        <f>(C49-Inputs!G243)*1</f>
        <v>-1.2751801157465366</v>
      </c>
      <c r="D51" s="40">
        <f t="shared" si="18" ref="D51:H51">(D49-C49)*1</f>
        <v>-1.5242404626572466</v>
      </c>
      <c r="E51" s="1"/>
      <c r="F51" s="40">
        <f>(F49-D49)*1</f>
        <v>0.18053277957068303</v>
      </c>
      <c r="G51" s="40">
        <f t="shared" si="18"/>
        <v>0.7276104866456592</v>
      </c>
      <c r="H51" s="38">
        <f t="shared" si="18"/>
        <v>-1.1706011408512325</v>
      </c>
      <c r="I51" s="1"/>
      <c r="J51" s="1"/>
      <c r="K51" s="1"/>
      <c r="L51" s="1"/>
      <c r="M51" s="1"/>
    </row>
    <row r="52" ht="15" customHeight="1">
      <c r="A52" s="1"/>
      <c r="B52" s="3" t="s">
        <v>100</v>
      </c>
      <c r="C52" s="51">
        <f>'Income Statement'!C10</f>
        <v>9413</v>
      </c>
      <c r="D52" s="51">
        <f>'Income Statement'!D10</f>
        <v>9884</v>
      </c>
      <c r="E52" s="51">
        <f>'Income Statement'!E10</f>
        <v>37401</v>
      </c>
      <c r="F52" s="51">
        <f>'Income Statement'!F10</f>
        <v>9512</v>
      </c>
      <c r="G52" s="51">
        <f>'Income Statement'!G10</f>
        <v>10163</v>
      </c>
      <c r="H52" s="34">
        <f>H14*H49/10</f>
        <v>10138.588899999999</v>
      </c>
      <c r="I52" s="1"/>
      <c r="J52" s="1"/>
      <c r="K52" s="1"/>
      <c r="L52" s="1"/>
      <c r="M52" s="1"/>
    </row>
    <row r="53" ht="15" customHeight="1">
      <c r="A53" s="1"/>
      <c r="B53" s="35" t="s">
        <v>70</v>
      </c>
      <c r="C53" s="36">
        <f>C52/Inputs!C206-1</f>
        <v>0.07209567198177669</v>
      </c>
      <c r="D53" s="36">
        <f>D52/Inputs!D206-1</f>
        <v>0.07704042715484372</v>
      </c>
      <c r="E53" s="36">
        <f>E52/Inputs!E206-1</f>
        <v>0.0627699477153898</v>
      </c>
      <c r="F53" s="36">
        <f>F52/Inputs!F206-1</f>
        <v>0.08795607914903347</v>
      </c>
      <c r="G53" s="36">
        <f>G52/Inputs!G206-1</f>
        <v>0.08567460741373778</v>
      </c>
      <c r="H53" s="37">
        <f t="shared" si="13"/>
        <v>0.07708370338893</v>
      </c>
      <c r="I53" s="1"/>
      <c r="J53" s="1"/>
      <c r="K53" s="1"/>
      <c r="L53" s="1"/>
      <c r="M53" s="1"/>
    </row>
    <row r="54" ht="15" customHeight="1">
      <c r="A54" s="1"/>
      <c r="B54" s="35" t="s">
        <v>72</v>
      </c>
      <c r="C54" s="36">
        <f>C52/Inputs!G206-1</f>
        <v>0.005554962076701253</v>
      </c>
      <c r="D54" s="39">
        <f t="shared" si="19" ref="D54:H160">D52/C52-1</f>
        <v>0.050037182619781184</v>
      </c>
      <c r="E54" s="1"/>
      <c r="F54" s="39">
        <f t="shared" si="31" ref="F54:F160">F52/D52-1</f>
        <v>-0.037636584378794025</v>
      </c>
      <c r="G54" s="39">
        <f t="shared" si="19"/>
        <v>0.06843986543313707</v>
      </c>
      <c r="H54" s="37">
        <f t="shared" si="19"/>
        <v>-0.002401958083243283</v>
      </c>
      <c r="I54" s="1"/>
      <c r="J54" s="1"/>
      <c r="K54" s="1"/>
      <c r="L54" s="1"/>
      <c r="M54" s="1"/>
    </row>
    <row r="55" ht="15" customHeight="1">
      <c r="A55" s="1"/>
      <c r="B55" s="41" t="s">
        <v>74</v>
      </c>
      <c r="C55" s="39">
        <f t="shared" si="20" ref="C55:H118">C53</f>
        <v>0.07209567198177669</v>
      </c>
      <c r="D55" s="39">
        <f t="shared" si="20"/>
        <v>0.07704042715484372</v>
      </c>
      <c r="E55" s="39">
        <f t="shared" si="20"/>
        <v>0.0627699477153898</v>
      </c>
      <c r="F55" s="39">
        <f t="shared" si="20"/>
        <v>0.08795607914903347</v>
      </c>
      <c r="G55" s="39">
        <f t="shared" si="20"/>
        <v>0.08567460741373778</v>
      </c>
      <c r="H55" s="37">
        <f t="shared" si="20"/>
        <v>0.07708370338893</v>
      </c>
      <c r="I55" s="1"/>
      <c r="J55" s="1"/>
      <c r="K55" s="1"/>
      <c r="L55" s="1"/>
      <c r="M55" s="1"/>
    </row>
    <row r="56" ht="15" customHeight="1">
      <c r="A56" s="1"/>
      <c r="B56" s="41" t="s">
        <v>75</v>
      </c>
      <c r="C56" s="43" t="s">
        <v>35</v>
      </c>
      <c r="D56" s="43" t="s">
        <v>35</v>
      </c>
      <c r="E56" s="43" t="s">
        <v>35</v>
      </c>
      <c r="F56" s="43" t="s">
        <v>35</v>
      </c>
      <c r="G56" s="43" t="s">
        <v>35</v>
      </c>
      <c r="H56" s="37">
        <f>H20</f>
        <v>-0.0038713752857658518</v>
      </c>
      <c r="I56" s="1"/>
      <c r="J56" s="1"/>
      <c r="K56" s="1"/>
      <c r="L56" s="1"/>
      <c r="M56" s="1"/>
    </row>
    <row r="57" ht="15" customHeight="1">
      <c r="A57" s="1"/>
      <c r="B57" s="41" t="s">
        <v>77</v>
      </c>
      <c r="C57" s="43" t="s">
        <v>35</v>
      </c>
      <c r="D57" s="43" t="s">
        <v>35</v>
      </c>
      <c r="E57" s="43" t="s">
        <v>35</v>
      </c>
      <c r="F57" s="43" t="s">
        <v>35</v>
      </c>
      <c r="G57" s="43" t="s">
        <v>35</v>
      </c>
      <c r="H57" s="44" t="s">
        <v>35</v>
      </c>
      <c r="I57" s="1"/>
      <c r="J57" s="1"/>
      <c r="K57" s="1"/>
      <c r="L57" s="1"/>
      <c r="M57" s="1"/>
    </row>
    <row r="58" ht="15" customHeight="1">
      <c r="A58" s="1"/>
      <c r="B58" s="41" t="s">
        <v>78</v>
      </c>
      <c r="C58" s="45" t="str">
        <f t="shared" si="5"/>
        <v>unavailable</v>
      </c>
      <c r="D58" s="45" t="str">
        <f t="shared" si="5"/>
        <v>unavailable</v>
      </c>
      <c r="E58" s="45" t="str">
        <f t="shared" si="5"/>
        <v>unavailable</v>
      </c>
      <c r="F58" s="45" t="str">
        <f t="shared" si="5"/>
        <v>unavailable</v>
      </c>
      <c r="G58" s="45" t="str">
        <f t="shared" si="5"/>
        <v>unavailable</v>
      </c>
      <c r="H58" s="46" t="str">
        <f t="shared" si="5"/>
        <v>unavailable</v>
      </c>
      <c r="I58" s="1"/>
      <c r="J58" s="1"/>
      <c r="K58" s="1"/>
      <c r="L58" s="1"/>
      <c r="M58" s="1"/>
    </row>
    <row r="59" ht="15" customHeight="1">
      <c r="A59" s="1"/>
      <c r="B59" s="1"/>
      <c r="C59" s="1"/>
      <c r="D59" s="1"/>
      <c r="E59" s="1"/>
      <c r="F59" s="1"/>
      <c r="G59" s="1"/>
      <c r="H59" s="29"/>
      <c r="I59" s="1"/>
      <c r="J59" s="1"/>
      <c r="K59" s="1"/>
      <c r="L59" s="1"/>
      <c r="M59" s="1"/>
    </row>
    <row r="60" ht="15" customHeight="1">
      <c r="A60" s="1"/>
      <c r="B60" s="30" t="s">
        <v>101</v>
      </c>
      <c r="C60" s="1"/>
      <c r="D60" s="1"/>
      <c r="E60" s="1"/>
      <c r="F60" s="1"/>
      <c r="G60" s="1"/>
      <c r="H60" s="29"/>
      <c r="I60" s="1"/>
      <c r="J60" s="1"/>
      <c r="K60" s="1"/>
      <c r="L60" s="1"/>
      <c r="M60" s="1"/>
    </row>
    <row r="61" ht="15" customHeight="1">
      <c r="A61" s="1"/>
      <c r="B61" s="1" t="s">
        <v>102</v>
      </c>
      <c r="C61" s="16">
        <f>Inputs!G232</f>
        <v>85.2</v>
      </c>
      <c r="D61" s="17">
        <f t="shared" si="21" ref="D61:H61">C72</f>
        <v>86</v>
      </c>
      <c r="E61" s="16">
        <f>Inputs!E232</f>
        <v>83.6</v>
      </c>
      <c r="F61" s="17">
        <f>D72</f>
        <v>86.6</v>
      </c>
      <c r="G61" s="17">
        <f t="shared" si="21"/>
        <v>87.2</v>
      </c>
      <c r="H61" s="52">
        <f t="shared" si="21"/>
        <v>87.6</v>
      </c>
      <c r="I61" s="1"/>
      <c r="J61" s="4" t="s">
        <v>103</v>
      </c>
      <c r="K61" s="1"/>
      <c r="L61" s="1"/>
      <c r="M61" s="1"/>
    </row>
    <row r="62" ht="15" customHeight="1">
      <c r="A62" s="1"/>
      <c r="B62" s="1" t="s">
        <v>104</v>
      </c>
      <c r="C62" s="53">
        <v>3.2</v>
      </c>
      <c r="D62" s="53">
        <v>2.9</v>
      </c>
      <c r="E62" s="53">
        <v>12.5</v>
      </c>
      <c r="F62" s="53">
        <v>3.1</v>
      </c>
      <c r="G62" s="53">
        <v>3</v>
      </c>
      <c r="H62" s="32">
        <v>3</v>
      </c>
      <c r="I62" s="1"/>
      <c r="J62" s="4" t="s">
        <v>105</v>
      </c>
      <c r="K62" s="1"/>
      <c r="L62" s="1"/>
      <c r="M62" s="1"/>
    </row>
    <row r="63" ht="15" customHeight="1">
      <c r="A63" s="1"/>
      <c r="B63" s="35" t="s">
        <v>70</v>
      </c>
      <c r="C63" s="36">
        <f>C62/Inputs!C233-1</f>
        <v>-0.030303030303030165</v>
      </c>
      <c r="D63" s="36">
        <f>D62/Inputs!D233-1</f>
        <v>-0.033333333333333326</v>
      </c>
      <c r="E63" s="36">
        <f>E62/Inputs!E233-1</f>
        <v>-0.038461538461538436</v>
      </c>
      <c r="F63" s="36">
        <f>F62/Inputs!F233-1</f>
        <v>-0.08823529411764697</v>
      </c>
      <c r="G63" s="36">
        <f>G62/Inputs!G233-1</f>
        <v>-0.032258064516129115</v>
      </c>
      <c r="H63" s="37">
        <f t="shared" si="13"/>
        <v>-0.0625</v>
      </c>
      <c r="I63" s="1"/>
      <c r="J63" s="1"/>
      <c r="K63" s="1"/>
      <c r="L63" s="1"/>
      <c r="M63" s="1"/>
    </row>
    <row r="64" ht="15" customHeight="1">
      <c r="A64" s="1"/>
      <c r="B64" s="35" t="s">
        <v>71</v>
      </c>
      <c r="C64" s="27">
        <f>C62-Inputs!C233</f>
        <v>-0.09999999999999964</v>
      </c>
      <c r="D64" s="27">
        <f>D62-Inputs!D233</f>
        <v>-0.10000000000000009</v>
      </c>
      <c r="E64" s="27">
        <f>E62-Inputs!E233</f>
        <v>-0.5</v>
      </c>
      <c r="F64" s="27">
        <f>F62-Inputs!F233</f>
        <v>-0.2999999999999998</v>
      </c>
      <c r="G64" s="27">
        <f>G62-Inputs!G233</f>
        <v>-0.10000000000000009</v>
      </c>
      <c r="H64" s="38">
        <f t="shared" si="14"/>
        <v>-0.20000000000000018</v>
      </c>
      <c r="I64" s="1"/>
      <c r="J64" s="1"/>
      <c r="K64" s="1"/>
      <c r="L64" s="1"/>
      <c r="M64" s="1"/>
    </row>
    <row r="65" ht="15" customHeight="1">
      <c r="A65" s="1"/>
      <c r="B65" s="35" t="s">
        <v>73</v>
      </c>
      <c r="C65" s="27">
        <f>C62-Inputs!G233</f>
        <v>0.10000000000000009</v>
      </c>
      <c r="D65" s="40">
        <f t="shared" si="15"/>
        <v>-0.30000000000000027</v>
      </c>
      <c r="E65" s="1"/>
      <c r="F65" s="40">
        <f t="shared" si="22"/>
        <v>0.20000000000000018</v>
      </c>
      <c r="G65" s="40">
        <f t="shared" si="15"/>
        <v>-0.10000000000000009</v>
      </c>
      <c r="H65" s="38">
        <f t="shared" si="15"/>
        <v>0</v>
      </c>
      <c r="I65" s="1"/>
      <c r="J65" s="1"/>
      <c r="K65" s="1"/>
      <c r="L65" s="1"/>
      <c r="M65" s="1"/>
    </row>
    <row r="66" ht="15" customHeight="1">
      <c r="A66" s="1"/>
      <c r="B66" s="1" t="s">
        <v>106</v>
      </c>
      <c r="C66" s="17">
        <f t="shared" si="23" ref="C66:H66">C72-C61-C62</f>
        <v>-2.400000000000003</v>
      </c>
      <c r="D66" s="17">
        <f t="shared" si="23"/>
        <v>-2.3000000000000056</v>
      </c>
      <c r="E66" s="17">
        <f t="shared" si="23"/>
        <v>-9.5</v>
      </c>
      <c r="F66" s="17">
        <f t="shared" si="23"/>
        <v>-2.4999999999999916</v>
      </c>
      <c r="G66" s="17">
        <f t="shared" si="23"/>
        <v>-2.6000000000000085</v>
      </c>
      <c r="H66" s="52">
        <f t="shared" si="23"/>
        <v>-2.299999999999997</v>
      </c>
      <c r="I66" s="1"/>
      <c r="J66" s="4" t="s">
        <v>107</v>
      </c>
      <c r="K66" s="1"/>
      <c r="L66" s="1"/>
      <c r="M66" s="1"/>
    </row>
    <row r="67" ht="15" customHeight="1">
      <c r="A67" s="1"/>
      <c r="B67" s="35" t="s">
        <v>70</v>
      </c>
      <c r="C67" s="43" t="s">
        <v>35</v>
      </c>
      <c r="D67" s="43" t="s">
        <v>35</v>
      </c>
      <c r="E67" s="43" t="s">
        <v>35</v>
      </c>
      <c r="F67" s="43" t="s">
        <v>35</v>
      </c>
      <c r="G67" s="43" t="s">
        <v>35</v>
      </c>
      <c r="H67" s="37">
        <f t="shared" si="13"/>
        <v>-0.04166666666666907</v>
      </c>
      <c r="I67" s="1"/>
      <c r="J67" s="1"/>
      <c r="K67" s="1"/>
      <c r="L67" s="1"/>
      <c r="M67" s="1"/>
    </row>
    <row r="68" ht="15" customHeight="1">
      <c r="A68" s="1"/>
      <c r="B68" s="35" t="s">
        <v>73</v>
      </c>
      <c r="C68" s="43" t="s">
        <v>35</v>
      </c>
      <c r="D68" s="40">
        <f t="shared" si="24" ref="D68:H188">D66-C66</f>
        <v>0.09999999999999742</v>
      </c>
      <c r="E68" s="1"/>
      <c r="F68" s="40">
        <f t="shared" si="26" ref="F68:F188">F66-D66</f>
        <v>-0.19999999999998597</v>
      </c>
      <c r="G68" s="40">
        <f t="shared" si="24"/>
        <v>-0.10000000000001696</v>
      </c>
      <c r="H68" s="38">
        <f t="shared" si="24"/>
        <v>0.30000000000001137</v>
      </c>
      <c r="I68" s="1"/>
      <c r="J68" s="1"/>
      <c r="K68" s="1"/>
      <c r="L68" s="1"/>
      <c r="M68" s="1"/>
    </row>
    <row r="69" ht="15" customHeight="1">
      <c r="A69" s="1"/>
      <c r="B69" s="1" t="s">
        <v>108</v>
      </c>
      <c r="C69" s="17">
        <f t="shared" si="25" ref="C69:H69">C72-C61</f>
        <v>0.7999999999999972</v>
      </c>
      <c r="D69" s="17">
        <f t="shared" si="25"/>
        <v>0.5999999999999943</v>
      </c>
      <c r="E69" s="17">
        <f t="shared" si="25"/>
        <v>3</v>
      </c>
      <c r="F69" s="17">
        <f t="shared" si="25"/>
        <v>0.6000000000000085</v>
      </c>
      <c r="G69" s="17">
        <f t="shared" si="25"/>
        <v>0.3999999999999915</v>
      </c>
      <c r="H69" s="52">
        <f t="shared" si="25"/>
        <v>0.7000000000000028</v>
      </c>
      <c r="I69" s="1"/>
      <c r="J69" s="1"/>
      <c r="K69" s="1"/>
      <c r="L69" s="1"/>
      <c r="M69" s="1"/>
    </row>
    <row r="70" ht="15" customHeight="1">
      <c r="A70" s="1"/>
      <c r="B70" s="35" t="s">
        <v>70</v>
      </c>
      <c r="C70" s="43" t="s">
        <v>35</v>
      </c>
      <c r="D70" s="43" t="s">
        <v>35</v>
      </c>
      <c r="E70" s="43" t="s">
        <v>35</v>
      </c>
      <c r="F70" s="43" t="s">
        <v>35</v>
      </c>
      <c r="G70" s="43" t="s">
        <v>35</v>
      </c>
      <c r="H70" s="37">
        <f t="shared" si="13"/>
        <v>-0.12499999999999334</v>
      </c>
      <c r="I70" s="1"/>
      <c r="J70" s="1"/>
      <c r="K70" s="1"/>
      <c r="L70" s="1"/>
      <c r="M70" s="1"/>
    </row>
    <row r="71" ht="15" customHeight="1">
      <c r="A71" s="1"/>
      <c r="B71" s="35" t="s">
        <v>73</v>
      </c>
      <c r="C71" s="43" t="s">
        <v>35</v>
      </c>
      <c r="D71" s="40">
        <f t="shared" si="24"/>
        <v>-0.20000000000000284</v>
      </c>
      <c r="E71" s="1"/>
      <c r="F71" s="40">
        <f t="shared" si="26"/>
        <v>0</v>
      </c>
      <c r="G71" s="40">
        <f t="shared" si="24"/>
        <v>-0.20000000000001705</v>
      </c>
      <c r="H71" s="38">
        <f t="shared" si="24"/>
        <v>0.30000000000001137</v>
      </c>
      <c r="I71" s="1"/>
      <c r="J71" s="1"/>
      <c r="K71" s="1"/>
      <c r="L71" s="1"/>
      <c r="M71" s="1"/>
    </row>
    <row r="72" ht="15" customHeight="1">
      <c r="A72" s="1"/>
      <c r="B72" s="3" t="s">
        <v>109</v>
      </c>
      <c r="C72" s="33">
        <v>86</v>
      </c>
      <c r="D72" s="33">
        <v>86.6</v>
      </c>
      <c r="E72" s="33">
        <v>86.6</v>
      </c>
      <c r="F72" s="33">
        <v>87.2</v>
      </c>
      <c r="G72" s="33">
        <v>87.6</v>
      </c>
      <c r="H72" s="54">
        <f>'Segment - USCS'!H12+'Segment - CS'!H12+'Segment - ICS'!H12</f>
        <v>88.3</v>
      </c>
      <c r="I72" s="1"/>
      <c r="J72" s="4" t="s">
        <v>110</v>
      </c>
      <c r="K72" s="1"/>
      <c r="L72" s="1"/>
      <c r="M72" s="1"/>
    </row>
    <row r="73" ht="15" customHeight="1">
      <c r="A73" s="1"/>
      <c r="B73" s="35" t="s">
        <v>70</v>
      </c>
      <c r="C73" s="36">
        <f>C72/Inputs!C232-1</f>
        <v>0.03739445114595896</v>
      </c>
      <c r="D73" s="36">
        <f>D72/Inputs!D232-1</f>
        <v>0.03588516746411474</v>
      </c>
      <c r="E73" s="36">
        <f>E72/Inputs!E232-1</f>
        <v>0.03588516746411474</v>
      </c>
      <c r="F73" s="36">
        <f>F72/Inputs!F232-1</f>
        <v>0.030732860520094718</v>
      </c>
      <c r="G73" s="36">
        <f>G72/Inputs!G232-1</f>
        <v>0.028169014084507005</v>
      </c>
      <c r="H73" s="37">
        <f t="shared" si="13"/>
        <v>0.02674418604651163</v>
      </c>
      <c r="I73" s="1"/>
      <c r="J73" s="1"/>
      <c r="K73" s="1"/>
      <c r="L73" s="1"/>
      <c r="M73" s="1"/>
    </row>
    <row r="74" ht="15" customHeight="1">
      <c r="A74" s="1"/>
      <c r="B74" s="35" t="s">
        <v>71</v>
      </c>
      <c r="C74" s="27">
        <f>C72-Inputs!C232</f>
        <v>3.0999999999999943</v>
      </c>
      <c r="D74" s="27">
        <f>D72-Inputs!D232</f>
        <v>3</v>
      </c>
      <c r="E74" s="27">
        <f>E72-Inputs!E232</f>
        <v>3</v>
      </c>
      <c r="F74" s="27">
        <f>F72-Inputs!F232</f>
        <v>2.6000000000000085</v>
      </c>
      <c r="G74" s="27">
        <f>G72-Inputs!G232</f>
        <v>2.3999999999999915</v>
      </c>
      <c r="H74" s="38">
        <f t="shared" si="14"/>
        <v>2.299999999999997</v>
      </c>
      <c r="I74" s="1"/>
      <c r="J74" s="1"/>
      <c r="K74" s="1"/>
      <c r="L74" s="1"/>
      <c r="M74" s="1"/>
    </row>
    <row r="75" ht="15" customHeight="1">
      <c r="A75" s="1"/>
      <c r="B75" s="35" t="s">
        <v>73</v>
      </c>
      <c r="C75" s="27">
        <f>C72-Inputs!G232</f>
        <v>0.7999999999999972</v>
      </c>
      <c r="D75" s="40">
        <f t="shared" si="15"/>
        <v>0.5999999999999943</v>
      </c>
      <c r="E75" s="1"/>
      <c r="F75" s="40">
        <f t="shared" si="22"/>
        <v>0.6000000000000085</v>
      </c>
      <c r="G75" s="40">
        <f t="shared" si="15"/>
        <v>0.3999999999999915</v>
      </c>
      <c r="H75" s="38">
        <f t="shared" si="15"/>
        <v>0.7000000000000028</v>
      </c>
      <c r="I75" s="1"/>
      <c r="J75" s="1"/>
      <c r="K75" s="1"/>
      <c r="L75" s="1"/>
      <c r="M75" s="1"/>
    </row>
    <row r="76" ht="15" customHeight="1">
      <c r="A76" s="1"/>
      <c r="B76" s="1" t="s">
        <v>111</v>
      </c>
      <c r="C76" s="17">
        <f t="shared" si="27" ref="C76:H76">AVERAGE(C61,C72)</f>
        <v>85.6</v>
      </c>
      <c r="D76" s="17">
        <f t="shared" si="27"/>
        <v>86.3</v>
      </c>
      <c r="E76" s="17">
        <f t="shared" si="27"/>
        <v>85.1</v>
      </c>
      <c r="F76" s="17">
        <f t="shared" si="27"/>
        <v>86.9</v>
      </c>
      <c r="G76" s="17">
        <f t="shared" si="27"/>
        <v>87.4</v>
      </c>
      <c r="H76" s="52">
        <f t="shared" si="27"/>
        <v>87.94999999999999</v>
      </c>
      <c r="I76" s="1"/>
      <c r="J76" s="1"/>
      <c r="K76" s="1"/>
      <c r="L76" s="1"/>
      <c r="M76" s="1"/>
    </row>
    <row r="77" ht="15" customHeight="1">
      <c r="A77" s="1"/>
      <c r="B77" s="35" t="s">
        <v>70</v>
      </c>
      <c r="C77" s="43" t="s">
        <v>35</v>
      </c>
      <c r="D77" s="43" t="s">
        <v>35</v>
      </c>
      <c r="E77" s="43" t="s">
        <v>35</v>
      </c>
      <c r="F77" s="43" t="s">
        <v>35</v>
      </c>
      <c r="G77" s="43" t="s">
        <v>35</v>
      </c>
      <c r="H77" s="37">
        <f t="shared" si="13"/>
        <v>0.027453271028037296</v>
      </c>
      <c r="I77" s="1"/>
      <c r="J77" s="1"/>
      <c r="K77" s="1"/>
      <c r="L77" s="1"/>
      <c r="M77" s="1"/>
    </row>
    <row r="78" ht="15" customHeight="1">
      <c r="A78" s="1"/>
      <c r="B78" s="35" t="s">
        <v>73</v>
      </c>
      <c r="C78" s="27">
        <f>C76-AVERAGE(Inputs!F232,Inputs!G232)</f>
        <v>0.6999999999999886</v>
      </c>
      <c r="D78" s="40">
        <f t="shared" si="24"/>
        <v>0.7000000000000028</v>
      </c>
      <c r="E78" s="1"/>
      <c r="F78" s="40">
        <f t="shared" si="26"/>
        <v>0.6000000000000085</v>
      </c>
      <c r="G78" s="40">
        <f t="shared" si="24"/>
        <v>0.5</v>
      </c>
      <c r="H78" s="38">
        <f t="shared" si="24"/>
        <v>0.549999999999983</v>
      </c>
      <c r="I78" s="1"/>
      <c r="J78" s="1"/>
      <c r="K78" s="1"/>
      <c r="L78" s="1"/>
      <c r="M78" s="1"/>
    </row>
    <row r="79" ht="15" customHeight="1">
      <c r="A79" s="1"/>
      <c r="B79" s="1" t="s">
        <v>112</v>
      </c>
      <c r="C79" s="53">
        <v>66.2</v>
      </c>
      <c r="D79" s="53">
        <v>66.7</v>
      </c>
      <c r="E79" s="53">
        <v>66.7</v>
      </c>
      <c r="F79" s="53">
        <v>67.2</v>
      </c>
      <c r="G79" s="53">
        <v>67.5</v>
      </c>
      <c r="H79" s="15">
        <f>'Segment - USCS'!H21+'Segment - ICS'!H21+'Segment - CS'!H12</f>
        <v>68</v>
      </c>
      <c r="I79" s="1"/>
      <c r="J79" s="4" t="s">
        <v>113</v>
      </c>
      <c r="K79" s="1"/>
      <c r="L79" s="1"/>
      <c r="M79" s="1"/>
    </row>
    <row r="80" ht="15" customHeight="1">
      <c r="A80" s="1"/>
      <c r="B80" s="35" t="s">
        <v>70</v>
      </c>
      <c r="C80" s="36">
        <f>C79/Inputs!C340-1</f>
        <v>0.03924646781789631</v>
      </c>
      <c r="D80" s="36">
        <f>D79/Inputs!D340-1</f>
        <v>0.03732503888024885</v>
      </c>
      <c r="E80" s="36">
        <f>E79/Inputs!E340-1</f>
        <v>0.03732503888024885</v>
      </c>
      <c r="F80" s="36">
        <f>F79/Inputs!F340-1</f>
        <v>0.032258064516129226</v>
      </c>
      <c r="G80" s="36">
        <f>G79/Inputs!G340-1</f>
        <v>0.028963414634146423</v>
      </c>
      <c r="H80" s="37">
        <f t="shared" si="13"/>
        <v>0.027190332326283873</v>
      </c>
      <c r="I80" s="1"/>
      <c r="J80" s="1"/>
      <c r="K80" s="1"/>
      <c r="L80" s="1"/>
      <c r="M80" s="1"/>
    </row>
    <row r="81" ht="15" customHeight="1">
      <c r="A81" s="1"/>
      <c r="B81" s="35" t="s">
        <v>71</v>
      </c>
      <c r="C81" s="27">
        <f>C79-Inputs!C340</f>
        <v>2.5</v>
      </c>
      <c r="D81" s="27">
        <f>D79-Inputs!D340</f>
        <v>2.4000000000000057</v>
      </c>
      <c r="E81" s="27">
        <f>E79-Inputs!E340</f>
        <v>2.4000000000000057</v>
      </c>
      <c r="F81" s="27">
        <f>F79-Inputs!F340</f>
        <v>2.1000000000000085</v>
      </c>
      <c r="G81" s="27">
        <f>G79-Inputs!G340</f>
        <v>1.9000000000000057</v>
      </c>
      <c r="H81" s="38">
        <f t="shared" si="14"/>
        <v>1.7999999999999972</v>
      </c>
      <c r="I81" s="1"/>
      <c r="J81" s="1"/>
      <c r="K81" s="1"/>
      <c r="L81" s="1"/>
      <c r="M81" s="1"/>
    </row>
    <row r="82" ht="15" customHeight="1">
      <c r="A82" s="1"/>
      <c r="B82" s="35" t="s">
        <v>73</v>
      </c>
      <c r="C82" s="27">
        <f>C79-Inputs!G340</f>
        <v>0.6000000000000085</v>
      </c>
      <c r="D82" s="40">
        <f t="shared" si="15"/>
        <v>0.5</v>
      </c>
      <c r="E82" s="1"/>
      <c r="F82" s="40">
        <f t="shared" si="22"/>
        <v>0.5</v>
      </c>
      <c r="G82" s="40">
        <f t="shared" si="15"/>
        <v>0.29999999999999716</v>
      </c>
      <c r="H82" s="38">
        <f t="shared" si="15"/>
        <v>0.5</v>
      </c>
      <c r="I82" s="1"/>
      <c r="J82" s="1"/>
      <c r="K82" s="1"/>
      <c r="L82" s="1"/>
      <c r="M82" s="1"/>
    </row>
    <row r="83" ht="15" customHeight="1">
      <c r="A83" s="1"/>
      <c r="B83" s="1" t="s">
        <v>114</v>
      </c>
      <c r="C83" s="17">
        <f t="shared" si="28" ref="C83:G83">C86-C72</f>
        <v>65.19999999999999</v>
      </c>
      <c r="D83" s="17">
        <f t="shared" si="28"/>
        <v>66.20000000000002</v>
      </c>
      <c r="E83" s="17">
        <f t="shared" si="28"/>
        <v>66.20000000000002</v>
      </c>
      <c r="F83" s="17">
        <f t="shared" si="28"/>
        <v>66.7</v>
      </c>
      <c r="G83" s="17">
        <f t="shared" si="28"/>
        <v>67.5</v>
      </c>
      <c r="H83" s="32">
        <v>68</v>
      </c>
      <c r="I83" s="1"/>
      <c r="J83" s="4" t="s">
        <v>115</v>
      </c>
      <c r="K83" s="1"/>
      <c r="L83" s="1"/>
      <c r="M83" s="1"/>
    </row>
    <row r="84" ht="15" customHeight="1">
      <c r="A84" s="1"/>
      <c r="B84" s="35" t="s">
        <v>70</v>
      </c>
      <c r="C84" s="43" t="s">
        <v>35</v>
      </c>
      <c r="D84" s="43" t="s">
        <v>35</v>
      </c>
      <c r="E84" s="43" t="s">
        <v>35</v>
      </c>
      <c r="F84" s="43" t="s">
        <v>35</v>
      </c>
      <c r="G84" s="43" t="s">
        <v>35</v>
      </c>
      <c r="H84" s="37">
        <f t="shared" si="13"/>
        <v>0.042944785276073816</v>
      </c>
      <c r="I84" s="1"/>
      <c r="J84" s="1"/>
      <c r="K84" s="1"/>
      <c r="L84" s="1"/>
      <c r="M84" s="1"/>
    </row>
    <row r="85" ht="15" customHeight="1">
      <c r="A85" s="1"/>
      <c r="B85" s="35" t="s">
        <v>73</v>
      </c>
      <c r="C85" s="27">
        <f>C83-(Inputs!G341-Inputs!G232)</f>
        <v>0.9999999999999858</v>
      </c>
      <c r="D85" s="40">
        <f t="shared" si="24"/>
        <v>1.0000000000000284</v>
      </c>
      <c r="E85" s="1"/>
      <c r="F85" s="40">
        <f t="shared" si="26"/>
        <v>0.4999999999999858</v>
      </c>
      <c r="G85" s="40">
        <f t="shared" si="24"/>
        <v>0.7999999999999972</v>
      </c>
      <c r="H85" s="38">
        <f t="shared" si="24"/>
        <v>0.5</v>
      </c>
      <c r="I85" s="1"/>
      <c r="J85" s="1"/>
      <c r="K85" s="1"/>
      <c r="L85" s="1"/>
      <c r="M85" s="1"/>
    </row>
    <row r="86" ht="15" customHeight="1">
      <c r="A86" s="1"/>
      <c r="B86" s="3" t="s">
        <v>116</v>
      </c>
      <c r="C86" s="33">
        <v>151.2</v>
      </c>
      <c r="D86" s="33">
        <v>152.8</v>
      </c>
      <c r="E86" s="33">
        <v>152.8</v>
      </c>
      <c r="F86" s="33">
        <v>153.9</v>
      </c>
      <c r="G86" s="33">
        <v>155.1</v>
      </c>
      <c r="H86" s="34">
        <f>H72+H83</f>
        <v>156.3</v>
      </c>
      <c r="I86" s="1"/>
      <c r="J86" s="4" t="s">
        <v>69</v>
      </c>
      <c r="K86" s="1"/>
      <c r="L86" s="1"/>
      <c r="M86" s="1"/>
    </row>
    <row r="87" ht="15" customHeight="1">
      <c r="A87" s="1"/>
      <c r="B87" s="35" t="s">
        <v>70</v>
      </c>
      <c r="C87" s="36">
        <f>C86/Inputs!C341-1</f>
        <v>0.039175257731958624</v>
      </c>
      <c r="D87" s="36">
        <f>D86/Inputs!D341-1</f>
        <v>0.04300341296928334</v>
      </c>
      <c r="E87" s="36">
        <f>E86/Inputs!E341-1</f>
        <v>0.04300341296928334</v>
      </c>
      <c r="F87" s="36">
        <f>F86/Inputs!F341-1</f>
        <v>0.04338983050847456</v>
      </c>
      <c r="G87" s="36">
        <f>G86/Inputs!G341-1</f>
        <v>0.0381526104417671</v>
      </c>
      <c r="H87" s="37">
        <f t="shared" si="13"/>
        <v>0.03373015873015883</v>
      </c>
      <c r="I87" s="1"/>
      <c r="J87" s="1"/>
      <c r="K87" s="1"/>
      <c r="L87" s="1"/>
      <c r="M87" s="1"/>
    </row>
    <row r="88" ht="15" customHeight="1">
      <c r="A88" s="1"/>
      <c r="B88" s="35" t="s">
        <v>71</v>
      </c>
      <c r="C88" s="27">
        <f>C86-Inputs!C341</f>
        <v>5.699999999999989</v>
      </c>
      <c r="D88" s="27">
        <f>D86-Inputs!D341</f>
        <v>6.300000000000011</v>
      </c>
      <c r="E88" s="27">
        <f>E86-Inputs!E341</f>
        <v>6.300000000000011</v>
      </c>
      <c r="F88" s="27">
        <f>F86-Inputs!F341</f>
        <v>6.400000000000006</v>
      </c>
      <c r="G88" s="27">
        <f>G86-Inputs!G341</f>
        <v>5.699999999999989</v>
      </c>
      <c r="H88" s="38">
        <f t="shared" si="14"/>
        <v>5.100000000000023</v>
      </c>
      <c r="I88" s="1"/>
      <c r="J88" s="1"/>
      <c r="K88" s="1"/>
      <c r="L88" s="1"/>
      <c r="M88" s="1"/>
    </row>
    <row r="89" ht="15" customHeight="1">
      <c r="A89" s="1"/>
      <c r="B89" s="35" t="s">
        <v>73</v>
      </c>
      <c r="C89" s="27">
        <f>C86-Inputs!G341</f>
        <v>1.799999999999983</v>
      </c>
      <c r="D89" s="40">
        <f t="shared" si="15"/>
        <v>1.6000000000000227</v>
      </c>
      <c r="E89" s="1"/>
      <c r="F89" s="40">
        <f t="shared" si="22"/>
        <v>1.0999999999999943</v>
      </c>
      <c r="G89" s="40">
        <f t="shared" si="15"/>
        <v>1.1999999999999886</v>
      </c>
      <c r="H89" s="38">
        <f t="shared" si="15"/>
        <v>1.200000000000017</v>
      </c>
      <c r="I89" s="1"/>
      <c r="J89" s="1"/>
      <c r="K89" s="1"/>
      <c r="L89" s="1"/>
      <c r="M89" s="1"/>
    </row>
    <row r="90" ht="15" customHeight="1">
      <c r="A90" s="1"/>
      <c r="B90" s="1" t="s">
        <v>117</v>
      </c>
      <c r="C90" s="53">
        <v>127.6</v>
      </c>
      <c r="D90" s="53">
        <v>128.9</v>
      </c>
      <c r="E90" s="53">
        <v>128.9</v>
      </c>
      <c r="F90" s="53">
        <v>130.1</v>
      </c>
      <c r="G90" s="53">
        <v>130.6</v>
      </c>
      <c r="H90" s="52">
        <f>H79+(G90-G79)</f>
        <v>131.1</v>
      </c>
      <c r="I90" s="1"/>
      <c r="J90" s="4" t="s">
        <v>118</v>
      </c>
      <c r="K90" s="1"/>
      <c r="L90" s="1"/>
      <c r="M90" s="1"/>
    </row>
    <row r="91" ht="15" customHeight="1">
      <c r="A91" s="1"/>
      <c r="B91" s="35" t="s">
        <v>70</v>
      </c>
      <c r="C91" s="36">
        <f>C90/Inputs!C342-1</f>
        <v>0.0424836601307188</v>
      </c>
      <c r="D91" s="36">
        <f>D90/Inputs!D342-1</f>
        <v>0.04541768045417682</v>
      </c>
      <c r="E91" s="36">
        <f>E90/Inputs!E342-1</f>
        <v>0.04541768045417682</v>
      </c>
      <c r="F91" s="36">
        <f>F90/Inputs!F342-1</f>
        <v>0.04750402576489532</v>
      </c>
      <c r="G91" s="36">
        <f>G90/Inputs!G342-1</f>
        <v>0.03650793650793638</v>
      </c>
      <c r="H91" s="37">
        <f t="shared" si="13"/>
        <v>0.02742946708463956</v>
      </c>
      <c r="I91" s="1"/>
      <c r="J91" s="1"/>
      <c r="K91" s="1"/>
      <c r="L91" s="1"/>
      <c r="M91" s="1"/>
    </row>
    <row r="92" ht="15" customHeight="1">
      <c r="A92" s="1"/>
      <c r="B92" s="35" t="s">
        <v>71</v>
      </c>
      <c r="C92" s="27">
        <f>C90-Inputs!C342</f>
        <v>5.199999999999989</v>
      </c>
      <c r="D92" s="27">
        <f>D90-Inputs!D342</f>
        <v>5.6000000000000085</v>
      </c>
      <c r="E92" s="27">
        <f>E90-Inputs!E342</f>
        <v>5.6000000000000085</v>
      </c>
      <c r="F92" s="27">
        <f>F90-Inputs!F342</f>
        <v>5.8999999999999915</v>
      </c>
      <c r="G92" s="27">
        <f>G90-Inputs!G342</f>
        <v>4.599999999999994</v>
      </c>
      <c r="H92" s="38">
        <f t="shared" si="14"/>
        <v>3.5</v>
      </c>
      <c r="I92" s="1"/>
      <c r="J92" s="1"/>
      <c r="K92" s="1"/>
      <c r="L92" s="1"/>
      <c r="M92" s="1"/>
    </row>
    <row r="93" ht="15" customHeight="1">
      <c r="A93" s="1"/>
      <c r="B93" s="35" t="s">
        <v>73</v>
      </c>
      <c r="C93" s="27">
        <f>C90-Inputs!G342</f>
        <v>1.5999999999999943</v>
      </c>
      <c r="D93" s="40">
        <f t="shared" si="15"/>
        <v>1.3000000000000114</v>
      </c>
      <c r="E93" s="1"/>
      <c r="F93" s="40">
        <f t="shared" si="22"/>
        <v>1.1999999999999886</v>
      </c>
      <c r="G93" s="40">
        <f t="shared" si="15"/>
        <v>0.5</v>
      </c>
      <c r="H93" s="38">
        <f t="shared" si="15"/>
        <v>0.5</v>
      </c>
      <c r="I93" s="1"/>
      <c r="J93" s="1"/>
      <c r="K93" s="1"/>
      <c r="L93" s="1"/>
      <c r="M93" s="1"/>
    </row>
    <row r="94" ht="15" customHeight="1">
      <c r="A94" s="1"/>
      <c r="B94" s="1" t="s">
        <v>119</v>
      </c>
      <c r="C94" s="55">
        <v>6387</v>
      </c>
      <c r="D94" s="55">
        <v>6696</v>
      </c>
      <c r="E94" s="55">
        <v>25453</v>
      </c>
      <c r="F94" s="55">
        <v>6393</v>
      </c>
      <c r="G94" s="55">
        <v>6759</v>
      </c>
      <c r="H94" s="56">
        <f>H14/AVERAGE(G79,H79)*1000</f>
        <v>6746.937269372693</v>
      </c>
      <c r="I94" s="1"/>
      <c r="J94" s="4" t="s">
        <v>120</v>
      </c>
      <c r="K94" s="1"/>
      <c r="L94" s="1"/>
      <c r="M94" s="1"/>
    </row>
    <row r="95" ht="15" customHeight="1">
      <c r="A95" s="1"/>
      <c r="B95" s="35" t="s">
        <v>70</v>
      </c>
      <c r="C95" s="36">
        <f>C94/Inputs!C343-1</f>
        <v>0.045335515548281524</v>
      </c>
      <c r="D95" s="36">
        <f>D94/Inputs!D343-1</f>
        <v>0.049858889934148554</v>
      </c>
      <c r="E95" s="36">
        <f>E94/Inputs!E343-1</f>
        <v>0.03433842652795849</v>
      </c>
      <c r="F95" s="36">
        <f>F94/Inputs!F343-1</f>
        <v>0.06781359612493731</v>
      </c>
      <c r="G95" s="36">
        <f>G94/Inputs!G343-1</f>
        <v>0.06106750392464688</v>
      </c>
      <c r="H95" s="37">
        <f t="shared" si="13"/>
        <v>0.05635466876040285</v>
      </c>
      <c r="I95" s="1"/>
      <c r="J95" s="1"/>
      <c r="K95" s="1"/>
      <c r="L95" s="1"/>
      <c r="M95" s="1"/>
    </row>
    <row r="96" ht="15" customHeight="1">
      <c r="A96" s="1"/>
      <c r="B96" s="35" t="s">
        <v>71</v>
      </c>
      <c r="C96" s="57">
        <f>C94-Inputs!C343</f>
        <v>277</v>
      </c>
      <c r="D96" s="57">
        <f>D94-Inputs!D343</f>
        <v>318</v>
      </c>
      <c r="E96" s="57">
        <f>E94-Inputs!E343</f>
        <v>845</v>
      </c>
      <c r="F96" s="57">
        <f>F94-Inputs!F343</f>
        <v>406</v>
      </c>
      <c r="G96" s="57">
        <f>G94-Inputs!G343</f>
        <v>389</v>
      </c>
      <c r="H96" s="58">
        <f t="shared" si="14"/>
        <v>359.93726937269275</v>
      </c>
      <c r="I96" s="1"/>
      <c r="J96" s="1"/>
      <c r="K96" s="1"/>
      <c r="L96" s="1"/>
      <c r="M96" s="1"/>
    </row>
    <row r="97" ht="15" customHeight="1">
      <c r="A97" s="1"/>
      <c r="B97" s="35" t="s">
        <v>73</v>
      </c>
      <c r="C97" s="57">
        <f>C94-Inputs!G343</f>
        <v>17</v>
      </c>
      <c r="D97" s="59">
        <f t="shared" si="15"/>
        <v>309</v>
      </c>
      <c r="E97" s="1"/>
      <c r="F97" s="59">
        <f t="shared" si="22"/>
        <v>-303</v>
      </c>
      <c r="G97" s="59">
        <f t="shared" si="15"/>
        <v>366</v>
      </c>
      <c r="H97" s="58">
        <f t="shared" si="15"/>
        <v>-12.062730627307246</v>
      </c>
      <c r="I97" s="1"/>
      <c r="J97" s="1"/>
      <c r="K97" s="1"/>
      <c r="L97" s="1"/>
      <c r="M97" s="1"/>
    </row>
    <row r="98" ht="15" customHeight="1">
      <c r="A98" s="1"/>
      <c r="B98" s="4" t="s">
        <v>121</v>
      </c>
      <c r="C98" s="39">
        <f t="shared" si="29" ref="C98:H98">-C66/C61*365/C$7</f>
        <v>0.11175750153092481</v>
      </c>
      <c r="D98" s="39">
        <f t="shared" si="29"/>
        <v>0.10610465116279096</v>
      </c>
      <c r="E98" s="39">
        <f t="shared" si="29"/>
        <v>0.11363636363636366</v>
      </c>
      <c r="F98" s="39">
        <f t="shared" si="29"/>
        <v>0.1170772389017189</v>
      </c>
      <c r="G98" s="39">
        <f t="shared" si="29"/>
        <v>0.1195937090432507</v>
      </c>
      <c r="H98" s="37">
        <f t="shared" si="29"/>
        <v>0.10416666666666656</v>
      </c>
      <c r="I98" s="1"/>
      <c r="J98" s="1"/>
      <c r="K98" s="1"/>
      <c r="L98" s="1"/>
      <c r="M98" s="1"/>
    </row>
    <row r="99" ht="15" customHeight="1">
      <c r="A99" s="1"/>
      <c r="B99" s="35" t="s">
        <v>81</v>
      </c>
      <c r="C99" s="43" t="s">
        <v>35</v>
      </c>
      <c r="D99" s="43" t="s">
        <v>35</v>
      </c>
      <c r="E99" s="43" t="s">
        <v>35</v>
      </c>
      <c r="F99" s="43" t="s">
        <v>35</v>
      </c>
      <c r="G99" s="43" t="s">
        <v>35</v>
      </c>
      <c r="H99" s="48">
        <f t="shared" si="9"/>
        <v>-75.90834864258252</v>
      </c>
      <c r="I99" s="1"/>
      <c r="J99" s="1"/>
      <c r="K99" s="1"/>
      <c r="L99" s="1"/>
      <c r="M99" s="1"/>
    </row>
    <row r="100" ht="15" customHeight="1">
      <c r="A100" s="1"/>
      <c r="B100" s="35" t="s">
        <v>82</v>
      </c>
      <c r="C100" s="43" t="s">
        <v>35</v>
      </c>
      <c r="D100" s="49">
        <f t="shared" si="7"/>
        <v>-56.52850368133858</v>
      </c>
      <c r="E100" s="1"/>
      <c r="F100" s="49">
        <f t="shared" si="10"/>
        <v>109.72587738927939</v>
      </c>
      <c r="G100" s="49">
        <f t="shared" si="7"/>
        <v>25.16470141531807</v>
      </c>
      <c r="H100" s="48">
        <f t="shared" si="7"/>
        <v>-154.2704237658414</v>
      </c>
      <c r="I100" s="1"/>
      <c r="J100" s="1"/>
      <c r="K100" s="1"/>
      <c r="L100" s="1"/>
      <c r="M100" s="1"/>
    </row>
    <row r="101" ht="15" customHeight="1">
      <c r="A101" s="1"/>
      <c r="B101" s="4" t="s">
        <v>122</v>
      </c>
      <c r="C101" s="39">
        <f t="shared" si="30" ref="C101:H101">C62/C61*365/C$7</f>
        <v>0.1490100020412329</v>
      </c>
      <c r="D101" s="39">
        <f t="shared" si="30"/>
        <v>0.13378412537917087</v>
      </c>
      <c r="E101" s="39">
        <f t="shared" si="30"/>
        <v>0.14952153110047847</v>
      </c>
      <c r="F101" s="39">
        <f t="shared" si="30"/>
        <v>0.1451757762381319</v>
      </c>
      <c r="G101" s="39">
        <f t="shared" si="30"/>
        <v>0.13799274120375038</v>
      </c>
      <c r="H101" s="37">
        <f t="shared" si="30"/>
        <v>0.13586956521739132</v>
      </c>
      <c r="I101" s="1"/>
      <c r="J101" s="1"/>
      <c r="K101" s="1"/>
      <c r="L101" s="1"/>
      <c r="M101" s="1"/>
    </row>
    <row r="102" ht="15" customHeight="1">
      <c r="A102" s="1"/>
      <c r="B102" s="35" t="s">
        <v>81</v>
      </c>
      <c r="C102" s="43" t="s">
        <v>35</v>
      </c>
      <c r="D102" s="43" t="s">
        <v>35</v>
      </c>
      <c r="E102" s="43" t="s">
        <v>35</v>
      </c>
      <c r="F102" s="43" t="s">
        <v>35</v>
      </c>
      <c r="G102" s="43" t="s">
        <v>35</v>
      </c>
      <c r="H102" s="48">
        <f t="shared" si="9"/>
        <v>-131.40436823841583</v>
      </c>
      <c r="I102" s="1"/>
      <c r="J102" s="1"/>
      <c r="K102" s="1"/>
      <c r="L102" s="1"/>
      <c r="M102" s="1"/>
    </row>
    <row r="103" ht="15" customHeight="1">
      <c r="A103" s="1"/>
      <c r="B103" s="35" t="s">
        <v>82</v>
      </c>
      <c r="C103" s="43" t="s">
        <v>35</v>
      </c>
      <c r="D103" s="49">
        <f t="shared" si="7"/>
        <v>-152.25876662062043</v>
      </c>
      <c r="E103" s="1"/>
      <c r="F103" s="49">
        <f t="shared" si="10"/>
        <v>113.91650858961044</v>
      </c>
      <c r="G103" s="49">
        <f t="shared" si="7"/>
        <v>-71.8303503438153</v>
      </c>
      <c r="H103" s="48">
        <f t="shared" si="7"/>
        <v>-21.23175986359055</v>
      </c>
      <c r="I103" s="1"/>
      <c r="J103" s="1"/>
      <c r="K103" s="1"/>
      <c r="L103" s="1"/>
      <c r="M103" s="1"/>
    </row>
    <row r="104" ht="15" customHeight="1">
      <c r="A104" s="1"/>
      <c r="B104" s="1" t="s">
        <v>123</v>
      </c>
      <c r="C104" s="55">
        <v>119</v>
      </c>
      <c r="D104" s="55">
        <v>122</v>
      </c>
      <c r="E104" s="55">
        <v>117</v>
      </c>
      <c r="F104" s="55">
        <v>127</v>
      </c>
      <c r="G104" s="55">
        <v>131</v>
      </c>
      <c r="H104" s="60">
        <v>136</v>
      </c>
      <c r="I104" s="1"/>
      <c r="J104" s="4" t="s">
        <v>124</v>
      </c>
      <c r="K104" s="1"/>
      <c r="L104" s="1"/>
      <c r="M104" s="1"/>
    </row>
    <row r="105" ht="15" customHeight="1">
      <c r="A105" s="1"/>
      <c r="B105" s="35" t="s">
        <v>70</v>
      </c>
      <c r="C105" s="36">
        <f>C104/Inputs!C234-1</f>
        <v>0.1333333333333333</v>
      </c>
      <c r="D105" s="36">
        <f>D104/Inputs!D234-1</f>
        <v>0.12962962962962954</v>
      </c>
      <c r="E105" s="36">
        <f>E104/Inputs!E234-1</f>
        <v>0.13592233009708732</v>
      </c>
      <c r="F105" s="36">
        <f>F104/Inputs!F234-1</f>
        <v>0.14414414414414423</v>
      </c>
      <c r="G105" s="36">
        <f>G104/Inputs!G234-1</f>
        <v>0.11965811965811968</v>
      </c>
      <c r="H105" s="37">
        <f t="shared" si="13"/>
        <v>0.1428571428571428</v>
      </c>
      <c r="I105" s="1"/>
      <c r="J105" s="1"/>
      <c r="K105" s="1"/>
      <c r="L105" s="1"/>
      <c r="M105" s="1"/>
    </row>
    <row r="106" ht="15" customHeight="1">
      <c r="A106" s="1"/>
      <c r="B106" s="35" t="s">
        <v>71</v>
      </c>
      <c r="C106" s="57">
        <f>C104-Inputs!C234</f>
        <v>14</v>
      </c>
      <c r="D106" s="57">
        <f>D104-Inputs!D234</f>
        <v>14</v>
      </c>
      <c r="E106" s="57">
        <f>E104-Inputs!E234</f>
        <v>14</v>
      </c>
      <c r="F106" s="57">
        <f>F104-Inputs!F234</f>
        <v>16</v>
      </c>
      <c r="G106" s="57">
        <f>G104-Inputs!G234</f>
        <v>14</v>
      </c>
      <c r="H106" s="58">
        <f t="shared" si="14"/>
        <v>17</v>
      </c>
      <c r="I106" s="1"/>
      <c r="J106" s="1"/>
      <c r="K106" s="1"/>
      <c r="L106" s="1"/>
      <c r="M106" s="1"/>
    </row>
    <row r="107" ht="15" customHeight="1">
      <c r="A107" s="1"/>
      <c r="B107" s="35" t="s">
        <v>73</v>
      </c>
      <c r="C107" s="57">
        <f>C104-Inputs!G234</f>
        <v>2</v>
      </c>
      <c r="D107" s="59">
        <f t="shared" si="15"/>
        <v>3</v>
      </c>
      <c r="E107" s="1"/>
      <c r="F107" s="59">
        <f t="shared" si="22"/>
        <v>5</v>
      </c>
      <c r="G107" s="59">
        <f t="shared" si="15"/>
        <v>4</v>
      </c>
      <c r="H107" s="58">
        <f t="shared" si="15"/>
        <v>5</v>
      </c>
      <c r="I107" s="1"/>
      <c r="J107" s="1"/>
      <c r="K107" s="1"/>
      <c r="L107" s="1"/>
      <c r="M107" s="1"/>
    </row>
    <row r="108" ht="15" customHeight="1">
      <c r="A108" s="1"/>
      <c r="B108" s="3" t="s">
        <v>125</v>
      </c>
      <c r="C108" s="51">
        <f>'Income Statement'!C11</f>
        <v>2551</v>
      </c>
      <c r="D108" s="51">
        <f>'Income Statement'!D11</f>
        <v>2629</v>
      </c>
      <c r="E108" s="51">
        <f>'Income Statement'!E11</f>
        <v>9993</v>
      </c>
      <c r="F108" s="51">
        <f>'Income Statement'!F11</f>
        <v>2752</v>
      </c>
      <c r="G108" s="51">
        <f>'Income Statement'!G11</f>
        <v>2862</v>
      </c>
      <c r="H108" s="34">
        <f>H76*H104/4</f>
        <v>2990.2999999999997</v>
      </c>
      <c r="I108" s="1"/>
      <c r="J108" s="4" t="s">
        <v>126</v>
      </c>
      <c r="K108" s="1"/>
      <c r="L108" s="1"/>
      <c r="M108" s="1"/>
    </row>
    <row r="109" ht="15" customHeight="1">
      <c r="A109" s="1"/>
      <c r="B109" s="35" t="s">
        <v>70</v>
      </c>
      <c r="C109" s="36">
        <f>C108/Inputs!C207-1</f>
        <v>0.17557603686635948</v>
      </c>
      <c r="D109" s="36">
        <f>D108/Inputs!D207-1</f>
        <v>0.17104677060133633</v>
      </c>
      <c r="E109" s="36">
        <f>E108/Inputs!E207-1</f>
        <v>0.1827435199431886</v>
      </c>
      <c r="F109" s="36">
        <f>F108/Inputs!F207-1</f>
        <v>0.17959708529789964</v>
      </c>
      <c r="G109" s="36">
        <f>G108/Inputs!G207-1</f>
        <v>0.15403225806451615</v>
      </c>
      <c r="H109" s="37">
        <f t="shared" si="13"/>
        <v>0.17220697765582105</v>
      </c>
      <c r="I109" s="1"/>
      <c r="J109" s="1"/>
      <c r="K109" s="1"/>
      <c r="L109" s="1"/>
      <c r="M109" s="1"/>
    </row>
    <row r="110" ht="15" customHeight="1">
      <c r="A110" s="1"/>
      <c r="B110" s="35" t="s">
        <v>72</v>
      </c>
      <c r="C110" s="36">
        <f>C108/Inputs!G207-1</f>
        <v>0.028629032258064457</v>
      </c>
      <c r="D110" s="39">
        <f t="shared" si="19"/>
        <v>0.030576244609956893</v>
      </c>
      <c r="E110" s="1"/>
      <c r="F110" s="39">
        <f t="shared" si="31"/>
        <v>0.04678585013313041</v>
      </c>
      <c r="G110" s="39">
        <f t="shared" si="19"/>
        <v>0.039970930232558155</v>
      </c>
      <c r="H110" s="37">
        <f t="shared" si="19"/>
        <v>0.044828791055206096</v>
      </c>
      <c r="I110" s="1"/>
      <c r="J110" s="1"/>
      <c r="K110" s="1"/>
      <c r="L110" s="1"/>
      <c r="M110" s="1"/>
    </row>
    <row r="111" ht="15" customHeight="1">
      <c r="A111" s="1"/>
      <c r="B111" s="41" t="s">
        <v>74</v>
      </c>
      <c r="C111" s="39">
        <f t="shared" si="20"/>
        <v>0.17557603686635948</v>
      </c>
      <c r="D111" s="39">
        <f t="shared" si="20"/>
        <v>0.17104677060133633</v>
      </c>
      <c r="E111" s="39">
        <f t="shared" si="20"/>
        <v>0.1827435199431886</v>
      </c>
      <c r="F111" s="39">
        <f t="shared" si="20"/>
        <v>0.17959708529789964</v>
      </c>
      <c r="G111" s="39">
        <f t="shared" si="20"/>
        <v>0.15403225806451615</v>
      </c>
      <c r="H111" s="37">
        <f t="shared" si="20"/>
        <v>0.17220697765582105</v>
      </c>
      <c r="I111" s="1"/>
      <c r="J111" s="1"/>
      <c r="K111" s="1"/>
      <c r="L111" s="1"/>
      <c r="M111" s="1"/>
    </row>
    <row r="112" ht="15" customHeight="1">
      <c r="A112" s="1"/>
      <c r="B112" s="41" t="s">
        <v>75</v>
      </c>
      <c r="C112" s="43" t="s">
        <v>35</v>
      </c>
      <c r="D112" s="43" t="s">
        <v>35</v>
      </c>
      <c r="E112" s="43" t="s">
        <v>35</v>
      </c>
      <c r="F112" s="43" t="s">
        <v>35</v>
      </c>
      <c r="G112" s="43" t="s">
        <v>35</v>
      </c>
      <c r="H112" s="37">
        <f>H20</f>
        <v>-0.0038713752857658518</v>
      </c>
      <c r="I112" s="1"/>
      <c r="J112" s="1"/>
      <c r="K112" s="1"/>
      <c r="L112" s="1"/>
      <c r="M112" s="1"/>
    </row>
    <row r="113" ht="15" customHeight="1">
      <c r="A113" s="1"/>
      <c r="B113" s="41" t="s">
        <v>77</v>
      </c>
      <c r="C113" s="43" t="s">
        <v>35</v>
      </c>
      <c r="D113" s="43" t="s">
        <v>35</v>
      </c>
      <c r="E113" s="43" t="s">
        <v>35</v>
      </c>
      <c r="F113" s="43" t="s">
        <v>35</v>
      </c>
      <c r="G113" s="43" t="s">
        <v>35</v>
      </c>
      <c r="H113" s="44" t="s">
        <v>35</v>
      </c>
      <c r="I113" s="1"/>
      <c r="J113" s="1"/>
      <c r="K113" s="1"/>
      <c r="L113" s="1"/>
      <c r="M113" s="1"/>
    </row>
    <row r="114" ht="15" customHeight="1">
      <c r="A114" s="1"/>
      <c r="B114" s="41" t="s">
        <v>78</v>
      </c>
      <c r="C114" s="45" t="str">
        <f t="shared" si="5"/>
        <v>unavailable</v>
      </c>
      <c r="D114" s="45" t="str">
        <f t="shared" si="5"/>
        <v>unavailable</v>
      </c>
      <c r="E114" s="45" t="str">
        <f t="shared" si="5"/>
        <v>unavailable</v>
      </c>
      <c r="F114" s="45" t="str">
        <f t="shared" si="5"/>
        <v>unavailable</v>
      </c>
      <c r="G114" s="45" t="str">
        <f t="shared" si="5"/>
        <v>unavailable</v>
      </c>
      <c r="H114" s="46" t="str">
        <f t="shared" si="5"/>
        <v>unavailable</v>
      </c>
      <c r="I114" s="1"/>
      <c r="J114" s="1"/>
      <c r="K114" s="1"/>
      <c r="L114" s="1"/>
      <c r="M114" s="1"/>
    </row>
    <row r="115" ht="15" customHeight="1">
      <c r="A115" s="1"/>
      <c r="B115" s="1" t="s">
        <v>127</v>
      </c>
      <c r="C115" s="16">
        <f>'Income Statement'!C12</f>
        <v>1976</v>
      </c>
      <c r="D115" s="16">
        <f>'Income Statement'!D12</f>
        <v>1945</v>
      </c>
      <c r="E115" s="16">
        <f>'Income Statement'!E12</f>
        <v>7471</v>
      </c>
      <c r="F115" s="16">
        <f>'Income Statement'!F12</f>
        <v>1951</v>
      </c>
      <c r="G115" s="16">
        <f>'Income Statement'!G12</f>
        <v>1963</v>
      </c>
      <c r="H115" s="15">
        <f>'Income Statement'!H12</f>
        <v>2075.832200000002</v>
      </c>
      <c r="I115" s="1"/>
      <c r="J115" s="4" t="s">
        <v>128</v>
      </c>
      <c r="K115" s="1"/>
      <c r="L115" s="1"/>
      <c r="M115" s="1"/>
    </row>
    <row r="116" ht="15" customHeight="1">
      <c r="A116" s="1"/>
      <c r="B116" s="35" t="s">
        <v>70</v>
      </c>
      <c r="C116" s="36">
        <f>C115/Inputs!C208-1</f>
        <v>0.17619047619047623</v>
      </c>
      <c r="D116" s="36">
        <f>D115/Inputs!D208-1</f>
        <v>0.13147178592204778</v>
      </c>
      <c r="E116" s="36">
        <f>E115/Inputs!E208-1</f>
        <v>0.10436067997043597</v>
      </c>
      <c r="F116" s="36">
        <f>F115/Inputs!F208-1</f>
        <v>0.1329849012775841</v>
      </c>
      <c r="G116" s="36">
        <f>G115/Inputs!G208-1</f>
        <v>0.07385120350109409</v>
      </c>
      <c r="H116" s="37">
        <f t="shared" si="13"/>
        <v>0.05052236842105362</v>
      </c>
      <c r="I116" s="1"/>
      <c r="J116" s="1"/>
      <c r="K116" s="1"/>
      <c r="L116" s="1"/>
      <c r="M116" s="1"/>
    </row>
    <row r="117" ht="15" customHeight="1">
      <c r="A117" s="1"/>
      <c r="B117" s="35" t="s">
        <v>72</v>
      </c>
      <c r="C117" s="36">
        <f>C115/Inputs!G208-1</f>
        <v>0.08096280087527363</v>
      </c>
      <c r="D117" s="39">
        <f t="shared" si="19"/>
        <v>-0.01568825910931171</v>
      </c>
      <c r="E117" s="1"/>
      <c r="F117" s="39">
        <f t="shared" si="31"/>
        <v>0.0030848329048842604</v>
      </c>
      <c r="G117" s="39">
        <f t="shared" si="19"/>
        <v>0.006150691952844678</v>
      </c>
      <c r="H117" s="37">
        <f t="shared" si="19"/>
        <v>0.0574794701986765</v>
      </c>
      <c r="I117" s="1"/>
      <c r="J117" s="1"/>
      <c r="K117" s="1"/>
      <c r="L117" s="1"/>
      <c r="M117" s="1"/>
    </row>
    <row r="118" ht="15" customHeight="1">
      <c r="A118" s="1"/>
      <c r="B118" s="41" t="s">
        <v>74</v>
      </c>
      <c r="C118" s="39">
        <f t="shared" si="20"/>
        <v>0.17619047619047623</v>
      </c>
      <c r="D118" s="39">
        <f t="shared" si="20"/>
        <v>0.13147178592204778</v>
      </c>
      <c r="E118" s="39">
        <f t="shared" si="20"/>
        <v>0.10436067997043597</v>
      </c>
      <c r="F118" s="39">
        <f t="shared" si="20"/>
        <v>0.1329849012775841</v>
      </c>
      <c r="G118" s="39">
        <f t="shared" si="20"/>
        <v>0.07385120350109409</v>
      </c>
      <c r="H118" s="37">
        <f t="shared" si="20"/>
        <v>0.05052236842105362</v>
      </c>
      <c r="I118" s="1"/>
      <c r="J118" s="1"/>
      <c r="K118" s="1"/>
      <c r="L118" s="1"/>
      <c r="M118" s="1"/>
    </row>
    <row r="119" ht="15" customHeight="1">
      <c r="A119" s="1"/>
      <c r="B119" s="41" t="s">
        <v>75</v>
      </c>
      <c r="C119" s="43" t="s">
        <v>35</v>
      </c>
      <c r="D119" s="43" t="s">
        <v>35</v>
      </c>
      <c r="E119" s="43" t="s">
        <v>35</v>
      </c>
      <c r="F119" s="43" t="s">
        <v>35</v>
      </c>
      <c r="G119" s="43" t="s">
        <v>35</v>
      </c>
      <c r="H119" s="44" t="s">
        <v>35</v>
      </c>
      <c r="I119" s="1"/>
      <c r="J119" s="1"/>
      <c r="K119" s="1"/>
      <c r="L119" s="1"/>
      <c r="M119" s="1"/>
    </row>
    <row r="120" ht="15" customHeight="1">
      <c r="A120" s="1"/>
      <c r="B120" s="41" t="s">
        <v>77</v>
      </c>
      <c r="C120" s="43" t="s">
        <v>35</v>
      </c>
      <c r="D120" s="43" t="s">
        <v>35</v>
      </c>
      <c r="E120" s="43" t="s">
        <v>35</v>
      </c>
      <c r="F120" s="43" t="s">
        <v>35</v>
      </c>
      <c r="G120" s="43" t="s">
        <v>35</v>
      </c>
      <c r="H120" s="44" t="s">
        <v>35</v>
      </c>
      <c r="I120" s="1"/>
      <c r="J120" s="1"/>
      <c r="K120" s="1"/>
      <c r="L120" s="1"/>
      <c r="M120" s="1"/>
    </row>
    <row r="121" ht="15" customHeight="1">
      <c r="A121" s="1"/>
      <c r="B121" s="41" t="s">
        <v>78</v>
      </c>
      <c r="C121" s="45" t="str">
        <f t="shared" si="5"/>
        <v>unavailable</v>
      </c>
      <c r="D121" s="45" t="str">
        <f t="shared" si="5"/>
        <v>unavailable</v>
      </c>
      <c r="E121" s="45" t="str">
        <f t="shared" si="5"/>
        <v>unavailable</v>
      </c>
      <c r="F121" s="45" t="str">
        <f t="shared" si="5"/>
        <v>unavailable</v>
      </c>
      <c r="G121" s="45" t="str">
        <f t="shared" si="5"/>
        <v>unavailable</v>
      </c>
      <c r="H121" s="46" t="str">
        <f t="shared" si="5"/>
        <v>unavailable</v>
      </c>
      <c r="I121" s="1"/>
      <c r="J121" s="1"/>
      <c r="K121" s="1"/>
      <c r="L121" s="1"/>
      <c r="M121" s="1"/>
    </row>
    <row r="122" ht="15" customHeight="1">
      <c r="A122" s="1"/>
      <c r="B122" s="1"/>
      <c r="C122" s="1"/>
      <c r="D122" s="1"/>
      <c r="E122" s="1"/>
      <c r="F122" s="1"/>
      <c r="G122" s="1"/>
      <c r="H122" s="29"/>
      <c r="I122" s="1"/>
      <c r="J122" s="1"/>
      <c r="K122" s="1"/>
      <c r="L122" s="1"/>
      <c r="M122" s="1"/>
    </row>
    <row r="123" ht="15" customHeight="1">
      <c r="A123" s="1"/>
      <c r="B123" s="30" t="s">
        <v>129</v>
      </c>
      <c r="C123" s="1"/>
      <c r="D123" s="1"/>
      <c r="E123" s="1"/>
      <c r="F123" s="1"/>
      <c r="G123" s="1"/>
      <c r="H123" s="29"/>
      <c r="I123" s="1"/>
      <c r="J123" s="1"/>
      <c r="K123" s="1"/>
      <c r="L123" s="1"/>
      <c r="M123" s="1"/>
    </row>
    <row r="124" ht="15" customHeight="1">
      <c r="A124" s="1"/>
      <c r="B124" s="1" t="s">
        <v>130</v>
      </c>
      <c r="C124" s="16">
        <f>'Segment - USCS'!C97</f>
        <v>8856</v>
      </c>
      <c r="D124" s="16">
        <f>'Segment - USCS'!D97</f>
        <v>9156</v>
      </c>
      <c r="E124" s="16">
        <f>'Segment - USCS'!E97</f>
        <v>34814</v>
      </c>
      <c r="F124" s="16">
        <f>'Segment - USCS'!F97</f>
        <v>9124</v>
      </c>
      <c r="G124" s="16">
        <f>'Segment - USCS'!G97</f>
        <v>9524</v>
      </c>
      <c r="H124" s="15">
        <f>'Segment - USCS'!H97</f>
        <v>9836.952701369864</v>
      </c>
      <c r="I124" s="1"/>
      <c r="J124" s="1"/>
      <c r="K124" s="1"/>
      <c r="L124" s="1"/>
      <c r="M124" s="1"/>
    </row>
    <row r="125" ht="15" customHeight="1">
      <c r="A125" s="1"/>
      <c r="B125" s="35" t="s">
        <v>70</v>
      </c>
      <c r="C125" s="36">
        <f>C124/Inputs!C268-1</f>
        <v>0.11480362537764344</v>
      </c>
      <c r="D125" s="36">
        <f>D124/Inputs!D268-1</f>
        <v>0.10954920019389247</v>
      </c>
      <c r="E125" s="36">
        <f>E124/Inputs!E268-1</f>
        <v>0.10777357049670666</v>
      </c>
      <c r="F125" s="36">
        <f>F124/Inputs!F268-1</f>
        <v>0.10607346345011526</v>
      </c>
      <c r="G125" s="36">
        <f>G124/Inputs!G268-1</f>
        <v>0.11352741728048632</v>
      </c>
      <c r="H125" s="37">
        <f t="shared" si="13"/>
        <v>0.1107670168665158</v>
      </c>
      <c r="I125" s="1"/>
      <c r="J125" s="1"/>
      <c r="K125" s="1"/>
      <c r="L125" s="1"/>
      <c r="M125" s="1"/>
    </row>
    <row r="126" ht="15" customHeight="1">
      <c r="A126" s="1"/>
      <c r="B126" s="35" t="s">
        <v>72</v>
      </c>
      <c r="C126" s="36">
        <f>C124/Inputs!G268-1</f>
        <v>0.03542616625745354</v>
      </c>
      <c r="D126" s="39">
        <f t="shared" si="19"/>
        <v>0.03387533875338744</v>
      </c>
      <c r="E126" s="1"/>
      <c r="F126" s="39">
        <f t="shared" si="31"/>
        <v>-0.003494975972040182</v>
      </c>
      <c r="G126" s="39">
        <f t="shared" si="19"/>
        <v>0.0438404208680403</v>
      </c>
      <c r="H126" s="37">
        <f t="shared" si="19"/>
        <v>0.032859376456306544</v>
      </c>
      <c r="I126" s="1"/>
      <c r="J126" s="1"/>
      <c r="K126" s="1"/>
      <c r="L126" s="1"/>
      <c r="M126" s="1"/>
    </row>
    <row r="127" ht="15" customHeight="1">
      <c r="A127" s="1"/>
      <c r="B127" s="35" t="s">
        <v>131</v>
      </c>
      <c r="C127" s="39">
        <f t="shared" si="32" ref="C127:H127">C124/C158</f>
        <v>0.4806252035167698</v>
      </c>
      <c r="D127" s="39">
        <f t="shared" si="32"/>
        <v>0.48240252897787145</v>
      </c>
      <c r="E127" s="39">
        <f t="shared" si="32"/>
        <v>0.48199476664497637</v>
      </c>
      <c r="F127" s="39">
        <f t="shared" si="32"/>
        <v>0.4825725921616333</v>
      </c>
      <c r="G127" s="39">
        <f t="shared" si="32"/>
        <v>0.4850028008351581</v>
      </c>
      <c r="H127" s="37">
        <f t="shared" si="32"/>
        <v>0.4904797468862377</v>
      </c>
      <c r="I127" s="1"/>
      <c r="J127" s="1"/>
      <c r="K127" s="1"/>
      <c r="L127" s="1"/>
      <c r="M127" s="1"/>
    </row>
    <row r="128" ht="15" customHeight="1">
      <c r="A128" s="1"/>
      <c r="B128" s="41" t="s">
        <v>74</v>
      </c>
      <c r="C128" s="39">
        <f t="shared" si="33" ref="C128:H162">C125</f>
        <v>0.11480362537764344</v>
      </c>
      <c r="D128" s="39">
        <f t="shared" si="33"/>
        <v>0.10954920019389247</v>
      </c>
      <c r="E128" s="39">
        <f t="shared" si="33"/>
        <v>0.10777357049670666</v>
      </c>
      <c r="F128" s="39">
        <f t="shared" si="33"/>
        <v>0.10607346345011526</v>
      </c>
      <c r="G128" s="39">
        <f t="shared" si="33"/>
        <v>0.11352741728048632</v>
      </c>
      <c r="H128" s="37">
        <f t="shared" si="33"/>
        <v>0.1107670168665158</v>
      </c>
      <c r="I128" s="1"/>
      <c r="J128" s="1"/>
      <c r="K128" s="1"/>
      <c r="L128" s="1"/>
      <c r="M128" s="1"/>
    </row>
    <row r="129" ht="15" customHeight="1">
      <c r="A129" s="1"/>
      <c r="B129" s="41" t="s">
        <v>75</v>
      </c>
      <c r="C129" s="61" t="str">
        <f>'Segment - USCS'!C101</f>
        <v>n/a</v>
      </c>
      <c r="D129" s="61" t="str">
        <f>'Segment - USCS'!D101</f>
        <v>n/a</v>
      </c>
      <c r="E129" s="61" t="str">
        <f>'Segment - USCS'!E101</f>
        <v>n/a</v>
      </c>
      <c r="F129" s="61" t="str">
        <f>'Segment - USCS'!F101</f>
        <v>n/a</v>
      </c>
      <c r="G129" s="61" t="str">
        <f>'Segment - USCS'!G101</f>
        <v>n/a</v>
      </c>
      <c r="H129" s="62" t="str">
        <f>'Segment - USCS'!H101</f>
        <v>n/a</v>
      </c>
      <c r="I129" s="1"/>
      <c r="J129" s="1"/>
      <c r="K129" s="1"/>
      <c r="L129" s="1"/>
      <c r="M129" s="1"/>
    </row>
    <row r="130" ht="15" customHeight="1">
      <c r="A130" s="1"/>
      <c r="B130" s="41" t="s">
        <v>77</v>
      </c>
      <c r="C130" s="43" t="s">
        <v>35</v>
      </c>
      <c r="D130" s="43" t="s">
        <v>35</v>
      </c>
      <c r="E130" s="43" t="s">
        <v>35</v>
      </c>
      <c r="F130" s="43" t="s">
        <v>35</v>
      </c>
      <c r="G130" s="43" t="s">
        <v>35</v>
      </c>
      <c r="H130" s="44" t="s">
        <v>35</v>
      </c>
      <c r="I130" s="1"/>
      <c r="J130" s="1"/>
      <c r="K130" s="1"/>
      <c r="L130" s="1"/>
      <c r="M130" s="1"/>
    </row>
    <row r="131" ht="15" customHeight="1">
      <c r="A131" s="1"/>
      <c r="B131" s="41" t="s">
        <v>78</v>
      </c>
      <c r="C131" s="45" t="str">
        <f t="shared" si="5"/>
        <v>unavailable</v>
      </c>
      <c r="D131" s="45" t="str">
        <f t="shared" si="5"/>
        <v>unavailable</v>
      </c>
      <c r="E131" s="45" t="str">
        <f t="shared" si="5"/>
        <v>unavailable</v>
      </c>
      <c r="F131" s="45" t="str">
        <f t="shared" si="5"/>
        <v>unavailable</v>
      </c>
      <c r="G131" s="45" t="str">
        <f t="shared" si="5"/>
        <v>unavailable</v>
      </c>
      <c r="H131" s="46" t="str">
        <f t="shared" si="5"/>
        <v>unavailable</v>
      </c>
      <c r="I131" s="1"/>
      <c r="J131" s="1"/>
      <c r="K131" s="1"/>
      <c r="L131" s="1"/>
      <c r="M131" s="1"/>
    </row>
    <row r="132" ht="15" customHeight="1">
      <c r="A132" s="1"/>
      <c r="B132" s="1" t="s">
        <v>132</v>
      </c>
      <c r="C132" s="16">
        <f>'Segment - CS'!C87</f>
        <v>4281</v>
      </c>
      <c r="D132" s="16">
        <f>'Segment - CS'!D87</f>
        <v>4398</v>
      </c>
      <c r="E132" s="16">
        <f>'Segment - CS'!E87</f>
        <v>16926</v>
      </c>
      <c r="F132" s="16">
        <f>'Segment - CS'!F87</f>
        <v>4321</v>
      </c>
      <c r="G132" s="16">
        <f>'Segment - CS'!G87</f>
        <v>4502</v>
      </c>
      <c r="H132" s="15">
        <f>'Segment - CS'!H87</f>
        <v>4515.3633</v>
      </c>
      <c r="I132" s="1"/>
      <c r="J132" s="1"/>
      <c r="K132" s="1"/>
      <c r="L132" s="1"/>
      <c r="M132" s="1"/>
    </row>
    <row r="133" ht="15" customHeight="1">
      <c r="A133" s="1"/>
      <c r="B133" s="35" t="s">
        <v>70</v>
      </c>
      <c r="C133" s="36">
        <f>C132/Inputs!C291-1</f>
        <v>0.0707853926963482</v>
      </c>
      <c r="D133" s="36">
        <f>D132/Inputs!D291-1</f>
        <v>0.06695778748180503</v>
      </c>
      <c r="E133" s="36">
        <f>E132/Inputs!E291-1</f>
        <v>0.06728040860079454</v>
      </c>
      <c r="F133" s="36">
        <f>F132/Inputs!F291-1</f>
        <v>0.07087980173482022</v>
      </c>
      <c r="G133" s="36">
        <f>G132/Inputs!G291-1</f>
        <v>0.06885090218423562</v>
      </c>
      <c r="H133" s="37">
        <f t="shared" si="13"/>
        <v>0.05474498948843731</v>
      </c>
      <c r="I133" s="1"/>
      <c r="J133" s="1"/>
      <c r="K133" s="1"/>
      <c r="L133" s="1"/>
      <c r="M133" s="1"/>
    </row>
    <row r="134" ht="15" customHeight="1">
      <c r="A134" s="1"/>
      <c r="B134" s="35" t="s">
        <v>72</v>
      </c>
      <c r="C134" s="36">
        <f>C132/Inputs!G291-1</f>
        <v>0.01638176638176647</v>
      </c>
      <c r="D134" s="39">
        <f t="shared" si="19"/>
        <v>0.027330063069376243</v>
      </c>
      <c r="E134" s="1"/>
      <c r="F134" s="39">
        <f t="shared" si="31"/>
        <v>-0.017507958162801263</v>
      </c>
      <c r="G134" s="39">
        <f t="shared" si="19"/>
        <v>0.04188845174728062</v>
      </c>
      <c r="H134" s="37">
        <f t="shared" si="19"/>
        <v>0.002968302976454895</v>
      </c>
      <c r="I134" s="1"/>
      <c r="J134" s="1"/>
      <c r="K134" s="1"/>
      <c r="L134" s="1"/>
      <c r="M134" s="1"/>
    </row>
    <row r="135" ht="15" customHeight="1">
      <c r="A135" s="1"/>
      <c r="B135" s="35" t="s">
        <v>131</v>
      </c>
      <c r="C135" s="39">
        <f t="shared" si="34" ref="C135:H135">C132/C158</f>
        <v>0.23233474438293716</v>
      </c>
      <c r="D135" s="39">
        <f t="shared" si="34"/>
        <v>0.23171759747102214</v>
      </c>
      <c r="E135" s="39">
        <f t="shared" si="34"/>
        <v>0.23433800827922302</v>
      </c>
      <c r="F135" s="39">
        <f t="shared" si="34"/>
        <v>0.22853969429311896</v>
      </c>
      <c r="G135" s="39">
        <f t="shared" si="34"/>
        <v>0.22926108876101237</v>
      </c>
      <c r="H135" s="37">
        <f t="shared" si="34"/>
        <v>0.22514027623361402</v>
      </c>
      <c r="I135" s="1"/>
      <c r="J135" s="1"/>
      <c r="K135" s="1"/>
      <c r="L135" s="1"/>
      <c r="M135" s="1"/>
    </row>
    <row r="136" ht="15" customHeight="1">
      <c r="A136" s="1"/>
      <c r="B136" s="41" t="s">
        <v>74</v>
      </c>
      <c r="C136" s="39">
        <f t="shared" si="33"/>
        <v>0.0707853926963482</v>
      </c>
      <c r="D136" s="39">
        <f t="shared" si="33"/>
        <v>0.06695778748180503</v>
      </c>
      <c r="E136" s="39">
        <f t="shared" si="33"/>
        <v>0.06728040860079454</v>
      </c>
      <c r="F136" s="39">
        <f t="shared" si="33"/>
        <v>0.07087980173482022</v>
      </c>
      <c r="G136" s="39">
        <f t="shared" si="33"/>
        <v>0.06885090218423562</v>
      </c>
      <c r="H136" s="37">
        <f t="shared" si="33"/>
        <v>0.05474498948843731</v>
      </c>
      <c r="I136" s="1"/>
      <c r="J136" s="1"/>
      <c r="K136" s="1"/>
      <c r="L136" s="1"/>
      <c r="M136" s="1"/>
    </row>
    <row r="137" ht="15" customHeight="1">
      <c r="A137" s="1"/>
      <c r="B137" s="41" t="s">
        <v>75</v>
      </c>
      <c r="C137" s="61" t="str">
        <f>'Segment - CS'!C91</f>
        <v>n/a</v>
      </c>
      <c r="D137" s="61" t="str">
        <f>'Segment - CS'!D91</f>
        <v>n/a</v>
      </c>
      <c r="E137" s="61" t="str">
        <f>'Segment - CS'!E91</f>
        <v>n/a</v>
      </c>
      <c r="F137" s="61" t="str">
        <f>'Segment - CS'!F91</f>
        <v>n/a</v>
      </c>
      <c r="G137" s="61" t="str">
        <f>'Segment - CS'!G91</f>
        <v>n/a</v>
      </c>
      <c r="H137" s="42">
        <f>'Segment - CS'!H91</f>
        <v>0</v>
      </c>
      <c r="I137" s="1"/>
      <c r="J137" s="1"/>
      <c r="K137" s="1"/>
      <c r="L137" s="1"/>
      <c r="M137" s="1"/>
    </row>
    <row r="138" ht="15" customHeight="1">
      <c r="A138" s="1"/>
      <c r="B138" s="41" t="s">
        <v>77</v>
      </c>
      <c r="C138" s="43" t="s">
        <v>35</v>
      </c>
      <c r="D138" s="43" t="s">
        <v>35</v>
      </c>
      <c r="E138" s="43" t="s">
        <v>35</v>
      </c>
      <c r="F138" s="43" t="s">
        <v>35</v>
      </c>
      <c r="G138" s="43" t="s">
        <v>35</v>
      </c>
      <c r="H138" s="44" t="s">
        <v>35</v>
      </c>
      <c r="I138" s="1"/>
      <c r="J138" s="1"/>
      <c r="K138" s="1"/>
      <c r="L138" s="1"/>
      <c r="M138" s="1"/>
    </row>
    <row r="139" ht="15" customHeight="1">
      <c r="A139" s="1"/>
      <c r="B139" s="41" t="s">
        <v>78</v>
      </c>
      <c r="C139" s="45" t="str">
        <f t="shared" si="5"/>
        <v>unavailable</v>
      </c>
      <c r="D139" s="45" t="str">
        <f t="shared" si="5"/>
        <v>unavailable</v>
      </c>
      <c r="E139" s="45" t="str">
        <f t="shared" si="5"/>
        <v>unavailable</v>
      </c>
      <c r="F139" s="45" t="str">
        <f t="shared" si="5"/>
        <v>unavailable</v>
      </c>
      <c r="G139" s="45" t="str">
        <f t="shared" si="5"/>
        <v>unavailable</v>
      </c>
      <c r="H139" s="46" t="str">
        <f t="shared" si="5"/>
        <v>unavailable</v>
      </c>
      <c r="I139" s="1"/>
      <c r="J139" s="1"/>
      <c r="K139" s="1"/>
      <c r="L139" s="1"/>
      <c r="M139" s="1"/>
    </row>
    <row r="140" ht="15" customHeight="1">
      <c r="A140" s="1"/>
      <c r="B140" s="1" t="s">
        <v>133</v>
      </c>
      <c r="C140" s="16">
        <f>'Segment - ICS'!C99</f>
        <v>3336</v>
      </c>
      <c r="D140" s="16">
        <f>'Segment - ICS'!D99</f>
        <v>3496</v>
      </c>
      <c r="E140" s="16">
        <f>'Segment - ICS'!E99</f>
        <v>13000</v>
      </c>
      <c r="F140" s="16">
        <f>'Segment - ICS'!F99</f>
        <v>3532</v>
      </c>
      <c r="G140" s="16">
        <f>'Segment - ICS'!G99</f>
        <v>3619</v>
      </c>
      <c r="H140" s="15">
        <f>'Segment - ICS'!H99</f>
        <v>3673.1349589041088</v>
      </c>
      <c r="I140" s="1"/>
      <c r="J140" s="1"/>
      <c r="K140" s="1"/>
      <c r="L140" s="1"/>
      <c r="M140" s="1"/>
    </row>
    <row r="141" ht="15" customHeight="1">
      <c r="A141" s="1"/>
      <c r="B141" s="35" t="s">
        <v>70</v>
      </c>
      <c r="C141" s="36">
        <f>C140/Inputs!C315-1</f>
        <v>0.1362397820163488</v>
      </c>
      <c r="D141" s="36">
        <f>D140/Inputs!D315-1</f>
        <v>0.1692307692307693</v>
      </c>
      <c r="E141" s="36">
        <f>E140/Inputs!E315-1</f>
        <v>0.13428147631096765</v>
      </c>
      <c r="F141" s="36">
        <f>F140/Inputs!F315-1</f>
        <v>0.20299727520435962</v>
      </c>
      <c r="G141" s="36">
        <f>G140/Inputs!G315-1</f>
        <v>0.1197400990099009</v>
      </c>
      <c r="H141" s="37">
        <f t="shared" si="13"/>
        <v>0.10105963995926515</v>
      </c>
      <c r="I141" s="1"/>
      <c r="J141" s="1"/>
      <c r="K141" s="1"/>
      <c r="L141" s="1"/>
      <c r="M141" s="1"/>
    </row>
    <row r="142" ht="15" customHeight="1">
      <c r="A142" s="1"/>
      <c r="B142" s="35" t="s">
        <v>72</v>
      </c>
      <c r="C142" s="36">
        <f>C140/Inputs!G315-1</f>
        <v>0.03217821782178221</v>
      </c>
      <c r="D142" s="39">
        <f t="shared" si="19"/>
        <v>0.04796163069544357</v>
      </c>
      <c r="E142" s="1"/>
      <c r="F142" s="39">
        <f t="shared" si="31"/>
        <v>0.010297482837528626</v>
      </c>
      <c r="G142" s="39">
        <f t="shared" si="19"/>
        <v>0.02463193657984153</v>
      </c>
      <c r="H142" s="37">
        <f t="shared" si="19"/>
        <v>0.01495854073061853</v>
      </c>
      <c r="I142" s="1"/>
      <c r="J142" s="1"/>
      <c r="K142" s="1"/>
      <c r="L142" s="1"/>
      <c r="M142" s="1"/>
    </row>
    <row r="143" ht="15" customHeight="1">
      <c r="A143" s="1"/>
      <c r="B143" s="35" t="s">
        <v>131</v>
      </c>
      <c r="C143" s="39">
        <f t="shared" si="35" ref="C143:H143">C140/C158</f>
        <v>0.181048518397916</v>
      </c>
      <c r="D143" s="39">
        <f t="shared" si="35"/>
        <v>0.18419388830347735</v>
      </c>
      <c r="E143" s="39">
        <f t="shared" si="35"/>
        <v>0.17998310927743705</v>
      </c>
      <c r="F143" s="39">
        <f t="shared" si="35"/>
        <v>0.18680911831596764</v>
      </c>
      <c r="G143" s="39">
        <f t="shared" si="35"/>
        <v>0.18429495340428784</v>
      </c>
      <c r="H143" s="37">
        <f t="shared" si="35"/>
        <v>0.18314597615899822</v>
      </c>
      <c r="I143" s="1"/>
      <c r="J143" s="1"/>
      <c r="K143" s="1"/>
      <c r="L143" s="1"/>
      <c r="M143" s="1"/>
    </row>
    <row r="144" ht="15" customHeight="1">
      <c r="A144" s="1"/>
      <c r="B144" s="41" t="s">
        <v>74</v>
      </c>
      <c r="C144" s="39">
        <f t="shared" si="33"/>
        <v>0.1362397820163488</v>
      </c>
      <c r="D144" s="39">
        <f t="shared" si="33"/>
        <v>0.1692307692307693</v>
      </c>
      <c r="E144" s="39">
        <f t="shared" si="33"/>
        <v>0.13428147631096765</v>
      </c>
      <c r="F144" s="39">
        <f t="shared" si="33"/>
        <v>0.20299727520435962</v>
      </c>
      <c r="G144" s="39">
        <f t="shared" si="33"/>
        <v>0.1197400990099009</v>
      </c>
      <c r="H144" s="37">
        <f t="shared" si="33"/>
        <v>0.10105963995926515</v>
      </c>
      <c r="I144" s="1"/>
      <c r="J144" s="1"/>
      <c r="K144" s="1"/>
      <c r="L144" s="1"/>
      <c r="M144" s="1"/>
    </row>
    <row r="145" ht="15" customHeight="1">
      <c r="A145" s="1"/>
      <c r="B145" s="41" t="s">
        <v>75</v>
      </c>
      <c r="C145" s="61" t="str">
        <f>'Segment - ICS'!C103</f>
        <v>n/a</v>
      </c>
      <c r="D145" s="61" t="str">
        <f>'Segment - ICS'!D103</f>
        <v>n/a</v>
      </c>
      <c r="E145" s="61" t="str">
        <f>'Segment - ICS'!E103</f>
        <v>n/a</v>
      </c>
      <c r="F145" s="61" t="str">
        <f>'Segment - ICS'!F103</f>
        <v>n/a</v>
      </c>
      <c r="G145" s="61" t="str">
        <f>'Segment - ICS'!G103</f>
        <v>n/a</v>
      </c>
      <c r="H145" s="42">
        <f>'Segment - ICS'!H103</f>
        <v>-0.015</v>
      </c>
      <c r="I145" s="1"/>
      <c r="J145" s="1"/>
      <c r="K145" s="1"/>
      <c r="L145" s="1"/>
      <c r="M145" s="1"/>
    </row>
    <row r="146" ht="15" customHeight="1">
      <c r="A146" s="1"/>
      <c r="B146" s="41" t="s">
        <v>77</v>
      </c>
      <c r="C146" s="43" t="s">
        <v>35</v>
      </c>
      <c r="D146" s="43" t="s">
        <v>35</v>
      </c>
      <c r="E146" s="43" t="s">
        <v>35</v>
      </c>
      <c r="F146" s="43" t="s">
        <v>35</v>
      </c>
      <c r="G146" s="43" t="s">
        <v>35</v>
      </c>
      <c r="H146" s="44" t="s">
        <v>35</v>
      </c>
      <c r="I146" s="1"/>
      <c r="J146" s="1"/>
      <c r="K146" s="1"/>
      <c r="L146" s="1"/>
      <c r="M146" s="1"/>
    </row>
    <row r="147" ht="15" customHeight="1">
      <c r="A147" s="1"/>
      <c r="B147" s="41" t="s">
        <v>78</v>
      </c>
      <c r="C147" s="45" t="str">
        <f t="shared" si="5"/>
        <v>unavailable</v>
      </c>
      <c r="D147" s="45" t="str">
        <f t="shared" si="5"/>
        <v>unavailable</v>
      </c>
      <c r="E147" s="45" t="str">
        <f t="shared" si="5"/>
        <v>unavailable</v>
      </c>
      <c r="F147" s="45" t="str">
        <f t="shared" si="5"/>
        <v>unavailable</v>
      </c>
      <c r="G147" s="45" t="str">
        <f t="shared" si="5"/>
        <v>unavailable</v>
      </c>
      <c r="H147" s="46" t="str">
        <f t="shared" si="5"/>
        <v>unavailable</v>
      </c>
      <c r="I147" s="1"/>
      <c r="J147" s="1"/>
      <c r="K147" s="1"/>
      <c r="L147" s="1"/>
      <c r="M147" s="1"/>
    </row>
    <row r="148" ht="15" customHeight="1">
      <c r="A148" s="1"/>
      <c r="B148" s="1" t="s">
        <v>134</v>
      </c>
      <c r="C148" s="16">
        <f>'Segment - GMNS'!C48</f>
        <v>1972</v>
      </c>
      <c r="D148" s="16">
        <f>'Segment - GMNS'!D48</f>
        <v>2039</v>
      </c>
      <c r="E148" s="16">
        <f>'Segment - GMNS'!E48</f>
        <v>7759</v>
      </c>
      <c r="F148" s="16">
        <f>'Segment - GMNS'!F48</f>
        <v>2004</v>
      </c>
      <c r="G148" s="16">
        <f>'Segment - GMNS'!G48</f>
        <v>2096</v>
      </c>
      <c r="H148" s="15">
        <f>'Segment - GMNS'!H48</f>
        <v>2110.3266</v>
      </c>
      <c r="I148" s="1"/>
      <c r="J148" s="1"/>
      <c r="K148" s="1"/>
      <c r="L148" s="1"/>
      <c r="M148" s="1"/>
    </row>
    <row r="149" ht="15" customHeight="1">
      <c r="A149" s="1"/>
      <c r="B149" s="35" t="s">
        <v>70</v>
      </c>
      <c r="C149" s="36">
        <f>C148/Inputs!C331-1</f>
        <v>0.06767731456415804</v>
      </c>
      <c r="D149" s="36">
        <f>D148/Inputs!D331-1</f>
        <v>0.07655755015839483</v>
      </c>
      <c r="E149" s="36">
        <f>E148/Inputs!E331-1</f>
        <v>0.03674505611972201</v>
      </c>
      <c r="F149" s="36">
        <f>F148/Inputs!F331-1</f>
        <v>0.10413223140495864</v>
      </c>
      <c r="G149" s="36">
        <f>G148/Inputs!G331-1</f>
        <v>0.08432488360062074</v>
      </c>
      <c r="H149" s="37">
        <f t="shared" si="13"/>
        <v>0.07014533468559825</v>
      </c>
      <c r="I149" s="1"/>
      <c r="J149" s="1"/>
      <c r="K149" s="1"/>
      <c r="L149" s="1"/>
      <c r="M149" s="1"/>
    </row>
    <row r="150" ht="15" customHeight="1">
      <c r="A150" s="1"/>
      <c r="B150" s="35" t="s">
        <v>72</v>
      </c>
      <c r="C150" s="36">
        <f>C148/Inputs!G331-1</f>
        <v>0.020175892395240647</v>
      </c>
      <c r="D150" s="39">
        <f t="shared" si="19"/>
        <v>0.033975659229208865</v>
      </c>
      <c r="E150" s="1"/>
      <c r="F150" s="39">
        <f t="shared" si="31"/>
        <v>-0.017165277096615972</v>
      </c>
      <c r="G150" s="39">
        <f t="shared" si="19"/>
        <v>0.045908183632734634</v>
      </c>
      <c r="H150" s="37">
        <f t="shared" si="19"/>
        <v>0.006835209923664154</v>
      </c>
      <c r="I150" s="1"/>
      <c r="J150" s="1"/>
      <c r="K150" s="1"/>
      <c r="L150" s="1"/>
      <c r="M150" s="1"/>
    </row>
    <row r="151" ht="15" customHeight="1">
      <c r="A151" s="1"/>
      <c r="B151" s="35" t="s">
        <v>131</v>
      </c>
      <c r="C151" s="39">
        <f t="shared" si="36" ref="C151:H151">C148/C158</f>
        <v>0.10702268533593835</v>
      </c>
      <c r="D151" s="39">
        <f t="shared" si="36"/>
        <v>0.10742887249736564</v>
      </c>
      <c r="E151" s="39">
        <f t="shared" si="36"/>
        <v>0.1074222265295103</v>
      </c>
      <c r="F151" s="39">
        <f t="shared" si="36"/>
        <v>0.10599248955413339</v>
      </c>
      <c r="G151" s="39">
        <f t="shared" si="36"/>
        <v>0.10673728166216835</v>
      </c>
      <c r="H151" s="37">
        <f t="shared" si="36"/>
        <v>0.10522287623393303</v>
      </c>
      <c r="I151" s="1"/>
      <c r="J151" s="1"/>
      <c r="K151" s="1"/>
      <c r="L151" s="1"/>
      <c r="M151" s="1"/>
    </row>
    <row r="152" ht="15" customHeight="1">
      <c r="A152" s="1"/>
      <c r="B152" s="41" t="s">
        <v>74</v>
      </c>
      <c r="C152" s="39">
        <f t="shared" si="33"/>
        <v>0.06767731456415804</v>
      </c>
      <c r="D152" s="39">
        <f t="shared" si="33"/>
        <v>0.07655755015839483</v>
      </c>
      <c r="E152" s="39">
        <f t="shared" si="33"/>
        <v>0.03674505611972201</v>
      </c>
      <c r="F152" s="39">
        <f t="shared" si="33"/>
        <v>0.10413223140495864</v>
      </c>
      <c r="G152" s="39">
        <f t="shared" si="33"/>
        <v>0.08432488360062074</v>
      </c>
      <c r="H152" s="37">
        <f t="shared" si="33"/>
        <v>0.07014533468559825</v>
      </c>
      <c r="I152" s="1"/>
      <c r="J152" s="1"/>
      <c r="K152" s="1"/>
      <c r="L152" s="1"/>
      <c r="M152" s="1"/>
    </row>
    <row r="153" ht="15" customHeight="1">
      <c r="A153" s="1"/>
      <c r="B153" s="41" t="s">
        <v>75</v>
      </c>
      <c r="C153" s="61" t="str">
        <f>'Segment - GMNS'!C52</f>
        <v>n/a</v>
      </c>
      <c r="D153" s="61" t="str">
        <f>'Segment - GMNS'!D52</f>
        <v>n/a</v>
      </c>
      <c r="E153" s="61" t="str">
        <f>'Segment - GMNS'!E52</f>
        <v>n/a</v>
      </c>
      <c r="F153" s="61" t="str">
        <f>'Segment - GMNS'!F52</f>
        <v>n/a</v>
      </c>
      <c r="G153" s="61" t="str">
        <f>'Segment - GMNS'!G52</f>
        <v>n/a</v>
      </c>
      <c r="H153" s="42">
        <f>'Segment - GMNS'!H52</f>
        <v>-0.0038713752857658518</v>
      </c>
      <c r="I153" s="1"/>
      <c r="J153" s="1"/>
      <c r="K153" s="1"/>
      <c r="L153" s="1"/>
      <c r="M153" s="1"/>
    </row>
    <row r="154" ht="15" customHeight="1">
      <c r="A154" s="1"/>
      <c r="B154" s="41" t="s">
        <v>77</v>
      </c>
      <c r="C154" s="43" t="s">
        <v>35</v>
      </c>
      <c r="D154" s="43" t="s">
        <v>35</v>
      </c>
      <c r="E154" s="43" t="s">
        <v>35</v>
      </c>
      <c r="F154" s="43" t="s">
        <v>35</v>
      </c>
      <c r="G154" s="43" t="s">
        <v>35</v>
      </c>
      <c r="H154" s="44" t="s">
        <v>35</v>
      </c>
      <c r="I154" s="1"/>
      <c r="J154" s="1"/>
      <c r="K154" s="1"/>
      <c r="L154" s="1"/>
      <c r="M154" s="1"/>
    </row>
    <row r="155" ht="15" customHeight="1">
      <c r="A155" s="1"/>
      <c r="B155" s="41" t="s">
        <v>78</v>
      </c>
      <c r="C155" s="45" t="str">
        <f t="shared" si="5"/>
        <v>unavailable</v>
      </c>
      <c r="D155" s="45" t="str">
        <f t="shared" si="5"/>
        <v>unavailable</v>
      </c>
      <c r="E155" s="45" t="str">
        <f t="shared" si="5"/>
        <v>unavailable</v>
      </c>
      <c r="F155" s="45" t="str">
        <f t="shared" si="5"/>
        <v>unavailable</v>
      </c>
      <c r="G155" s="45" t="str">
        <f t="shared" si="5"/>
        <v>unavailable</v>
      </c>
      <c r="H155" s="46" t="str">
        <f t="shared" si="5"/>
        <v>unavailable</v>
      </c>
      <c r="I155" s="1"/>
      <c r="J155" s="1"/>
      <c r="K155" s="1"/>
      <c r="L155" s="1"/>
      <c r="M155" s="1"/>
    </row>
    <row r="156" ht="15" customHeight="1">
      <c r="A156" s="1"/>
      <c r="B156" s="1" t="s">
        <v>135</v>
      </c>
      <c r="C156" s="17">
        <f t="shared" si="37" ref="C156:H156">C171+C174</f>
        <v>-19</v>
      </c>
      <c r="D156" s="17">
        <f t="shared" si="37"/>
        <v>-109</v>
      </c>
      <c r="E156" s="17">
        <f t="shared" si="37"/>
        <v>-270</v>
      </c>
      <c r="F156" s="17">
        <f t="shared" si="37"/>
        <v>-74</v>
      </c>
      <c r="G156" s="17">
        <f t="shared" si="37"/>
        <v>-104</v>
      </c>
      <c r="H156" s="52">
        <f t="shared" si="37"/>
        <v>-80</v>
      </c>
      <c r="I156" s="1"/>
      <c r="J156" s="1"/>
      <c r="K156" s="1"/>
      <c r="L156" s="1"/>
      <c r="M156" s="1"/>
    </row>
    <row r="157" ht="15" customHeight="1">
      <c r="A157" s="1"/>
      <c r="B157" s="35" t="s">
        <v>131</v>
      </c>
      <c r="C157" s="39">
        <f t="shared" si="38" ref="C157:H157">C156/C158</f>
        <v>-0.0010311516335612721</v>
      </c>
      <c r="D157" s="39">
        <f t="shared" si="38"/>
        <v>-0.005742887249736565</v>
      </c>
      <c r="E157" s="39">
        <f t="shared" si="38"/>
        <v>-0.003738110731146769</v>
      </c>
      <c r="F157" s="39">
        <f t="shared" si="38"/>
        <v>-0.003913894324853229</v>
      </c>
      <c r="G157" s="39">
        <f t="shared" si="38"/>
        <v>-0.005296124662626674</v>
      </c>
      <c r="H157" s="37">
        <f t="shared" si="38"/>
        <v>-0.0039888755127830185</v>
      </c>
      <c r="I157" s="1"/>
      <c r="J157" s="1"/>
      <c r="K157" s="1"/>
      <c r="L157" s="1"/>
      <c r="M157" s="1"/>
    </row>
    <row r="158" ht="15" customHeight="1">
      <c r="A158" s="1"/>
      <c r="B158" s="3" t="s">
        <v>136</v>
      </c>
      <c r="C158" s="63">
        <f t="shared" si="39" ref="C158:H158">C124+C132+C140+C148+C156</f>
        <v>18426</v>
      </c>
      <c r="D158" s="63">
        <f t="shared" si="39"/>
        <v>18980</v>
      </c>
      <c r="E158" s="63">
        <f t="shared" si="39"/>
        <v>72229</v>
      </c>
      <c r="F158" s="63">
        <f t="shared" si="39"/>
        <v>18907</v>
      </c>
      <c r="G158" s="63">
        <f t="shared" si="39"/>
        <v>19637</v>
      </c>
      <c r="H158" s="34">
        <f t="shared" si="39"/>
        <v>20055.777560273975</v>
      </c>
      <c r="I158" s="1"/>
      <c r="J158" s="1"/>
      <c r="K158" s="1"/>
      <c r="L158" s="1"/>
      <c r="M158" s="1"/>
    </row>
    <row r="159" ht="15" customHeight="1">
      <c r="A159" s="1"/>
      <c r="B159" s="35" t="s">
        <v>70</v>
      </c>
      <c r="C159" s="36">
        <f>C158/Inputs!C216-1</f>
        <v>0.10759798028372214</v>
      </c>
      <c r="D159" s="36">
        <f>D158/Inputs!D216-1</f>
        <v>0.10483730135630709</v>
      </c>
      <c r="E159" s="36">
        <f>E158/Inputs!E216-1</f>
        <v>0.09522509818192848</v>
      </c>
      <c r="F159" s="36">
        <f>F158/Inputs!F216-1</f>
        <v>0.11433960040077795</v>
      </c>
      <c r="G159" s="36">
        <f>G158/Inputs!G216-1</f>
        <v>0.09974238351254483</v>
      </c>
      <c r="H159" s="37">
        <f t="shared" si="13"/>
        <v>0.08844988387463237</v>
      </c>
      <c r="I159" s="1"/>
      <c r="J159" s="1"/>
      <c r="K159" s="1"/>
      <c r="L159" s="1"/>
      <c r="M159" s="1"/>
    </row>
    <row r="160" ht="15" customHeight="1">
      <c r="A160" s="1"/>
      <c r="B160" s="35" t="s">
        <v>72</v>
      </c>
      <c r="C160" s="36">
        <f>C158/Inputs!G216-1</f>
        <v>0.03192204301075274</v>
      </c>
      <c r="D160" s="39">
        <f t="shared" si="19"/>
        <v>0.03006621078910232</v>
      </c>
      <c r="E160" s="1"/>
      <c r="F160" s="39">
        <f t="shared" si="31"/>
        <v>-0.0038461538461538325</v>
      </c>
      <c r="G160" s="39">
        <f t="shared" si="19"/>
        <v>0.03861003861003853</v>
      </c>
      <c r="H160" s="37">
        <f t="shared" si="19"/>
        <v>0.021325943895400323</v>
      </c>
      <c r="I160" s="1"/>
      <c r="J160" s="1"/>
      <c r="K160" s="1"/>
      <c r="L160" s="1"/>
      <c r="M160" s="1"/>
    </row>
    <row r="161" ht="15" customHeight="1">
      <c r="A161" s="1"/>
      <c r="B161" s="35" t="s">
        <v>131</v>
      </c>
      <c r="C161" s="39">
        <f t="shared" si="40" ref="C161:H161">C158/C158</f>
        <v>1</v>
      </c>
      <c r="D161" s="39">
        <f t="shared" si="40"/>
        <v>1</v>
      </c>
      <c r="E161" s="39">
        <f t="shared" si="40"/>
        <v>1</v>
      </c>
      <c r="F161" s="39">
        <f t="shared" si="40"/>
        <v>1</v>
      </c>
      <c r="G161" s="39">
        <f t="shared" si="40"/>
        <v>1</v>
      </c>
      <c r="H161" s="37">
        <f t="shared" si="40"/>
        <v>1</v>
      </c>
      <c r="I161" s="1"/>
      <c r="J161" s="1"/>
      <c r="K161" s="1"/>
      <c r="L161" s="1"/>
      <c r="M161" s="1"/>
    </row>
    <row r="162" ht="15" customHeight="1">
      <c r="A162" s="1"/>
      <c r="B162" s="41" t="s">
        <v>74</v>
      </c>
      <c r="C162" s="39">
        <f t="shared" si="33"/>
        <v>0.10759798028372214</v>
      </c>
      <c r="D162" s="39">
        <f t="shared" si="33"/>
        <v>0.10483730135630709</v>
      </c>
      <c r="E162" s="39">
        <f t="shared" si="33"/>
        <v>0.09522509818192848</v>
      </c>
      <c r="F162" s="39">
        <f t="shared" si="33"/>
        <v>0.11433960040077795</v>
      </c>
      <c r="G162" s="39">
        <f t="shared" si="33"/>
        <v>0.09974238351254483</v>
      </c>
      <c r="H162" s="37">
        <f t="shared" si="33"/>
        <v>0.08844988387463237</v>
      </c>
      <c r="I162" s="1"/>
      <c r="J162" s="1"/>
      <c r="K162" s="1"/>
      <c r="L162" s="1"/>
      <c r="M162" s="1"/>
    </row>
    <row r="163" ht="15" customHeight="1">
      <c r="A163" s="1"/>
      <c r="B163" s="41" t="s">
        <v>75</v>
      </c>
      <c r="C163" s="36">
        <f>Inputs!C250</f>
        <v>0.0022842029333973723</v>
      </c>
      <c r="D163" s="36">
        <f>Inputs!D250</f>
        <v>0.009895803015309346</v>
      </c>
      <c r="E163" s="36">
        <f>Inputs!E250</f>
        <v>0.002031873114072935</v>
      </c>
      <c r="F163" s="36">
        <f>Inputs!F250</f>
        <v>0.01432191901927271</v>
      </c>
      <c r="G163" s="36">
        <f>Inputs!G250</f>
        <v>0.0013440860215054862</v>
      </c>
      <c r="H163" s="37">
        <f>H20</f>
        <v>-0.0038713752857658518</v>
      </c>
      <c r="I163" s="1"/>
      <c r="J163" s="4" t="s">
        <v>137</v>
      </c>
      <c r="K163" s="1"/>
      <c r="L163" s="1"/>
      <c r="M163" s="1"/>
    </row>
    <row r="164" ht="15" customHeight="1">
      <c r="A164" s="1"/>
      <c r="B164" s="41" t="s">
        <v>77</v>
      </c>
      <c r="C164" s="43" t="s">
        <v>35</v>
      </c>
      <c r="D164" s="43" t="s">
        <v>35</v>
      </c>
      <c r="E164" s="43" t="s">
        <v>35</v>
      </c>
      <c r="F164" s="43" t="s">
        <v>35</v>
      </c>
      <c r="G164" s="43" t="s">
        <v>35</v>
      </c>
      <c r="H164" s="44" t="s">
        <v>35</v>
      </c>
      <c r="I164" s="1"/>
      <c r="J164" s="4" t="s">
        <v>138</v>
      </c>
      <c r="K164" s="1"/>
      <c r="L164" s="1"/>
      <c r="M164" s="1"/>
    </row>
    <row r="165" ht="15" customHeight="1">
      <c r="A165" s="1"/>
      <c r="B165" s="41" t="s">
        <v>78</v>
      </c>
      <c r="C165" s="45" t="str">
        <f t="shared" si="5"/>
        <v>unavailable</v>
      </c>
      <c r="D165" s="45" t="str">
        <f t="shared" si="5"/>
        <v>unavailable</v>
      </c>
      <c r="E165" s="45" t="str">
        <f t="shared" si="5"/>
        <v>unavailable</v>
      </c>
      <c r="F165" s="45" t="str">
        <f t="shared" si="5"/>
        <v>unavailable</v>
      </c>
      <c r="G165" s="45" t="str">
        <f t="shared" si="5"/>
        <v>unavailable</v>
      </c>
      <c r="H165" s="46" t="str">
        <f t="shared" si="5"/>
        <v>unavailable</v>
      </c>
      <c r="I165" s="1"/>
      <c r="J165" s="1"/>
      <c r="K165" s="1"/>
      <c r="L165" s="1"/>
      <c r="M165" s="1"/>
    </row>
    <row r="166" ht="15" customHeight="1">
      <c r="A166" s="1"/>
      <c r="B166" s="4" t="s">
        <v>139</v>
      </c>
      <c r="C166" s="27">
        <f>C158-'Income Statement'!C34</f>
        <v>0</v>
      </c>
      <c r="D166" s="27">
        <f>D158-'Income Statement'!D34</f>
        <v>0</v>
      </c>
      <c r="E166" s="27">
        <f>E158-'Income Statement'!E34</f>
        <v>0</v>
      </c>
      <c r="F166" s="27">
        <f>F158-'Income Statement'!F34</f>
        <v>0</v>
      </c>
      <c r="G166" s="27">
        <f>G158-'Income Statement'!G34</f>
        <v>0</v>
      </c>
      <c r="H166" s="64">
        <f>H158-'Income Statement'!H34</f>
        <v>0</v>
      </c>
      <c r="I166" s="1"/>
      <c r="J166" s="4" t="s">
        <v>140</v>
      </c>
      <c r="K166" s="1"/>
      <c r="L166" s="1"/>
      <c r="M166" s="1"/>
    </row>
    <row r="167" ht="15" customHeight="1">
      <c r="A167" s="1"/>
      <c r="B167" s="1" t="s">
        <v>141</v>
      </c>
      <c r="C167" s="16">
        <f>'Segment - USCS'!C77+'Segment - CS'!C67+'Segment - ICS'!C79+'Segment - GMNS'!C28+C171</f>
        <v>13940</v>
      </c>
      <c r="D167" s="16">
        <f>'Segment - USCS'!D77+'Segment - CS'!D67+'Segment - ICS'!D79+'Segment - GMNS'!D28+D171</f>
        <v>14458</v>
      </c>
      <c r="E167" s="16">
        <f>'Segment - USCS'!E77+'Segment - CS'!E67+'Segment - ICS'!E79+'Segment - GMNS'!E28+E171</f>
        <v>54865</v>
      </c>
      <c r="F167" s="16">
        <f>'Segment - USCS'!F77+'Segment - CS'!F67+'Segment - ICS'!F79+'Segment - GMNS'!F28+F171</f>
        <v>14215</v>
      </c>
      <c r="G167" s="16">
        <f>'Segment - USCS'!G77+'Segment - CS'!G67+'Segment - ICS'!G79+'Segment - GMNS'!G28+G171</f>
        <v>14988</v>
      </c>
      <c r="H167" s="15">
        <f>'Segment - USCS'!H77+'Segment - CS'!H67+'Segment - ICS'!H79+'Segment - GMNS'!H28+H171</f>
        <v>15204.7211</v>
      </c>
      <c r="I167" s="1"/>
      <c r="J167" s="1"/>
      <c r="K167" s="1"/>
      <c r="L167" s="1"/>
      <c r="M167" s="1"/>
    </row>
    <row r="168" ht="15" customHeight="1">
      <c r="A168" s="1"/>
      <c r="B168" s="1" t="s">
        <v>142</v>
      </c>
      <c r="C168" s="16">
        <f>'Segment - USCS'!C90+'Segment - CS'!C80+'Segment - ICS'!C92+'Segment - GMNS'!C41+C174</f>
        <v>4486</v>
      </c>
      <c r="D168" s="16">
        <f>'Segment - USCS'!D90+'Segment - CS'!D80+'Segment - ICS'!D92+'Segment - GMNS'!D41+D174</f>
        <v>4522</v>
      </c>
      <c r="E168" s="16">
        <f>'Segment - USCS'!E90+'Segment - CS'!E80+'Segment - ICS'!E92+'Segment - GMNS'!E41+E174</f>
        <v>17364</v>
      </c>
      <c r="F168" s="16">
        <f>'Segment - USCS'!F90+'Segment - CS'!F80+'Segment - ICS'!F92+'Segment - GMNS'!F41+F174</f>
        <v>4692</v>
      </c>
      <c r="G168" s="16">
        <f>'Segment - USCS'!G90+'Segment - CS'!G80+'Segment - ICS'!G92+'Segment - GMNS'!G41+G174</f>
        <v>4649</v>
      </c>
      <c r="H168" s="15">
        <f>'Segment - USCS'!H90+'Segment - CS'!H80+'Segment - ICS'!H92+'Segment - GMNS'!H41+H174</f>
        <v>4851.056460273973</v>
      </c>
      <c r="I168" s="1"/>
      <c r="J168" s="1"/>
      <c r="K168" s="1"/>
      <c r="L168" s="1"/>
      <c r="M168" s="1"/>
    </row>
    <row r="169" ht="15" customHeight="1">
      <c r="A169" s="1"/>
      <c r="B169" s="1"/>
      <c r="C169" s="1"/>
      <c r="D169" s="1"/>
      <c r="E169" s="1"/>
      <c r="F169" s="1"/>
      <c r="G169" s="1"/>
      <c r="H169" s="29"/>
      <c r="I169" s="1"/>
      <c r="J169" s="1"/>
      <c r="K169" s="1"/>
      <c r="L169" s="1"/>
      <c r="M169" s="1"/>
    </row>
    <row r="170" ht="15" customHeight="1">
      <c r="A170" s="1"/>
      <c r="B170" s="30" t="s">
        <v>143</v>
      </c>
      <c r="C170" s="1"/>
      <c r="D170" s="1"/>
      <c r="E170" s="1"/>
      <c r="F170" s="1"/>
      <c r="G170" s="1"/>
      <c r="H170" s="29"/>
      <c r="I170" s="1"/>
      <c r="J170" s="1"/>
      <c r="K170" s="1"/>
      <c r="L170" s="1"/>
      <c r="M170" s="1"/>
    </row>
    <row r="171" ht="15" customHeight="1">
      <c r="A171" s="1"/>
      <c r="B171" s="1" t="s">
        <v>144</v>
      </c>
      <c r="C171" s="16">
        <f>'Income Statement'!C13-('Segment - USCS'!C77+'Segment - CS'!C67+'Segment - ICS'!C79+'Segment - GMNS'!C28)</f>
        <v>63</v>
      </c>
      <c r="D171" s="16">
        <f>'Income Statement'!D13-('Segment - USCS'!D77+'Segment - CS'!D67+'Segment - ICS'!D79+'Segment - GMNS'!D28)</f>
        <v>-22</v>
      </c>
      <c r="E171" s="16">
        <f>'Income Statement'!E13-('Segment - USCS'!E77+'Segment - CS'!E67+'Segment - ICS'!E79+'Segment - GMNS'!E28)</f>
        <v>27</v>
      </c>
      <c r="F171" s="16">
        <f>'Income Statement'!F13-('Segment - USCS'!F77+'Segment - CS'!F67+'Segment - ICS'!F79+'Segment - GMNS'!F28)</f>
        <v>15</v>
      </c>
      <c r="G171" s="16">
        <f>'Income Statement'!G13-('Segment - USCS'!G77+'Segment - CS'!G67+'Segment - ICS'!G79+'Segment - GMNS'!G28)</f>
        <v>-12</v>
      </c>
      <c r="H171" s="32">
        <v>10</v>
      </c>
      <c r="I171" s="1"/>
      <c r="J171" s="4" t="s">
        <v>145</v>
      </c>
      <c r="K171" s="1"/>
      <c r="L171" s="1"/>
      <c r="M171" s="1"/>
    </row>
    <row r="172" ht="15" customHeight="1">
      <c r="A172" s="1"/>
      <c r="B172" s="35" t="s">
        <v>70</v>
      </c>
      <c r="C172" s="43" t="s">
        <v>35</v>
      </c>
      <c r="D172" s="43" t="s">
        <v>35</v>
      </c>
      <c r="E172" s="43" t="s">
        <v>35</v>
      </c>
      <c r="F172" s="43" t="s">
        <v>35</v>
      </c>
      <c r="G172" s="43" t="s">
        <v>35</v>
      </c>
      <c r="H172" s="37">
        <f t="shared" si="13"/>
        <v>-0.8412698412698413</v>
      </c>
      <c r="I172" s="1"/>
      <c r="J172" s="1"/>
      <c r="K172" s="1"/>
      <c r="L172" s="1"/>
      <c r="M172" s="1"/>
    </row>
    <row r="173" ht="15" customHeight="1">
      <c r="A173" s="1"/>
      <c r="B173" s="35" t="s">
        <v>73</v>
      </c>
      <c r="C173" s="43" t="s">
        <v>35</v>
      </c>
      <c r="D173" s="40">
        <f t="shared" si="24"/>
        <v>-85</v>
      </c>
      <c r="E173" s="1"/>
      <c r="F173" s="40">
        <f t="shared" si="26"/>
        <v>37</v>
      </c>
      <c r="G173" s="40">
        <f t="shared" si="24"/>
        <v>-27</v>
      </c>
      <c r="H173" s="38">
        <f t="shared" si="24"/>
        <v>22</v>
      </c>
      <c r="I173" s="1"/>
      <c r="J173" s="1"/>
      <c r="K173" s="1"/>
      <c r="L173" s="1"/>
      <c r="M173" s="1"/>
    </row>
    <row r="174" ht="15" customHeight="1">
      <c r="A174" s="1"/>
      <c r="B174" s="1" t="s">
        <v>146</v>
      </c>
      <c r="C174" s="16">
        <f>'Income Statement'!C27-('Segment - USCS'!C90+'Segment - CS'!C80+'Segment - ICS'!C92+'Segment - GMNS'!C41)</f>
        <v>-82</v>
      </c>
      <c r="D174" s="16">
        <f>'Income Statement'!D27-('Segment - USCS'!D90+'Segment - CS'!D80+'Segment - ICS'!D92+'Segment - GMNS'!D41)</f>
        <v>-87</v>
      </c>
      <c r="E174" s="16">
        <f>'Income Statement'!E27-('Segment - USCS'!E90+'Segment - CS'!E80+'Segment - ICS'!E92+'Segment - GMNS'!E41)</f>
        <v>-297</v>
      </c>
      <c r="F174" s="16">
        <f>'Income Statement'!F27-('Segment - USCS'!F90+'Segment - CS'!F80+'Segment - ICS'!F92+'Segment - GMNS'!F41)</f>
        <v>-89</v>
      </c>
      <c r="G174" s="16">
        <f>'Income Statement'!G27-('Segment - USCS'!G90+'Segment - CS'!G80+'Segment - ICS'!G92+'Segment - GMNS'!G41)</f>
        <v>-92</v>
      </c>
      <c r="H174" s="32">
        <v>-90</v>
      </c>
      <c r="I174" s="1"/>
      <c r="J174" s="4" t="s">
        <v>147</v>
      </c>
      <c r="K174" s="1"/>
      <c r="L174" s="1"/>
      <c r="M174" s="1"/>
    </row>
    <row r="175" ht="15" customHeight="1">
      <c r="A175" s="1"/>
      <c r="B175" s="35" t="s">
        <v>70</v>
      </c>
      <c r="C175" s="43" t="s">
        <v>35</v>
      </c>
      <c r="D175" s="43" t="s">
        <v>35</v>
      </c>
      <c r="E175" s="43" t="s">
        <v>35</v>
      </c>
      <c r="F175" s="43" t="s">
        <v>35</v>
      </c>
      <c r="G175" s="43" t="s">
        <v>35</v>
      </c>
      <c r="H175" s="37">
        <f t="shared" si="13"/>
        <v>0.09756097560975618</v>
      </c>
      <c r="I175" s="1"/>
      <c r="J175" s="1"/>
      <c r="K175" s="1"/>
      <c r="L175" s="1"/>
      <c r="M175" s="1"/>
    </row>
    <row r="176" ht="15" customHeight="1">
      <c r="A176" s="1"/>
      <c r="B176" s="35" t="s">
        <v>73</v>
      </c>
      <c r="C176" s="43" t="s">
        <v>35</v>
      </c>
      <c r="D176" s="40">
        <f t="shared" si="24"/>
        <v>-5</v>
      </c>
      <c r="E176" s="1"/>
      <c r="F176" s="40">
        <f t="shared" si="26"/>
        <v>-2</v>
      </c>
      <c r="G176" s="40">
        <f t="shared" si="24"/>
        <v>-3</v>
      </c>
      <c r="H176" s="38">
        <f t="shared" si="24"/>
        <v>2</v>
      </c>
      <c r="I176" s="1"/>
      <c r="J176" s="1"/>
      <c r="K176" s="1"/>
      <c r="L176" s="1"/>
      <c r="M176" s="1"/>
    </row>
    <row r="177" ht="15" customHeight="1">
      <c r="A177" s="1"/>
      <c r="B177" s="1" t="s">
        <v>148</v>
      </c>
      <c r="C177" s="16">
        <f>'Income Statement'!C70-('Segment - USCS'!C110+'Segment - CS'!C100+'Segment - ICS'!C112+'Segment - GMNS'!C57)</f>
        <v>-2</v>
      </c>
      <c r="D177" s="16">
        <f>'Income Statement'!D70-('Segment - USCS'!D110+'Segment - CS'!D100+'Segment - ICS'!D112+'Segment - GMNS'!D57)</f>
        <v>1</v>
      </c>
      <c r="E177" s="16">
        <f>'Income Statement'!E70-('Segment - USCS'!E110+'Segment - CS'!E100+'Segment - ICS'!E112+'Segment - GMNS'!E57)</f>
        <v>0</v>
      </c>
      <c r="F177" s="16">
        <f>'Income Statement'!F70-('Segment - USCS'!F110+'Segment - CS'!F100+'Segment - ICS'!F112+'Segment - GMNS'!F57)</f>
        <v>-2</v>
      </c>
      <c r="G177" s="16">
        <f>'Income Statement'!G70-('Segment - USCS'!G110+'Segment - CS'!G100+'Segment - ICS'!G112+'Segment - GMNS'!G57)</f>
        <v>0</v>
      </c>
      <c r="H177" s="32">
        <v>0</v>
      </c>
      <c r="I177" s="1"/>
      <c r="J177" s="4" t="s">
        <v>149</v>
      </c>
      <c r="K177" s="1"/>
      <c r="L177" s="1"/>
      <c r="M177" s="1"/>
    </row>
    <row r="178" ht="15" customHeight="1">
      <c r="A178" s="1"/>
      <c r="B178" s="35" t="s">
        <v>70</v>
      </c>
      <c r="C178" s="43" t="s">
        <v>35</v>
      </c>
      <c r="D178" s="43" t="s">
        <v>35</v>
      </c>
      <c r="E178" s="43" t="s">
        <v>35</v>
      </c>
      <c r="F178" s="43" t="s">
        <v>35</v>
      </c>
      <c r="G178" s="43" t="s">
        <v>35</v>
      </c>
      <c r="H178" s="37">
        <f t="shared" si="13"/>
        <v>-1</v>
      </c>
      <c r="I178" s="1"/>
      <c r="J178" s="1"/>
      <c r="K178" s="1"/>
      <c r="L178" s="1"/>
      <c r="M178" s="1"/>
    </row>
    <row r="179" ht="15" customHeight="1">
      <c r="A179" s="1"/>
      <c r="B179" s="35" t="s">
        <v>73</v>
      </c>
      <c r="C179" s="43" t="s">
        <v>35</v>
      </c>
      <c r="D179" s="40">
        <f t="shared" si="24"/>
        <v>3</v>
      </c>
      <c r="E179" s="1"/>
      <c r="F179" s="40">
        <f t="shared" si="26"/>
        <v>-3</v>
      </c>
      <c r="G179" s="40">
        <f t="shared" si="24"/>
        <v>2</v>
      </c>
      <c r="H179" s="38">
        <f t="shared" si="24"/>
        <v>0</v>
      </c>
      <c r="I179" s="1"/>
      <c r="J179" s="1"/>
      <c r="K179" s="1"/>
      <c r="L179" s="1"/>
      <c r="M179" s="1"/>
    </row>
    <row r="180" ht="15" customHeight="1">
      <c r="A180" s="1"/>
      <c r="B180" s="1" t="s">
        <v>150</v>
      </c>
      <c r="C180" s="16">
        <f>'Income Statement'!C94-('Segment - USCS'!C123+'Segment - CS'!C113+'Segment - ICS'!C125+'Segment - GMNS'!C65)</f>
        <v>11</v>
      </c>
      <c r="D180" s="16">
        <f>'Income Statement'!D94-('Segment - USCS'!D123+'Segment - CS'!D113+'Segment - ICS'!D125+'Segment - GMNS'!D65)</f>
        <v>6</v>
      </c>
      <c r="E180" s="16">
        <f>'Income Statement'!E94-('Segment - USCS'!E123+'Segment - CS'!E113+'Segment - ICS'!E125+'Segment - GMNS'!E65)</f>
        <v>40</v>
      </c>
      <c r="F180" s="16">
        <f>'Income Statement'!F94-('Segment - USCS'!F123+'Segment - CS'!F113+'Segment - ICS'!F125+'Segment - GMNS'!F65)</f>
        <v>9</v>
      </c>
      <c r="G180" s="16">
        <f>'Income Statement'!G94-('Segment - USCS'!G123+'Segment - CS'!G113+'Segment - ICS'!G125+'Segment - GMNS'!G65)</f>
        <v>5</v>
      </c>
      <c r="H180" s="32">
        <v>5</v>
      </c>
      <c r="I180" s="1"/>
      <c r="J180" s="4" t="s">
        <v>151</v>
      </c>
      <c r="K180" s="1"/>
      <c r="L180" s="1"/>
      <c r="M180" s="1"/>
    </row>
    <row r="181" ht="15" customHeight="1">
      <c r="A181" s="1"/>
      <c r="B181" s="35" t="s">
        <v>70</v>
      </c>
      <c r="C181" s="43" t="s">
        <v>35</v>
      </c>
      <c r="D181" s="43" t="s">
        <v>35</v>
      </c>
      <c r="E181" s="43" t="s">
        <v>35</v>
      </c>
      <c r="F181" s="43" t="s">
        <v>35</v>
      </c>
      <c r="G181" s="43" t="s">
        <v>35</v>
      </c>
      <c r="H181" s="37">
        <f t="shared" si="13"/>
        <v>-0.5454545454545454</v>
      </c>
      <c r="I181" s="1"/>
      <c r="J181" s="1"/>
      <c r="K181" s="1"/>
      <c r="L181" s="1"/>
      <c r="M181" s="1"/>
    </row>
    <row r="182" ht="15" customHeight="1">
      <c r="A182" s="1"/>
      <c r="B182" s="35" t="s">
        <v>73</v>
      </c>
      <c r="C182" s="43" t="s">
        <v>35</v>
      </c>
      <c r="D182" s="40">
        <f t="shared" si="24"/>
        <v>-5</v>
      </c>
      <c r="E182" s="1"/>
      <c r="F182" s="40">
        <f t="shared" si="26"/>
        <v>3</v>
      </c>
      <c r="G182" s="40">
        <f t="shared" si="24"/>
        <v>-4</v>
      </c>
      <c r="H182" s="38">
        <f t="shared" si="24"/>
        <v>0</v>
      </c>
      <c r="I182" s="1"/>
      <c r="J182" s="1"/>
      <c r="K182" s="1"/>
      <c r="L182" s="1"/>
      <c r="M182" s="1"/>
    </row>
    <row r="183" ht="15" customHeight="1">
      <c r="A183" s="1"/>
      <c r="B183" s="1" t="s">
        <v>152</v>
      </c>
      <c r="C183" s="16">
        <f>'Income Statement'!C98-('Segment - USCS'!C127+'Segment - CS'!C117+'Segment - ICS'!C129+'Segment - GMNS'!C69)</f>
        <v>6</v>
      </c>
      <c r="D183" s="16">
        <f>'Income Statement'!D98-('Segment - USCS'!D127+'Segment - CS'!D117+'Segment - ICS'!D129+'Segment - GMNS'!D69)</f>
        <v>2</v>
      </c>
      <c r="E183" s="16">
        <f>'Income Statement'!E98-('Segment - USCS'!E127+'Segment - CS'!E117+'Segment - ICS'!E129+'Segment - GMNS'!E69)</f>
        <v>22</v>
      </c>
      <c r="F183" s="16">
        <f>'Income Statement'!F98-('Segment - USCS'!F127+'Segment - CS'!F117+'Segment - ICS'!F129+'Segment - GMNS'!F69)</f>
        <v>8</v>
      </c>
      <c r="G183" s="16">
        <f>'Income Statement'!G98-('Segment - USCS'!G127+'Segment - CS'!G117+'Segment - ICS'!G129+'Segment - GMNS'!G69)</f>
        <v>6</v>
      </c>
      <c r="H183" s="32">
        <v>9</v>
      </c>
      <c r="I183" s="1"/>
      <c r="J183" s="4" t="s">
        <v>153</v>
      </c>
      <c r="K183" s="1"/>
      <c r="L183" s="1"/>
      <c r="M183" s="1"/>
    </row>
    <row r="184" ht="15" customHeight="1">
      <c r="A184" s="1"/>
      <c r="B184" s="35" t="s">
        <v>70</v>
      </c>
      <c r="C184" s="43" t="s">
        <v>35</v>
      </c>
      <c r="D184" s="43" t="s">
        <v>35</v>
      </c>
      <c r="E184" s="43" t="s">
        <v>35</v>
      </c>
      <c r="F184" s="43" t="s">
        <v>35</v>
      </c>
      <c r="G184" s="43" t="s">
        <v>35</v>
      </c>
      <c r="H184" s="37">
        <f t="shared" si="13"/>
        <v>0.5</v>
      </c>
      <c r="I184" s="1"/>
      <c r="J184" s="1"/>
      <c r="K184" s="1"/>
      <c r="L184" s="1"/>
      <c r="M184" s="1"/>
    </row>
    <row r="185" ht="15" customHeight="1">
      <c r="A185" s="1"/>
      <c r="B185" s="35" t="s">
        <v>73</v>
      </c>
      <c r="C185" s="43" t="s">
        <v>35</v>
      </c>
      <c r="D185" s="40">
        <f t="shared" si="24"/>
        <v>-4</v>
      </c>
      <c r="E185" s="1"/>
      <c r="F185" s="40">
        <f t="shared" si="26"/>
        <v>6</v>
      </c>
      <c r="G185" s="40">
        <f t="shared" si="24"/>
        <v>-2</v>
      </c>
      <c r="H185" s="38">
        <f t="shared" si="24"/>
        <v>3</v>
      </c>
      <c r="I185" s="1"/>
      <c r="J185" s="1"/>
      <c r="K185" s="1"/>
      <c r="L185" s="1"/>
      <c r="M185" s="1"/>
    </row>
    <row r="186" ht="15" customHeight="1">
      <c r="A186" s="1"/>
      <c r="B186" s="1" t="s">
        <v>154</v>
      </c>
      <c r="C186" s="16">
        <f>'Income Statement'!C121-('Segment - USCS'!C131+'Segment - CS'!C121+'Segment - ICS'!C133+'Segment - GMNS'!C73)</f>
        <v>564</v>
      </c>
      <c r="D186" s="16">
        <f>'Income Statement'!D121-('Segment - USCS'!D131+'Segment - CS'!D121+'Segment - ICS'!D133+'Segment - GMNS'!D73)</f>
        <v>379</v>
      </c>
      <c r="E186" s="16">
        <f>'Income Statement'!E121-('Segment - USCS'!E131+'Segment - CS'!E121+'Segment - ICS'!E133+'Segment - GMNS'!E73)</f>
        <v>1922</v>
      </c>
      <c r="F186" s="16">
        <f>'Income Statement'!F121-('Segment - USCS'!F131+'Segment - CS'!F121+'Segment - ICS'!F133+'Segment - GMNS'!F73)</f>
        <v>602</v>
      </c>
      <c r="G186" s="16">
        <f>'Income Statement'!G121-('Segment - USCS'!G131+'Segment - CS'!G121+'Segment - ICS'!G133+'Segment - GMNS'!G73)</f>
        <v>454</v>
      </c>
      <c r="H186" s="32">
        <v>550</v>
      </c>
      <c r="I186" s="1"/>
      <c r="J186" s="4" t="s">
        <v>155</v>
      </c>
      <c r="K186" s="1"/>
      <c r="L186" s="1"/>
      <c r="M186" s="1"/>
    </row>
    <row r="187" ht="15" customHeight="1">
      <c r="A187" s="1"/>
      <c r="B187" s="35" t="s">
        <v>70</v>
      </c>
      <c r="C187" s="43" t="s">
        <v>35</v>
      </c>
      <c r="D187" s="43" t="s">
        <v>35</v>
      </c>
      <c r="E187" s="43" t="s">
        <v>35</v>
      </c>
      <c r="F187" s="43" t="s">
        <v>35</v>
      </c>
      <c r="G187" s="43" t="s">
        <v>35</v>
      </c>
      <c r="H187" s="37">
        <f t="shared" si="13"/>
        <v>-0.024822695035460973</v>
      </c>
      <c r="I187" s="1"/>
      <c r="J187" s="1"/>
      <c r="K187" s="1"/>
      <c r="L187" s="1"/>
      <c r="M187" s="1"/>
    </row>
    <row r="188" ht="15" customHeight="1">
      <c r="A188" s="1"/>
      <c r="B188" s="35" t="s">
        <v>73</v>
      </c>
      <c r="C188" s="43" t="s">
        <v>35</v>
      </c>
      <c r="D188" s="40">
        <f t="shared" si="24"/>
        <v>-185</v>
      </c>
      <c r="E188" s="1"/>
      <c r="F188" s="40">
        <f t="shared" si="26"/>
        <v>223</v>
      </c>
      <c r="G188" s="40">
        <f t="shared" si="24"/>
        <v>-148</v>
      </c>
      <c r="H188" s="38">
        <f t="shared" si="24"/>
        <v>96</v>
      </c>
      <c r="I188" s="1"/>
      <c r="J188" s="1"/>
      <c r="K188" s="1"/>
      <c r="L188" s="1"/>
      <c r="M188" s="1"/>
    </row>
    <row r="189" ht="15" customHeight="1">
      <c r="A189" s="1"/>
      <c r="B189" s="3" t="s">
        <v>156</v>
      </c>
      <c r="C189" s="51">
        <f>'Income Statement'!C127-('Segment - USCS'!C139+'Segment - CS'!C129+'Segment - ICS'!C141+'Segment - GMNS'!C81)</f>
        <v>-598</v>
      </c>
      <c r="D189" s="51">
        <f>'Income Statement'!D127-('Segment - USCS'!D139+'Segment - CS'!D129+'Segment - ICS'!D141+'Segment - GMNS'!D81)</f>
        <v>-497</v>
      </c>
      <c r="E189" s="51">
        <f>'Income Statement'!E127-('Segment - USCS'!E139+'Segment - CS'!E129+'Segment - ICS'!E141+'Segment - GMNS'!E81)</f>
        <v>-2254</v>
      </c>
      <c r="F189" s="51">
        <f>'Income Statement'!F127-('Segment - USCS'!F139+'Segment - CS'!F129+'Segment - ICS'!F141+'Segment - GMNS'!F81)</f>
        <v>-691</v>
      </c>
      <c r="G189" s="51">
        <f>'Income Statement'!G127-('Segment - USCS'!G139+'Segment - CS'!G129+'Segment - ICS'!G141+'Segment - GMNS'!G81)</f>
        <v>-569</v>
      </c>
      <c r="H189" s="54">
        <f>'Income Statement'!H127-('Segment - USCS'!H139+'Segment - CS'!H129+'Segment - ICS'!H141+'Segment - GMNS'!H81)</f>
        <v>155.9999999999991</v>
      </c>
      <c r="I189" s="1"/>
      <c r="J189" s="1"/>
      <c r="K189" s="1"/>
      <c r="L189" s="1"/>
      <c r="M189" s="1"/>
    </row>
    <row r="190" ht="15" customHeight="1">
      <c r="A190" s="1"/>
      <c r="B190" s="1"/>
      <c r="C190" s="1"/>
      <c r="D190" s="1"/>
      <c r="E190" s="1"/>
      <c r="F190" s="1"/>
      <c r="G190" s="1"/>
      <c r="H190" s="29"/>
      <c r="I190" s="1"/>
      <c r="J190" s="1"/>
      <c r="K190" s="1"/>
      <c r="L190" s="1"/>
      <c r="M190" s="1"/>
    </row>
    <row r="191" ht="15" customHeight="1">
      <c r="A191" s="1"/>
      <c r="B191" s="30" t="s">
        <v>157</v>
      </c>
      <c r="C191" s="1"/>
      <c r="D191" s="1"/>
      <c r="E191" s="1"/>
      <c r="F191" s="1"/>
      <c r="G191" s="1"/>
      <c r="H191" s="29"/>
      <c r="I191" s="1"/>
      <c r="J191" s="1"/>
      <c r="K191" s="1"/>
      <c r="L191" s="1"/>
      <c r="M191" s="1"/>
    </row>
    <row r="192" ht="15" customHeight="1">
      <c r="A192" s="1"/>
      <c r="B192" s="3" t="s">
        <v>158</v>
      </c>
      <c r="C192" s="51">
        <f>'Segment - USCS'!C110+'Segment - CS'!C100+'Segment - ICS'!C112+'Segment - GMNS'!C57+C177</f>
        <v>1287</v>
      </c>
      <c r="D192" s="51">
        <f>'Segment - USCS'!D110+'Segment - CS'!D100+'Segment - ICS'!D112+'Segment - GMNS'!D57+D177</f>
        <v>1414</v>
      </c>
      <c r="E192" s="51">
        <f>'Segment - USCS'!E110+'Segment - CS'!E100+'Segment - ICS'!E112+'Segment - GMNS'!E57+E177</f>
        <v>5256</v>
      </c>
      <c r="F192" s="51">
        <f>'Segment - USCS'!F110+'Segment - CS'!F100+'Segment - ICS'!F112+'Segment - GMNS'!F57+F177</f>
        <v>1251</v>
      </c>
      <c r="G192" s="51">
        <f>'Segment - USCS'!G110+'Segment - CS'!G100+'Segment - ICS'!G112+'Segment - GMNS'!G57+G177</f>
        <v>1084</v>
      </c>
      <c r="H192" s="54">
        <f>'Segment - USCS'!H110+'Segment - CS'!H100+'Segment - ICS'!H112+'Segment - GMNS'!H57+H177</f>
        <v>1286.7231561643837</v>
      </c>
      <c r="I192" s="1"/>
      <c r="J192" s="1"/>
      <c r="K192" s="1"/>
      <c r="L192" s="1"/>
      <c r="M192" s="1"/>
    </row>
    <row r="193" ht="15" customHeight="1">
      <c r="A193" s="1"/>
      <c r="B193" s="3" t="s">
        <v>159</v>
      </c>
      <c r="C193" s="51">
        <f>'Segment - USCS'!C123+'Segment - CS'!C113+'Segment - ICS'!C125+'Segment - GMNS'!C65+C180</f>
        <v>7696</v>
      </c>
      <c r="D193" s="51">
        <f>'Segment - USCS'!D123+'Segment - CS'!D113+'Segment - ICS'!D125+'Segment - GMNS'!D65+D180</f>
        <v>8484</v>
      </c>
      <c r="E193" s="51">
        <f>'Segment - USCS'!E123+'Segment - CS'!E113+'Segment - ICS'!E125+'Segment - GMNS'!E65+E180</f>
        <v>30923</v>
      </c>
      <c r="F193" s="51">
        <f>'Segment - USCS'!F123+'Segment - CS'!F113+'Segment - ICS'!F125+'Segment - GMNS'!F65+F180</f>
        <v>8457</v>
      </c>
      <c r="G193" s="51">
        <f>'Segment - USCS'!G123+'Segment - CS'!G113+'Segment - ICS'!G125+'Segment - GMNS'!G65+G180</f>
        <v>8755</v>
      </c>
      <c r="H193" s="54">
        <f>'Segment - USCS'!H123+'Segment - CS'!H113+'Segment - ICS'!H125+'Segment - GMNS'!H65+H180</f>
        <v>8808.495200000001</v>
      </c>
      <c r="I193" s="1"/>
      <c r="J193" s="1"/>
      <c r="K193" s="1"/>
      <c r="L193" s="1"/>
      <c r="M193" s="1"/>
    </row>
    <row r="194" ht="15" customHeight="1">
      <c r="A194" s="1"/>
      <c r="B194" s="3" t="s">
        <v>160</v>
      </c>
      <c r="C194" s="51">
        <f>'Segment - USCS'!C127+'Segment - CS'!C117+'Segment - ICS'!C129+'Segment - GMNS'!C69+C183</f>
        <v>1599</v>
      </c>
      <c r="D194" s="51">
        <f>'Segment - USCS'!D127+'Segment - CS'!D117+'Segment - ICS'!D129+'Segment - GMNS'!D69+D183</f>
        <v>1612</v>
      </c>
      <c r="E194" s="51">
        <f>'Segment - USCS'!E127+'Segment - CS'!E117+'Segment - ICS'!E129+'Segment - GMNS'!E69+E183</f>
        <v>6252</v>
      </c>
      <c r="F194" s="51">
        <f>'Segment - USCS'!F127+'Segment - CS'!F117+'Segment - ICS'!F129+'Segment - GMNS'!F69+F183</f>
        <v>1480</v>
      </c>
      <c r="G194" s="51">
        <f>'Segment - USCS'!G127+'Segment - CS'!G117+'Segment - ICS'!G129+'Segment - GMNS'!G69+G183</f>
        <v>1650</v>
      </c>
      <c r="H194" s="54">
        <f>'Segment - USCS'!H127+'Segment - CS'!H117+'Segment - ICS'!H129+'Segment - GMNS'!H69+H183</f>
        <v>1759</v>
      </c>
      <c r="I194" s="1"/>
      <c r="J194" s="1"/>
      <c r="K194" s="1"/>
      <c r="L194" s="1"/>
      <c r="M194" s="1"/>
    </row>
    <row r="195" ht="15" customHeight="1">
      <c r="A195" s="1"/>
      <c r="B195" s="3" t="s">
        <v>161</v>
      </c>
      <c r="C195" s="51">
        <f>'Segment - USCS'!C131+'Segment - CS'!C121+'Segment - ICS'!C133+'Segment - GMNS'!C73+C186</f>
        <v>4019</v>
      </c>
      <c r="D195" s="51">
        <f>'Segment - USCS'!D131+'Segment - CS'!D121+'Segment - ICS'!D133+'Segment - GMNS'!D73+D186</f>
        <v>4380</v>
      </c>
      <c r="E195" s="51">
        <f>'Segment - USCS'!E131+'Segment - CS'!E121+'Segment - ICS'!E133+'Segment - GMNS'!E73+E186</f>
        <v>16003</v>
      </c>
      <c r="F195" s="51">
        <f>'Segment - USCS'!F131+'Segment - CS'!F121+'Segment - ICS'!F133+'Segment - GMNS'!F73+F186</f>
        <v>3941</v>
      </c>
      <c r="G195" s="51">
        <f>'Segment - USCS'!G131+'Segment - CS'!G121+'Segment - ICS'!G133+'Segment - GMNS'!G73+G186</f>
        <v>4077</v>
      </c>
      <c r="H195" s="54">
        <f>'Segment - USCS'!H131+'Segment - CS'!H121+'Segment - ICS'!H133+'Segment - GMNS'!H73+H186</f>
        <v>4200</v>
      </c>
      <c r="I195" s="1"/>
      <c r="J195" s="1"/>
      <c r="K195" s="1"/>
      <c r="L195" s="1"/>
      <c r="M195" s="1"/>
    </row>
    <row r="196" ht="15" customHeight="1">
      <c r="A196" s="1"/>
      <c r="B196" s="1" t="s">
        <v>162</v>
      </c>
      <c r="C196" s="16">
        <f>'Segment - USCS'!C107+'Segment - CS'!C97+'Segment - ICS'!C109</f>
        <v>145.708701369863</v>
      </c>
      <c r="D196" s="16">
        <f>'Segment - USCS'!D107+'Segment - CS'!D97+'Segment - ICS'!D109</f>
        <v>97.2055671232877</v>
      </c>
      <c r="E196" s="16">
        <f>'Segment - USCS'!E107+'Segment - CS'!E97+'Segment - ICS'!E109</f>
        <v>513.099</v>
      </c>
      <c r="F196" s="16">
        <f>'Segment - USCS'!F107+'Segment - CS'!F97+'Segment - ICS'!F109</f>
        <v>38.38213698630133</v>
      </c>
      <c r="G196" s="16">
        <f>'Segment - USCS'!G107+'Segment - CS'!G97+'Segment - ICS'!G109</f>
        <v>-135.03547397260266</v>
      </c>
      <c r="H196" s="15">
        <f>'Segment - USCS'!H107+'Segment - CS'!H97+'Segment - ICS'!H109</f>
        <v>100</v>
      </c>
      <c r="I196" s="1"/>
      <c r="J196" s="1"/>
      <c r="K196" s="1"/>
      <c r="L196" s="1"/>
      <c r="M196" s="1"/>
    </row>
    <row r="197" ht="15" customHeight="1">
      <c r="A197" s="1"/>
      <c r="B197" s="1"/>
      <c r="C197" s="1"/>
      <c r="D197" s="1"/>
      <c r="E197" s="1"/>
      <c r="F197" s="1"/>
      <c r="G197" s="1"/>
      <c r="H197" s="29"/>
      <c r="I197" s="1"/>
      <c r="J197" s="1"/>
      <c r="K197" s="1"/>
      <c r="L197" s="1"/>
      <c r="M197" s="1"/>
    </row>
    <row r="198" ht="15" customHeight="1">
      <c r="A198" s="1"/>
      <c r="B198" s="30" t="s">
        <v>163</v>
      </c>
      <c r="C198" s="1"/>
      <c r="D198" s="1"/>
      <c r="E198" s="1"/>
      <c r="F198" s="1"/>
      <c r="G198" s="1"/>
      <c r="H198" s="29"/>
      <c r="I198" s="1"/>
      <c r="J198" s="1"/>
      <c r="K198" s="1"/>
      <c r="L198" s="1"/>
      <c r="M198" s="1"/>
    </row>
    <row r="199" ht="15" customHeight="1">
      <c r="A199" s="1"/>
      <c r="B199" s="1" t="s">
        <v>164</v>
      </c>
      <c r="C199" s="16">
        <f>'Segment - USCS'!C139</f>
        <v>1852</v>
      </c>
      <c r="D199" s="16">
        <f>'Segment - USCS'!D139</f>
        <v>1550</v>
      </c>
      <c r="E199" s="16">
        <f>'Segment - USCS'!E139</f>
        <v>6810</v>
      </c>
      <c r="F199" s="16">
        <f>'Segment - USCS'!F139</f>
        <v>1757</v>
      </c>
      <c r="G199" s="16">
        <f>'Segment - USCS'!G139</f>
        <v>2065</v>
      </c>
      <c r="H199" s="15">
        <f>'Segment - USCS'!H139</f>
        <v>2072.9987945205485</v>
      </c>
      <c r="I199" s="1"/>
      <c r="J199" s="1"/>
      <c r="K199" s="1"/>
      <c r="L199" s="1"/>
      <c r="M199" s="1"/>
    </row>
    <row r="200" ht="15" customHeight="1">
      <c r="A200" s="1"/>
      <c r="B200" s="1" t="s">
        <v>165</v>
      </c>
      <c r="C200" s="16">
        <f>'Segment - CS'!C129</f>
        <v>1090</v>
      </c>
      <c r="D200" s="16">
        <f>'Segment - CS'!D129</f>
        <v>837</v>
      </c>
      <c r="E200" s="16">
        <f>'Segment - CS'!E129</f>
        <v>3668</v>
      </c>
      <c r="F200" s="16">
        <f>'Segment - CS'!F129</f>
        <v>816</v>
      </c>
      <c r="G200" s="16">
        <f>'Segment - CS'!G129</f>
        <v>970</v>
      </c>
      <c r="H200" s="15">
        <f>'Segment - CS'!H129</f>
        <v>989.1849000000002</v>
      </c>
      <c r="I200" s="1"/>
      <c r="J200" s="1"/>
      <c r="K200" s="1"/>
      <c r="L200" s="1"/>
      <c r="M200" s="1"/>
    </row>
    <row r="201" ht="15" customHeight="1">
      <c r="A201" s="1"/>
      <c r="B201" s="1" t="s">
        <v>166</v>
      </c>
      <c r="C201" s="16">
        <f>'Segment - ICS'!C141</f>
        <v>441</v>
      </c>
      <c r="D201" s="16">
        <f>'Segment - ICS'!D141</f>
        <v>316</v>
      </c>
      <c r="E201" s="16">
        <f>'Segment - ICS'!E141</f>
        <v>1603</v>
      </c>
      <c r="F201" s="16">
        <f>'Segment - ICS'!F141</f>
        <v>781</v>
      </c>
      <c r="G201" s="16">
        <f>'Segment - ICS'!G141</f>
        <v>477</v>
      </c>
      <c r="H201" s="15">
        <f>'Segment - ICS'!H141</f>
        <v>468.14810958904036</v>
      </c>
      <c r="I201" s="1"/>
      <c r="J201" s="1"/>
      <c r="K201" s="1"/>
      <c r="L201" s="1"/>
      <c r="M201" s="1"/>
    </row>
    <row r="202" ht="15" customHeight="1">
      <c r="A202" s="1"/>
      <c r="B202" s="1" t="s">
        <v>167</v>
      </c>
      <c r="C202" s="16">
        <f>'Segment - GMNS'!C81</f>
        <v>1040</v>
      </c>
      <c r="D202" s="16">
        <f>'Segment - GMNS'!D81</f>
        <v>884</v>
      </c>
      <c r="E202" s="16">
        <f>'Segment - GMNS'!E81</f>
        <v>3968</v>
      </c>
      <c r="F202" s="16">
        <f>'Segment - GMNS'!F81</f>
        <v>1115</v>
      </c>
      <c r="G202" s="16">
        <f>'Segment - GMNS'!G81</f>
        <v>1128</v>
      </c>
      <c r="H202" s="15">
        <f>'Segment - GMNS'!H81</f>
        <v>1115.2273999999998</v>
      </c>
      <c r="I202" s="1"/>
      <c r="J202" s="1"/>
      <c r="K202" s="1"/>
      <c r="L202" s="1"/>
      <c r="M202" s="1"/>
    </row>
    <row r="203" ht="15" customHeight="1">
      <c r="A203" s="1"/>
      <c r="B203" s="1" t="s">
        <v>168</v>
      </c>
      <c r="C203" s="17">
        <f t="shared" si="41" ref="C203:H203">C189</f>
        <v>-598</v>
      </c>
      <c r="D203" s="17">
        <f t="shared" si="41"/>
        <v>-497</v>
      </c>
      <c r="E203" s="17">
        <f t="shared" si="41"/>
        <v>-2254</v>
      </c>
      <c r="F203" s="17">
        <f t="shared" si="41"/>
        <v>-691</v>
      </c>
      <c r="G203" s="17">
        <f t="shared" si="41"/>
        <v>-569</v>
      </c>
      <c r="H203" s="52">
        <f t="shared" si="41"/>
        <v>155.9999999999991</v>
      </c>
      <c r="I203" s="1"/>
      <c r="J203" s="1"/>
      <c r="K203" s="1"/>
      <c r="L203" s="1"/>
      <c r="M203" s="1"/>
    </row>
    <row r="204" ht="15" customHeight="1">
      <c r="A204" s="1"/>
      <c r="B204" s="3" t="s">
        <v>169</v>
      </c>
      <c r="C204" s="63">
        <f t="shared" si="42" ref="C204:H204">C199+C200+C201+C202+C203</f>
        <v>3825</v>
      </c>
      <c r="D204" s="63">
        <f t="shared" si="42"/>
        <v>3090</v>
      </c>
      <c r="E204" s="63">
        <f t="shared" si="42"/>
        <v>13795</v>
      </c>
      <c r="F204" s="63">
        <f t="shared" si="42"/>
        <v>3778</v>
      </c>
      <c r="G204" s="63">
        <f t="shared" si="42"/>
        <v>4071</v>
      </c>
      <c r="H204" s="34">
        <f t="shared" si="42"/>
        <v>4801.559204109588</v>
      </c>
      <c r="I204" s="1"/>
      <c r="J204" s="1"/>
      <c r="K204" s="1"/>
      <c r="L204" s="1"/>
      <c r="M204" s="1"/>
    </row>
    <row r="205" ht="15" customHeight="1">
      <c r="A205" s="1"/>
      <c r="B205" s="4" t="s">
        <v>170</v>
      </c>
      <c r="C205" s="27">
        <f>C204-'Income Statement'!C127</f>
        <v>0</v>
      </c>
      <c r="D205" s="27">
        <f>D204-'Income Statement'!D127</f>
        <v>0</v>
      </c>
      <c r="E205" s="27">
        <f>E204-'Income Statement'!E127</f>
        <v>0</v>
      </c>
      <c r="F205" s="27">
        <f>F204-'Income Statement'!F127</f>
        <v>0</v>
      </c>
      <c r="G205" s="27">
        <f>G204-'Income Statement'!G127</f>
        <v>0</v>
      </c>
      <c r="H205" s="64">
        <f>H204-'Income Statement'!H127</f>
        <v>0</v>
      </c>
      <c r="I205" s="1"/>
      <c r="J205" s="4" t="s">
        <v>171</v>
      </c>
      <c r="K205" s="1"/>
      <c r="L205" s="1"/>
      <c r="M205" s="1"/>
    </row>
    <row r="206" ht="15" customHeight="1">
      <c r="A206" s="1"/>
      <c r="B206" s="1"/>
      <c r="C206" s="1"/>
      <c r="D206" s="1"/>
      <c r="E206" s="1"/>
      <c r="F206" s="1"/>
      <c r="G206" s="1"/>
      <c r="H206" s="29"/>
      <c r="I206" s="1"/>
      <c r="J206" s="1"/>
      <c r="K206" s="1"/>
      <c r="L206" s="1"/>
      <c r="M206" s="1"/>
    </row>
    <row r="207" ht="15" customHeight="1">
      <c r="A207" s="1"/>
      <c r="B207" s="4" t="s">
        <v>172</v>
      </c>
      <c r="C207" s="1"/>
      <c r="D207" s="1"/>
      <c r="E207" s="1"/>
      <c r="F207" s="1"/>
      <c r="G207" s="1"/>
      <c r="H207" s="29"/>
      <c r="I207" s="1"/>
      <c r="J207" s="1"/>
      <c r="K207" s="1"/>
      <c r="L207" s="1"/>
      <c r="M207" s="1"/>
    </row>
    <row r="208" ht="1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ht="1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610CD4B-CF18-BD98-E9BC-17EEBCF3E57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173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174</v>
      </c>
      <c r="C9" s="1"/>
      <c r="D9" s="1"/>
      <c r="E9" s="1"/>
      <c r="F9" s="1"/>
      <c r="G9" s="1"/>
      <c r="H9" s="29"/>
      <c r="I9" s="1"/>
      <c r="J9" s="1"/>
      <c r="K9" s="1"/>
      <c r="L9" s="1"/>
      <c r="M9" s="1"/>
    </row>
    <row r="10" ht="15" customHeight="1">
      <c r="A10" s="1"/>
      <c r="B10" s="1" t="s">
        <v>102</v>
      </c>
      <c r="C10" s="16">
        <f>Inputs!G260</f>
        <v>47.3</v>
      </c>
      <c r="D10" s="17">
        <f t="shared" si="1" ref="D10:H49">C12</f>
        <v>47.8</v>
      </c>
      <c r="E10" s="16">
        <f>Inputs!E260</f>
        <v>46.3</v>
      </c>
      <c r="F10" s="17">
        <f t="shared" si="7" ref="F10:F49">D12</f>
        <v>48.3</v>
      </c>
      <c r="G10" s="17">
        <f t="shared" si="1"/>
        <v>48.7</v>
      </c>
      <c r="H10" s="52">
        <f t="shared" si="1"/>
        <v>49.2</v>
      </c>
      <c r="I10" s="1"/>
      <c r="J10" s="4" t="s">
        <v>175</v>
      </c>
      <c r="K10" s="1"/>
      <c r="L10" s="1"/>
      <c r="M10" s="1"/>
    </row>
    <row r="11" ht="15" customHeight="1">
      <c r="A11" s="1"/>
      <c r="B11" s="1" t="s">
        <v>176</v>
      </c>
      <c r="C11" s="17">
        <f t="shared" si="2" ref="C11:H50">C12-C10</f>
        <v>0.5</v>
      </c>
      <c r="D11" s="17">
        <f t="shared" si="2"/>
        <v>0.5</v>
      </c>
      <c r="E11" s="17">
        <f t="shared" si="2"/>
        <v>2</v>
      </c>
      <c r="F11" s="17">
        <f t="shared" si="2"/>
        <v>0.4000000000000057</v>
      </c>
      <c r="G11" s="17">
        <f t="shared" si="2"/>
        <v>0.5</v>
      </c>
      <c r="H11" s="32">
        <v>0.5</v>
      </c>
      <c r="I11" s="1"/>
      <c r="J11" s="4" t="s">
        <v>177</v>
      </c>
      <c r="K11" s="1"/>
      <c r="L11" s="1"/>
      <c r="M11" s="1"/>
    </row>
    <row r="12" ht="15" customHeight="1">
      <c r="A12" s="1"/>
      <c r="B12" s="3" t="s">
        <v>109</v>
      </c>
      <c r="C12" s="33">
        <v>47.8</v>
      </c>
      <c r="D12" s="33">
        <v>48.3</v>
      </c>
      <c r="E12" s="33">
        <v>48.3</v>
      </c>
      <c r="F12" s="33">
        <v>48.7</v>
      </c>
      <c r="G12" s="33">
        <v>49.2</v>
      </c>
      <c r="H12" s="34">
        <f t="shared" si="8" ref="H12:H21">H10+H11</f>
        <v>49.7</v>
      </c>
      <c r="I12" s="1"/>
      <c r="J12" s="4" t="s">
        <v>69</v>
      </c>
      <c r="K12" s="1"/>
      <c r="L12" s="1"/>
      <c r="M12" s="1"/>
    </row>
    <row r="13" ht="15" customHeight="1">
      <c r="A13" s="1"/>
      <c r="B13" s="35" t="s">
        <v>70</v>
      </c>
      <c r="C13" s="36">
        <f>C12/Inputs!C260-1</f>
        <v>0.045951859956236296</v>
      </c>
      <c r="D13" s="36">
        <f>D12/Inputs!D260-1</f>
        <v>0.043196544276457916</v>
      </c>
      <c r="E13" s="36">
        <f>E12/Inputs!E260-1</f>
        <v>0.043196544276457916</v>
      </c>
      <c r="F13" s="36">
        <f>F12/Inputs!F260-1</f>
        <v>0.040598290598290676</v>
      </c>
      <c r="G13" s="36">
        <f>G12/Inputs!G260-1</f>
        <v>0.04016913319238924</v>
      </c>
      <c r="H13" s="37">
        <f t="shared" si="5" ref="H13:H140">H12/C12-1</f>
        <v>0.03974895397489542</v>
      </c>
      <c r="I13" s="1"/>
      <c r="J13" s="1"/>
      <c r="K13" s="1"/>
      <c r="L13" s="1"/>
      <c r="M13" s="1"/>
    </row>
    <row r="14" ht="15" customHeight="1">
      <c r="A14" s="1"/>
      <c r="B14" s="35" t="s">
        <v>71</v>
      </c>
      <c r="C14" s="27">
        <f>C12-Inputs!C260</f>
        <v>2.0999999999999943</v>
      </c>
      <c r="D14" s="27">
        <f>D12-Inputs!D260</f>
        <v>2</v>
      </c>
      <c r="E14" s="27">
        <f>E12-Inputs!E260</f>
        <v>2</v>
      </c>
      <c r="F14" s="27">
        <f>F12-Inputs!F260</f>
        <v>1.9000000000000057</v>
      </c>
      <c r="G14" s="27">
        <f>G12-Inputs!G260</f>
        <v>1.9000000000000057</v>
      </c>
      <c r="H14" s="38">
        <f t="shared" si="9" ref="H14:H133">H12-C12</f>
        <v>1.9000000000000057</v>
      </c>
      <c r="I14" s="1"/>
      <c r="J14" s="1"/>
      <c r="K14" s="1"/>
      <c r="L14" s="1"/>
      <c r="M14" s="1"/>
    </row>
    <row r="15" ht="15" customHeight="1">
      <c r="A15" s="1"/>
      <c r="B15" s="35" t="s">
        <v>73</v>
      </c>
      <c r="C15" s="27">
        <f>C12-Inputs!G260</f>
        <v>0.5</v>
      </c>
      <c r="D15" s="40">
        <f t="shared" si="3" ref="D15:H134">D12-C12</f>
        <v>0.5</v>
      </c>
      <c r="E15" s="1"/>
      <c r="F15" s="40">
        <f t="shared" si="10" ref="F15:F134">F12-D12</f>
        <v>0.4000000000000057</v>
      </c>
      <c r="G15" s="40">
        <f t="shared" si="3"/>
        <v>0.5</v>
      </c>
      <c r="H15" s="38">
        <f t="shared" si="3"/>
        <v>0.5</v>
      </c>
      <c r="I15" s="1"/>
      <c r="J15" s="1"/>
      <c r="K15" s="1"/>
      <c r="L15" s="1"/>
      <c r="M15" s="1"/>
    </row>
    <row r="16" ht="15" customHeight="1">
      <c r="A16" s="1"/>
      <c r="B16" s="1" t="s">
        <v>111</v>
      </c>
      <c r="C16" s="17">
        <f t="shared" si="4" ref="C16:H55">AVERAGE(C10,C12)</f>
        <v>47.55</v>
      </c>
      <c r="D16" s="17">
        <f t="shared" si="4"/>
        <v>48.05</v>
      </c>
      <c r="E16" s="17">
        <f t="shared" si="4"/>
        <v>47.3</v>
      </c>
      <c r="F16" s="17">
        <f t="shared" si="4"/>
        <v>48.5</v>
      </c>
      <c r="G16" s="17">
        <f t="shared" si="4"/>
        <v>48.95</v>
      </c>
      <c r="H16" s="52">
        <f t="shared" si="4"/>
        <v>49.45</v>
      </c>
      <c r="I16" s="1"/>
      <c r="J16" s="1"/>
      <c r="K16" s="1"/>
      <c r="L16" s="1"/>
      <c r="M16" s="1"/>
    </row>
    <row r="17" ht="15" customHeight="1">
      <c r="A17" s="1"/>
      <c r="B17" s="35" t="s">
        <v>70</v>
      </c>
      <c r="C17" s="43" t="s">
        <v>35</v>
      </c>
      <c r="D17" s="43" t="s">
        <v>35</v>
      </c>
      <c r="E17" s="43" t="s">
        <v>35</v>
      </c>
      <c r="F17" s="43" t="s">
        <v>35</v>
      </c>
      <c r="G17" s="43" t="s">
        <v>35</v>
      </c>
      <c r="H17" s="37">
        <f t="shared" si="5"/>
        <v>0.03995793901156697</v>
      </c>
      <c r="I17" s="1"/>
      <c r="J17" s="1"/>
      <c r="K17" s="1"/>
      <c r="L17" s="1"/>
      <c r="M17" s="1"/>
    </row>
    <row r="18" ht="15" customHeight="1">
      <c r="A18" s="1"/>
      <c r="B18" s="35" t="s">
        <v>73</v>
      </c>
      <c r="C18" s="27">
        <f>C16-AVERAGE(Inputs!F260,Inputs!G260)</f>
        <v>0.5</v>
      </c>
      <c r="D18" s="40">
        <f t="shared" si="6" ref="D18:H109">D16-C16</f>
        <v>0.5</v>
      </c>
      <c r="E18" s="1"/>
      <c r="F18" s="40">
        <f t="shared" si="11" ref="F18:F109">F16-D16</f>
        <v>0.45000000000000284</v>
      </c>
      <c r="G18" s="40">
        <f t="shared" si="6"/>
        <v>0.45000000000000284</v>
      </c>
      <c r="H18" s="38">
        <f t="shared" si="6"/>
        <v>0.5</v>
      </c>
      <c r="I18" s="1"/>
      <c r="J18" s="1"/>
      <c r="K18" s="1"/>
      <c r="L18" s="1"/>
      <c r="M18" s="1"/>
    </row>
    <row r="19" ht="15" customHeight="1">
      <c r="A19" s="1"/>
      <c r="B19" s="1" t="s">
        <v>178</v>
      </c>
      <c r="C19" s="16">
        <f>Inputs!G265</f>
        <v>33.4</v>
      </c>
      <c r="D19" s="17">
        <f t="shared" si="1"/>
        <v>33.7</v>
      </c>
      <c r="E19" s="16">
        <f>Inputs!E265</f>
        <v>32.5</v>
      </c>
      <c r="F19" s="17">
        <f t="shared" si="7"/>
        <v>34.1</v>
      </c>
      <c r="G19" s="17">
        <f t="shared" si="1"/>
        <v>34.6</v>
      </c>
      <c r="H19" s="52">
        <f t="shared" si="1"/>
        <v>35</v>
      </c>
      <c r="I19" s="1"/>
      <c r="J19" s="1"/>
      <c r="K19" s="1"/>
      <c r="L19" s="1"/>
      <c r="M19" s="1"/>
    </row>
    <row r="20" ht="15" customHeight="1">
      <c r="A20" s="1"/>
      <c r="B20" s="1" t="s">
        <v>179</v>
      </c>
      <c r="C20" s="17">
        <f t="shared" si="2"/>
        <v>0.30000000000000426</v>
      </c>
      <c r="D20" s="17">
        <f t="shared" si="2"/>
        <v>0.3999999999999986</v>
      </c>
      <c r="E20" s="17">
        <f t="shared" si="2"/>
        <v>1.6000000000000014</v>
      </c>
      <c r="F20" s="17">
        <f t="shared" si="2"/>
        <v>0.5</v>
      </c>
      <c r="G20" s="17">
        <f t="shared" si="2"/>
        <v>0.3999999999999986</v>
      </c>
      <c r="H20" s="32">
        <v>0.4</v>
      </c>
      <c r="I20" s="1"/>
      <c r="J20" s="4" t="s">
        <v>180</v>
      </c>
      <c r="K20" s="1"/>
      <c r="L20" s="1"/>
      <c r="M20" s="1"/>
    </row>
    <row r="21" ht="15" customHeight="1">
      <c r="A21" s="1"/>
      <c r="B21" s="3" t="s">
        <v>181</v>
      </c>
      <c r="C21" s="33">
        <v>33.7</v>
      </c>
      <c r="D21" s="33">
        <v>34.1</v>
      </c>
      <c r="E21" s="33">
        <v>34.1</v>
      </c>
      <c r="F21" s="33">
        <v>34.6</v>
      </c>
      <c r="G21" s="33">
        <v>35</v>
      </c>
      <c r="H21" s="34">
        <f t="shared" si="8"/>
        <v>35.4</v>
      </c>
      <c r="I21" s="1"/>
      <c r="J21" s="4" t="s">
        <v>69</v>
      </c>
      <c r="K21" s="1"/>
      <c r="L21" s="1"/>
      <c r="M21" s="1"/>
    </row>
    <row r="22" ht="15" customHeight="1">
      <c r="A22" s="1"/>
      <c r="B22" s="35" t="s">
        <v>70</v>
      </c>
      <c r="C22" s="36">
        <f>C21/Inputs!C265-1</f>
        <v>0.049844236760124616</v>
      </c>
      <c r="D22" s="36">
        <f>D21/Inputs!D265-1</f>
        <v>0.04923076923076919</v>
      </c>
      <c r="E22" s="36">
        <f>E21/Inputs!E265-1</f>
        <v>0.04923076923076919</v>
      </c>
      <c r="F22" s="36">
        <f>F21/Inputs!F265-1</f>
        <v>0.048484848484848575</v>
      </c>
      <c r="G22" s="36">
        <f>G21/Inputs!G265-1</f>
        <v>0.04790419161676662</v>
      </c>
      <c r="H22" s="37">
        <f t="shared" si="5"/>
        <v>0.05044510385756662</v>
      </c>
      <c r="I22" s="1"/>
      <c r="J22" s="1"/>
      <c r="K22" s="1"/>
      <c r="L22" s="1"/>
      <c r="M22" s="1"/>
    </row>
    <row r="23" ht="15" customHeight="1">
      <c r="A23" s="1"/>
      <c r="B23" s="35" t="s">
        <v>71</v>
      </c>
      <c r="C23" s="27">
        <f>C21-Inputs!C265</f>
        <v>1.6000000000000014</v>
      </c>
      <c r="D23" s="27">
        <f>D21-Inputs!D265</f>
        <v>1.6000000000000014</v>
      </c>
      <c r="E23" s="27">
        <f>E21-Inputs!E265</f>
        <v>1.6000000000000014</v>
      </c>
      <c r="F23" s="27">
        <f>F21-Inputs!F265</f>
        <v>1.6000000000000014</v>
      </c>
      <c r="G23" s="27">
        <f>G21-Inputs!G265</f>
        <v>1.6000000000000014</v>
      </c>
      <c r="H23" s="38">
        <f t="shared" si="9"/>
        <v>1.6999999999999957</v>
      </c>
      <c r="I23" s="1"/>
      <c r="J23" s="1"/>
      <c r="K23" s="1"/>
      <c r="L23" s="1"/>
      <c r="M23" s="1"/>
    </row>
    <row r="24" ht="15" customHeight="1">
      <c r="A24" s="1"/>
      <c r="B24" s="35" t="s">
        <v>73</v>
      </c>
      <c r="C24" s="27">
        <f>C21-Inputs!G265</f>
        <v>0.30000000000000426</v>
      </c>
      <c r="D24" s="40">
        <f t="shared" si="3"/>
        <v>0.3999999999999986</v>
      </c>
      <c r="E24" s="1"/>
      <c r="F24" s="40">
        <f t="shared" si="10"/>
        <v>0.5</v>
      </c>
      <c r="G24" s="40">
        <f t="shared" si="3"/>
        <v>0.3999999999999986</v>
      </c>
      <c r="H24" s="38">
        <f t="shared" si="3"/>
        <v>0.3999999999999986</v>
      </c>
      <c r="I24" s="1"/>
      <c r="J24" s="1"/>
      <c r="K24" s="1"/>
      <c r="L24" s="1"/>
      <c r="M24" s="1"/>
    </row>
    <row r="25" ht="15" customHeight="1">
      <c r="A25" s="1"/>
      <c r="B25" s="1" t="s">
        <v>182</v>
      </c>
      <c r="C25" s="17">
        <f t="shared" si="4"/>
        <v>33.55</v>
      </c>
      <c r="D25" s="17">
        <f t="shared" si="4"/>
        <v>33.900000000000006</v>
      </c>
      <c r="E25" s="17">
        <f t="shared" si="4"/>
        <v>33.3</v>
      </c>
      <c r="F25" s="17">
        <f t="shared" si="4"/>
        <v>34.35</v>
      </c>
      <c r="G25" s="17">
        <f t="shared" si="4"/>
        <v>34.8</v>
      </c>
      <c r="H25" s="52">
        <f t="shared" si="4"/>
        <v>35.2</v>
      </c>
      <c r="I25" s="1"/>
      <c r="J25" s="1"/>
      <c r="K25" s="1"/>
      <c r="L25" s="1"/>
      <c r="M25" s="1"/>
    </row>
    <row r="26" ht="15" customHeight="1">
      <c r="A26" s="1"/>
      <c r="B26" s="35" t="s">
        <v>70</v>
      </c>
      <c r="C26" s="43" t="s">
        <v>35</v>
      </c>
      <c r="D26" s="43" t="s">
        <v>35</v>
      </c>
      <c r="E26" s="43" t="s">
        <v>35</v>
      </c>
      <c r="F26" s="43" t="s">
        <v>35</v>
      </c>
      <c r="G26" s="43" t="s">
        <v>35</v>
      </c>
      <c r="H26" s="37">
        <f t="shared" si="5"/>
        <v>0.049180327868852736</v>
      </c>
      <c r="I26" s="1"/>
      <c r="J26" s="1"/>
      <c r="K26" s="1"/>
      <c r="L26" s="1"/>
      <c r="M26" s="1"/>
    </row>
    <row r="27" ht="15" customHeight="1">
      <c r="A27" s="1"/>
      <c r="B27" s="35" t="s">
        <v>73</v>
      </c>
      <c r="C27" s="27">
        <f>C25-AVERAGE(Inputs!F265,Inputs!G265)</f>
        <v>0.3499999999999943</v>
      </c>
      <c r="D27" s="40">
        <f t="shared" si="6"/>
        <v>0.3500000000000085</v>
      </c>
      <c r="E27" s="1"/>
      <c r="F27" s="40">
        <f t="shared" si="11"/>
        <v>0.44999999999999574</v>
      </c>
      <c r="G27" s="40">
        <f t="shared" si="6"/>
        <v>0.44999999999999574</v>
      </c>
      <c r="H27" s="38">
        <f t="shared" si="6"/>
        <v>0.4000000000000057</v>
      </c>
      <c r="I27" s="1"/>
      <c r="J27" s="1"/>
      <c r="K27" s="1"/>
      <c r="L27" s="1"/>
      <c r="M27" s="1"/>
    </row>
    <row r="28" ht="15" customHeight="1">
      <c r="A28" s="1"/>
      <c r="B28" s="1" t="s">
        <v>183</v>
      </c>
      <c r="C28" s="17">
        <f t="shared" si="12" ref="C28:H28">C12-C21</f>
        <v>14.099999999999994</v>
      </c>
      <c r="D28" s="17">
        <f t="shared" si="12"/>
        <v>14.199999999999996</v>
      </c>
      <c r="E28" s="17">
        <f t="shared" si="12"/>
        <v>14.199999999999996</v>
      </c>
      <c r="F28" s="17">
        <f t="shared" si="12"/>
        <v>14.100000000000001</v>
      </c>
      <c r="G28" s="17">
        <f t="shared" si="12"/>
        <v>14.200000000000003</v>
      </c>
      <c r="H28" s="52">
        <f t="shared" si="12"/>
        <v>14.300000000000004</v>
      </c>
      <c r="I28" s="1"/>
      <c r="J28" s="1"/>
      <c r="K28" s="1"/>
      <c r="L28" s="1"/>
      <c r="M28" s="1"/>
    </row>
    <row r="29" ht="15" customHeight="1">
      <c r="A29" s="1"/>
      <c r="B29" s="35" t="s">
        <v>70</v>
      </c>
      <c r="C29" s="43" t="s">
        <v>35</v>
      </c>
      <c r="D29" s="43" t="s">
        <v>35</v>
      </c>
      <c r="E29" s="43" t="s">
        <v>35</v>
      </c>
      <c r="F29" s="43" t="s">
        <v>35</v>
      </c>
      <c r="G29" s="43" t="s">
        <v>35</v>
      </c>
      <c r="H29" s="37">
        <f t="shared" si="5"/>
        <v>0.014184397163121254</v>
      </c>
      <c r="I29" s="1"/>
      <c r="J29" s="1"/>
      <c r="K29" s="1"/>
      <c r="L29" s="1"/>
      <c r="M29" s="1"/>
    </row>
    <row r="30" ht="15" customHeight="1">
      <c r="A30" s="1"/>
      <c r="B30" s="35" t="s">
        <v>73</v>
      </c>
      <c r="C30" s="27">
        <f>C28-(Inputs!G260-Inputs!G265)</f>
        <v>0.19999999999999574</v>
      </c>
      <c r="D30" s="40">
        <f t="shared" si="6"/>
        <v>0.10000000000000142</v>
      </c>
      <c r="E30" s="1"/>
      <c r="F30" s="40">
        <f t="shared" si="11"/>
        <v>-0.09999999999999432</v>
      </c>
      <c r="G30" s="40">
        <f t="shared" si="6"/>
        <v>0.10000000000000142</v>
      </c>
      <c r="H30" s="38">
        <f t="shared" si="6"/>
        <v>0.10000000000000142</v>
      </c>
      <c r="I30" s="1"/>
      <c r="J30" s="1"/>
      <c r="K30" s="1"/>
      <c r="L30" s="1"/>
      <c r="M30" s="1"/>
    </row>
    <row r="31" ht="15" customHeight="1">
      <c r="A31" s="1"/>
      <c r="B31" s="4" t="s">
        <v>184</v>
      </c>
      <c r="C31" s="39">
        <f t="shared" si="13" ref="C31:H31">C21/C12</f>
        <v>0.7050209205020922</v>
      </c>
      <c r="D31" s="39">
        <f t="shared" si="13"/>
        <v>0.7060041407867496</v>
      </c>
      <c r="E31" s="39">
        <f t="shared" si="13"/>
        <v>0.7060041407867496</v>
      </c>
      <c r="F31" s="39">
        <f t="shared" si="13"/>
        <v>0.7104722792607803</v>
      </c>
      <c r="G31" s="39">
        <f t="shared" si="13"/>
        <v>0.7113821138211381</v>
      </c>
      <c r="H31" s="37">
        <f t="shared" si="13"/>
        <v>0.7122736418511065</v>
      </c>
      <c r="I31" s="1"/>
      <c r="J31" s="1"/>
      <c r="K31" s="1"/>
      <c r="L31" s="1"/>
      <c r="M31" s="1"/>
    </row>
    <row r="32" ht="15" customHeight="1">
      <c r="A32" s="1"/>
      <c r="B32" s="35" t="s">
        <v>81</v>
      </c>
      <c r="C32" s="43" t="s">
        <v>35</v>
      </c>
      <c r="D32" s="43" t="s">
        <v>35</v>
      </c>
      <c r="E32" s="43" t="s">
        <v>35</v>
      </c>
      <c r="F32" s="43" t="s">
        <v>35</v>
      </c>
      <c r="G32" s="43" t="s">
        <v>35</v>
      </c>
      <c r="H32" s="48">
        <f t="shared" si="20" ref="H32:H142">(H31-C31)*10000</f>
        <v>72.52721349014335</v>
      </c>
      <c r="I32" s="1"/>
      <c r="J32" s="1"/>
      <c r="K32" s="1"/>
      <c r="L32" s="1"/>
      <c r="M32" s="1"/>
    </row>
    <row r="33" ht="15" customHeight="1">
      <c r="A33" s="1"/>
      <c r="B33" s="35" t="s">
        <v>82</v>
      </c>
      <c r="C33" s="43" t="s">
        <v>35</v>
      </c>
      <c r="D33" s="49">
        <f t="shared" si="14" ref="D33:H143">(D31-C31)*10000</f>
        <v>9.832202846573601</v>
      </c>
      <c r="E33" s="1"/>
      <c r="F33" s="49">
        <f t="shared" si="21" ref="F33:F143">(F31-D31)*10000</f>
        <v>44.68138474030714</v>
      </c>
      <c r="G33" s="49">
        <f t="shared" si="14"/>
        <v>9.098345603578695</v>
      </c>
      <c r="H33" s="48">
        <f t="shared" si="14"/>
        <v>8.915280299683914</v>
      </c>
      <c r="I33" s="1"/>
      <c r="J33" s="1"/>
      <c r="K33" s="1"/>
      <c r="L33" s="1"/>
      <c r="M33" s="1"/>
    </row>
    <row r="34" ht="15" customHeight="1">
      <c r="A34" s="1"/>
      <c r="B34" s="1" t="s">
        <v>185</v>
      </c>
      <c r="C34" s="55">
        <v>5291</v>
      </c>
      <c r="D34" s="55">
        <v>5574</v>
      </c>
      <c r="E34" s="55">
        <v>21215</v>
      </c>
      <c r="F34" s="55">
        <v>5248</v>
      </c>
      <c r="G34" s="55">
        <v>5654</v>
      </c>
      <c r="H34" s="60">
        <v>5600</v>
      </c>
      <c r="I34" s="1"/>
      <c r="J34" s="4" t="s">
        <v>186</v>
      </c>
      <c r="K34" s="1"/>
      <c r="L34" s="1"/>
      <c r="M34" s="1"/>
    </row>
    <row r="35" ht="15" customHeight="1">
      <c r="A35" s="1"/>
      <c r="B35" s="35" t="s">
        <v>70</v>
      </c>
      <c r="C35" s="36">
        <f>C34/Inputs!C261-1</f>
        <v>0.03928501276762919</v>
      </c>
      <c r="D35" s="36">
        <f>D34/Inputs!D261-1</f>
        <v>0.03471319844069054</v>
      </c>
      <c r="E35" s="36">
        <f>E34/Inputs!E261-1</f>
        <v>0.02453276669725213</v>
      </c>
      <c r="F35" s="36">
        <f>F34/Inputs!F261-1</f>
        <v>0.046669325887515045</v>
      </c>
      <c r="G35" s="36">
        <f>G34/Inputs!G261-1</f>
        <v>0.06238256294626088</v>
      </c>
      <c r="H35" s="37">
        <f t="shared" si="5"/>
        <v>0.05840105840105836</v>
      </c>
      <c r="I35" s="1"/>
      <c r="J35" s="1"/>
      <c r="K35" s="1"/>
      <c r="L35" s="1"/>
      <c r="M35" s="1"/>
    </row>
    <row r="36" ht="15" customHeight="1">
      <c r="A36" s="1"/>
      <c r="B36" s="35" t="s">
        <v>71</v>
      </c>
      <c r="C36" s="57">
        <f>C34-Inputs!C261</f>
        <v>200</v>
      </c>
      <c r="D36" s="57">
        <f>D34-Inputs!D261</f>
        <v>187</v>
      </c>
      <c r="E36" s="57">
        <f>E34-Inputs!E261</f>
        <v>508</v>
      </c>
      <c r="F36" s="57">
        <f>F34-Inputs!F261</f>
        <v>234</v>
      </c>
      <c r="G36" s="57">
        <f>G34-Inputs!G261</f>
        <v>332</v>
      </c>
      <c r="H36" s="58">
        <f t="shared" si="9"/>
        <v>309</v>
      </c>
      <c r="I36" s="1"/>
      <c r="J36" s="1"/>
      <c r="K36" s="1"/>
      <c r="L36" s="1"/>
      <c r="M36" s="1"/>
    </row>
    <row r="37" ht="15" customHeight="1">
      <c r="A37" s="1"/>
      <c r="B37" s="35" t="s">
        <v>73</v>
      </c>
      <c r="C37" s="57">
        <f>C34-Inputs!G261</f>
        <v>-31</v>
      </c>
      <c r="D37" s="59">
        <f t="shared" si="3"/>
        <v>283</v>
      </c>
      <c r="E37" s="1"/>
      <c r="F37" s="59">
        <f t="shared" si="10"/>
        <v>-326</v>
      </c>
      <c r="G37" s="59">
        <f t="shared" si="3"/>
        <v>406</v>
      </c>
      <c r="H37" s="58">
        <f t="shared" si="3"/>
        <v>-54</v>
      </c>
      <c r="I37" s="1"/>
      <c r="J37" s="1"/>
      <c r="K37" s="1"/>
      <c r="L37" s="1"/>
      <c r="M37" s="1"/>
    </row>
    <row r="38" ht="15" customHeight="1">
      <c r="A38" s="1"/>
      <c r="B38" s="3" t="s">
        <v>187</v>
      </c>
      <c r="C38" s="33">
        <v>177.5</v>
      </c>
      <c r="D38" s="33">
        <v>189.2</v>
      </c>
      <c r="E38" s="33">
        <v>707.5</v>
      </c>
      <c r="F38" s="33">
        <v>180.2</v>
      </c>
      <c r="G38" s="33">
        <v>196.4</v>
      </c>
      <c r="H38" s="34">
        <f>H25*H34/1000</f>
        <v>197.12000000000003</v>
      </c>
      <c r="I38" s="1"/>
      <c r="J38" s="4" t="s">
        <v>188</v>
      </c>
      <c r="K38" s="1"/>
      <c r="L38" s="1"/>
      <c r="M38" s="1"/>
    </row>
    <row r="39" ht="15" customHeight="1">
      <c r="A39" s="1"/>
      <c r="B39" s="35" t="s">
        <v>70</v>
      </c>
      <c r="C39" s="36">
        <f>C38/Inputs!C259-1</f>
        <v>0.09365372766481816</v>
      </c>
      <c r="D39" s="36">
        <f>D38/Inputs!D259-1</f>
        <v>0.08735632183908049</v>
      </c>
      <c r="E39" s="36">
        <f>E38/Inputs!E259-1</f>
        <v>0.08048259010384862</v>
      </c>
      <c r="F39" s="36">
        <f>F38/Inputs!F259-1</f>
        <v>0.09677419354838701</v>
      </c>
      <c r="G39" s="36">
        <f>G38/Inputs!G259-1</f>
        <v>0.11274787535410757</v>
      </c>
      <c r="H39" s="37">
        <f t="shared" si="5"/>
        <v>0.1105352112676059</v>
      </c>
      <c r="I39" s="1"/>
      <c r="J39" s="1"/>
      <c r="K39" s="1"/>
      <c r="L39" s="1"/>
      <c r="M39" s="1"/>
    </row>
    <row r="40" ht="15" customHeight="1">
      <c r="A40" s="1"/>
      <c r="B40" s="35" t="s">
        <v>71</v>
      </c>
      <c r="C40" s="27">
        <f>C38-Inputs!C259</f>
        <v>15.199999999999989</v>
      </c>
      <c r="D40" s="27">
        <f>D38-Inputs!D259</f>
        <v>15.199999999999989</v>
      </c>
      <c r="E40" s="27">
        <f>E38-Inputs!E259</f>
        <v>52.700000000000045</v>
      </c>
      <c r="F40" s="27">
        <f>F38-Inputs!F259</f>
        <v>15.899999999999977</v>
      </c>
      <c r="G40" s="27">
        <f>G38-Inputs!G259</f>
        <v>19.900000000000006</v>
      </c>
      <c r="H40" s="38">
        <f t="shared" si="9"/>
        <v>19.620000000000033</v>
      </c>
      <c r="I40" s="1"/>
      <c r="J40" s="1"/>
      <c r="K40" s="1"/>
      <c r="L40" s="1"/>
      <c r="M40" s="1"/>
    </row>
    <row r="41" ht="15" customHeight="1">
      <c r="A41" s="1"/>
      <c r="B41" s="35" t="s">
        <v>72</v>
      </c>
      <c r="C41" s="36">
        <f>C38/Inputs!G259-1</f>
        <v>0.0056657223796034994</v>
      </c>
      <c r="D41" s="39">
        <f t="shared" si="15" ref="D41:H41">D38/C38-1</f>
        <v>0.06591549295774635</v>
      </c>
      <c r="E41" s="1"/>
      <c r="F41" s="39">
        <f>F38/D38-1</f>
        <v>-0.04756871035940802</v>
      </c>
      <c r="G41" s="39">
        <f t="shared" si="15"/>
        <v>0.08990011098779149</v>
      </c>
      <c r="H41" s="37">
        <f t="shared" si="15"/>
        <v>0.0036659877800409024</v>
      </c>
      <c r="I41" s="1"/>
      <c r="J41" s="1"/>
      <c r="K41" s="1"/>
      <c r="L41" s="1"/>
      <c r="M41" s="1"/>
    </row>
    <row r="42" ht="15" customHeight="1">
      <c r="A42" s="1"/>
      <c r="B42" s="35" t="s">
        <v>73</v>
      </c>
      <c r="C42" s="27">
        <f>C38-Inputs!G259</f>
        <v>1</v>
      </c>
      <c r="D42" s="40">
        <f t="shared" si="16" ref="D42:H42">D38-C38</f>
        <v>11.699999999999989</v>
      </c>
      <c r="E42" s="1"/>
      <c r="F42" s="40">
        <f>F38-D38</f>
        <v>-9</v>
      </c>
      <c r="G42" s="40">
        <f t="shared" si="16"/>
        <v>16.200000000000017</v>
      </c>
      <c r="H42" s="38">
        <f t="shared" si="16"/>
        <v>0.7200000000000273</v>
      </c>
      <c r="I42" s="1"/>
      <c r="J42" s="1"/>
      <c r="K42" s="1"/>
      <c r="L42" s="1"/>
      <c r="M42" s="1"/>
    </row>
    <row r="43" ht="15" customHeight="1">
      <c r="A43" s="1"/>
      <c r="B43" s="41" t="s">
        <v>74</v>
      </c>
      <c r="C43" s="39">
        <f t="shared" si="17" ref="C43:H43">C39</f>
        <v>0.09365372766481816</v>
      </c>
      <c r="D43" s="39">
        <f t="shared" si="17"/>
        <v>0.08735632183908049</v>
      </c>
      <c r="E43" s="39">
        <f t="shared" si="17"/>
        <v>0.08048259010384862</v>
      </c>
      <c r="F43" s="39">
        <f t="shared" si="17"/>
        <v>0.09677419354838701</v>
      </c>
      <c r="G43" s="39">
        <f t="shared" si="17"/>
        <v>0.11274787535410757</v>
      </c>
      <c r="H43" s="37">
        <f t="shared" si="17"/>
        <v>0.1105352112676059</v>
      </c>
      <c r="I43" s="1"/>
      <c r="J43" s="1"/>
      <c r="K43" s="1"/>
      <c r="L43" s="1"/>
      <c r="M43" s="1"/>
    </row>
    <row r="44" ht="15" customHeight="1">
      <c r="A44" s="1"/>
      <c r="B44" s="41" t="s">
        <v>75</v>
      </c>
      <c r="C44" s="43" t="s">
        <v>35</v>
      </c>
      <c r="D44" s="43" t="s">
        <v>35</v>
      </c>
      <c r="E44" s="43" t="s">
        <v>35</v>
      </c>
      <c r="F44" s="43" t="s">
        <v>35</v>
      </c>
      <c r="G44" s="43" t="s">
        <v>35</v>
      </c>
      <c r="H44" s="44" t="s">
        <v>35</v>
      </c>
      <c r="I44" s="1"/>
      <c r="J44" s="4" t="s">
        <v>189</v>
      </c>
      <c r="K44" s="1"/>
      <c r="L44" s="1"/>
      <c r="M44" s="1"/>
    </row>
    <row r="45" ht="15" customHeight="1">
      <c r="A45" s="1"/>
      <c r="B45" s="41" t="s">
        <v>77</v>
      </c>
      <c r="C45" s="43" t="s">
        <v>35</v>
      </c>
      <c r="D45" s="43" t="s">
        <v>35</v>
      </c>
      <c r="E45" s="43" t="s">
        <v>35</v>
      </c>
      <c r="F45" s="43" t="s">
        <v>35</v>
      </c>
      <c r="G45" s="43" t="s">
        <v>35</v>
      </c>
      <c r="H45" s="44" t="s">
        <v>35</v>
      </c>
      <c r="I45" s="1"/>
      <c r="J45" s="1"/>
      <c r="K45" s="1"/>
      <c r="L45" s="1"/>
      <c r="M45" s="1"/>
    </row>
    <row r="46" ht="15" customHeight="1">
      <c r="A46" s="1"/>
      <c r="B46" s="41" t="s">
        <v>78</v>
      </c>
      <c r="C46" s="45" t="str">
        <f t="shared" si="18" ref="C46:H103">IF(AND(ISNUMBER(C43),ISNUMBER(C44),ISNUMBER(C45)),(1+C43)/((1+C45)*(1+C44))-1,"unavailable")</f>
        <v>unavailable</v>
      </c>
      <c r="D46" s="45" t="str">
        <f t="shared" si="18"/>
        <v>unavailable</v>
      </c>
      <c r="E46" s="45" t="str">
        <f t="shared" si="18"/>
        <v>unavailable</v>
      </c>
      <c r="F46" s="45" t="str">
        <f t="shared" si="18"/>
        <v>unavailable</v>
      </c>
      <c r="G46" s="45" t="str">
        <f t="shared" si="18"/>
        <v>unavailable</v>
      </c>
      <c r="H46" s="46" t="str">
        <f t="shared" si="18"/>
        <v>unavailable</v>
      </c>
      <c r="I46" s="1"/>
      <c r="J46" s="1"/>
      <c r="K46" s="1"/>
      <c r="L46" s="1"/>
      <c r="M46" s="1"/>
    </row>
    <row r="47" ht="15" customHeight="1">
      <c r="A47" s="1"/>
      <c r="B47" s="1"/>
      <c r="C47" s="1"/>
      <c r="D47" s="1"/>
      <c r="E47" s="1"/>
      <c r="F47" s="1"/>
      <c r="G47" s="1"/>
      <c r="H47" s="29"/>
      <c r="I47" s="1"/>
      <c r="J47" s="1"/>
      <c r="K47" s="1"/>
      <c r="L47" s="1"/>
      <c r="M47" s="1"/>
    </row>
    <row r="48" ht="15" customHeight="1">
      <c r="A48" s="1"/>
      <c r="B48" s="30" t="s">
        <v>190</v>
      </c>
      <c r="C48" s="1"/>
      <c r="D48" s="1"/>
      <c r="E48" s="1"/>
      <c r="F48" s="1"/>
      <c r="G48" s="1"/>
      <c r="H48" s="29"/>
      <c r="I48" s="1"/>
      <c r="J48" s="1"/>
      <c r="K48" s="1"/>
      <c r="L48" s="1"/>
      <c r="M48" s="1"/>
    </row>
    <row r="49" ht="15" customHeight="1">
      <c r="A49" s="1"/>
      <c r="B49" s="1" t="s">
        <v>191</v>
      </c>
      <c r="C49" s="16">
        <f>Inputs!G262</f>
        <v>105784</v>
      </c>
      <c r="D49" s="17">
        <f t="shared" si="1"/>
        <v>106969</v>
      </c>
      <c r="E49" s="16">
        <f>Inputs!E262</f>
        <v>107051</v>
      </c>
      <c r="F49" s="17">
        <f t="shared" si="7"/>
        <v>114368</v>
      </c>
      <c r="G49" s="17">
        <f t="shared" si="1"/>
        <v>110849</v>
      </c>
      <c r="H49" s="52">
        <f t="shared" si="1"/>
        <v>113796</v>
      </c>
      <c r="I49" s="1"/>
      <c r="J49" s="1"/>
      <c r="K49" s="1"/>
      <c r="L49" s="1"/>
      <c r="M49" s="1"/>
    </row>
    <row r="50" ht="15" customHeight="1">
      <c r="A50" s="1"/>
      <c r="B50" s="1" t="s">
        <v>192</v>
      </c>
      <c r="C50" s="17">
        <f t="shared" si="2"/>
        <v>1185</v>
      </c>
      <c r="D50" s="17">
        <f t="shared" si="2"/>
        <v>7399</v>
      </c>
      <c r="E50" s="17">
        <f t="shared" si="2"/>
        <v>7317</v>
      </c>
      <c r="F50" s="17">
        <f t="shared" si="2"/>
        <v>-3519</v>
      </c>
      <c r="G50" s="17">
        <f t="shared" si="2"/>
        <v>2947</v>
      </c>
      <c r="H50" s="52">
        <f t="shared" si="2"/>
        <v>604</v>
      </c>
      <c r="I50" s="1"/>
      <c r="J50" s="1"/>
      <c r="K50" s="1"/>
      <c r="L50" s="1"/>
      <c r="M50" s="1"/>
    </row>
    <row r="51" ht="15" customHeight="1">
      <c r="A51" s="1"/>
      <c r="B51" s="3" t="s">
        <v>193</v>
      </c>
      <c r="C51" s="33">
        <v>106969</v>
      </c>
      <c r="D51" s="33">
        <v>114368</v>
      </c>
      <c r="E51" s="33">
        <v>114368</v>
      </c>
      <c r="F51" s="33">
        <v>110849</v>
      </c>
      <c r="G51" s="33">
        <v>113796</v>
      </c>
      <c r="H51" s="65">
        <v>114400</v>
      </c>
      <c r="I51" s="1"/>
      <c r="J51" s="4" t="s">
        <v>194</v>
      </c>
      <c r="K51" s="1"/>
      <c r="L51" s="1"/>
      <c r="M51" s="1"/>
    </row>
    <row r="52" ht="15" customHeight="1">
      <c r="A52" s="1"/>
      <c r="B52" s="35" t="s">
        <v>70</v>
      </c>
      <c r="C52" s="36">
        <f>C51/Inputs!C262-1</f>
        <v>0.07054643714971975</v>
      </c>
      <c r="D52" s="36">
        <f>D51/Inputs!D262-1</f>
        <v>0.06835059924708786</v>
      </c>
      <c r="E52" s="36">
        <f>E51/Inputs!E262-1</f>
        <v>0.06835059924708786</v>
      </c>
      <c r="F52" s="36">
        <f>F51/Inputs!F262-1</f>
        <v>0.07729163427149754</v>
      </c>
      <c r="G52" s="36">
        <f>G51/Inputs!G262-1</f>
        <v>0.07573924222944872</v>
      </c>
      <c r="H52" s="37">
        <f t="shared" si="5"/>
        <v>0.06946872458375797</v>
      </c>
      <c r="I52" s="1"/>
      <c r="J52" s="1"/>
      <c r="K52" s="1"/>
      <c r="L52" s="1"/>
      <c r="M52" s="1"/>
    </row>
    <row r="53" ht="15" customHeight="1">
      <c r="A53" s="1"/>
      <c r="B53" s="35" t="s">
        <v>71</v>
      </c>
      <c r="C53" s="27">
        <f>C51-Inputs!C262</f>
        <v>7049</v>
      </c>
      <c r="D53" s="27">
        <f>D51-Inputs!D262</f>
        <v>7317</v>
      </c>
      <c r="E53" s="27">
        <f>E51-Inputs!E262</f>
        <v>7317</v>
      </c>
      <c r="F53" s="27">
        <f>F51-Inputs!F262</f>
        <v>7953</v>
      </c>
      <c r="G53" s="27">
        <f>G51-Inputs!G262</f>
        <v>8012</v>
      </c>
      <c r="H53" s="38">
        <f t="shared" si="9"/>
        <v>7431</v>
      </c>
      <c r="I53" s="1"/>
      <c r="J53" s="1"/>
      <c r="K53" s="1"/>
      <c r="L53" s="1"/>
      <c r="M53" s="1"/>
    </row>
    <row r="54" ht="15" customHeight="1">
      <c r="A54" s="1"/>
      <c r="B54" s="35" t="s">
        <v>73</v>
      </c>
      <c r="C54" s="27">
        <f>C51-Inputs!G262</f>
        <v>1185</v>
      </c>
      <c r="D54" s="40">
        <f t="shared" si="3"/>
        <v>7399</v>
      </c>
      <c r="E54" s="1"/>
      <c r="F54" s="40">
        <f t="shared" si="10"/>
        <v>-3519</v>
      </c>
      <c r="G54" s="40">
        <f t="shared" si="3"/>
        <v>2947</v>
      </c>
      <c r="H54" s="38">
        <f t="shared" si="3"/>
        <v>604</v>
      </c>
      <c r="I54" s="1"/>
      <c r="J54" s="1"/>
      <c r="K54" s="1"/>
      <c r="L54" s="1"/>
      <c r="M54" s="1"/>
    </row>
    <row r="55" ht="15" customHeight="1">
      <c r="A55" s="1"/>
      <c r="B55" s="1" t="s">
        <v>195</v>
      </c>
      <c r="C55" s="53">
        <v>106753</v>
      </c>
      <c r="D55" s="53">
        <v>110161</v>
      </c>
      <c r="E55" s="53">
        <v>106377</v>
      </c>
      <c r="F55" s="53">
        <v>110664</v>
      </c>
      <c r="G55" s="53">
        <v>112449</v>
      </c>
      <c r="H55" s="52">
        <f t="shared" si="4"/>
        <v>114098</v>
      </c>
      <c r="I55" s="1"/>
      <c r="J55" s="4" t="s">
        <v>196</v>
      </c>
      <c r="K55" s="1"/>
      <c r="L55" s="1"/>
      <c r="M55" s="1"/>
    </row>
    <row r="56" ht="15" customHeight="1">
      <c r="A56" s="1"/>
      <c r="B56" s="35" t="s">
        <v>70</v>
      </c>
      <c r="C56" s="43" t="s">
        <v>35</v>
      </c>
      <c r="D56" s="36">
        <f>D55/Inputs!D266-1</f>
        <v>0.07210565244472122</v>
      </c>
      <c r="E56" s="36">
        <f>E55/Inputs!E266-1</f>
        <v>0.0752971858321203</v>
      </c>
      <c r="F56" s="36">
        <f>F55/Inputs!F266-1</f>
        <v>0.07194126136947032</v>
      </c>
      <c r="G56" s="36">
        <f>G55/Inputs!G266-1</f>
        <v>0.07619056733787621</v>
      </c>
      <c r="H56" s="37">
        <f t="shared" si="5"/>
        <v>0.06880368701582151</v>
      </c>
      <c r="I56" s="1"/>
      <c r="J56" s="1"/>
      <c r="K56" s="1"/>
      <c r="L56" s="1"/>
      <c r="M56" s="1"/>
    </row>
    <row r="57" ht="15" customHeight="1">
      <c r="A57" s="1"/>
      <c r="B57" s="35" t="s">
        <v>71</v>
      </c>
      <c r="C57" s="43" t="s">
        <v>35</v>
      </c>
      <c r="D57" s="27">
        <f>D55-Inputs!D266</f>
        <v>7409</v>
      </c>
      <c r="E57" s="27">
        <f>E55-Inputs!E266</f>
        <v>7449</v>
      </c>
      <c r="F57" s="27">
        <f>F55-Inputs!F266</f>
        <v>7427</v>
      </c>
      <c r="G57" s="27">
        <f>G55-Inputs!G266</f>
        <v>7961</v>
      </c>
      <c r="H57" s="38">
        <f t="shared" si="9"/>
        <v>7345</v>
      </c>
      <c r="I57" s="1"/>
      <c r="J57" s="1"/>
      <c r="K57" s="1"/>
      <c r="L57" s="1"/>
      <c r="M57" s="1"/>
    </row>
    <row r="58" ht="15" customHeight="1">
      <c r="A58" s="1"/>
      <c r="B58" s="35" t="s">
        <v>73</v>
      </c>
      <c r="C58" s="27">
        <f>C55-Inputs!G266</f>
        <v>2265</v>
      </c>
      <c r="D58" s="40">
        <f t="shared" si="3"/>
        <v>3408</v>
      </c>
      <c r="E58" s="1"/>
      <c r="F58" s="40">
        <f t="shared" si="10"/>
        <v>503</v>
      </c>
      <c r="G58" s="40">
        <f t="shared" si="3"/>
        <v>1785</v>
      </c>
      <c r="H58" s="38">
        <f t="shared" si="3"/>
        <v>1649</v>
      </c>
      <c r="I58" s="1"/>
      <c r="J58" s="1"/>
      <c r="K58" s="1"/>
      <c r="L58" s="1"/>
      <c r="M58" s="1"/>
    </row>
    <row r="59" ht="15" customHeight="1">
      <c r="A59" s="1"/>
      <c r="B59" s="4" t="s">
        <v>197</v>
      </c>
      <c r="C59" s="39">
        <f t="shared" si="19" ref="C59:G59">C90/C55*365/C$7</f>
        <v>0.12026339550991134</v>
      </c>
      <c r="D59" s="39">
        <f t="shared" si="19"/>
        <v>0.1171190940690365</v>
      </c>
      <c r="E59" s="39">
        <f t="shared" si="19"/>
        <v>0.11757240756930541</v>
      </c>
      <c r="F59" s="39">
        <f t="shared" si="19"/>
        <v>0.12170624593363695</v>
      </c>
      <c r="G59" s="39">
        <f t="shared" si="19"/>
        <v>0.11753069205781101</v>
      </c>
      <c r="H59" s="66">
        <v>0.121</v>
      </c>
      <c r="I59" s="1"/>
      <c r="J59" s="4" t="s">
        <v>198</v>
      </c>
      <c r="K59" s="1"/>
      <c r="L59" s="1"/>
      <c r="M59" s="1"/>
    </row>
    <row r="60" ht="15" customHeight="1">
      <c r="A60" s="1"/>
      <c r="B60" s="35" t="s">
        <v>81</v>
      </c>
      <c r="C60" s="43" t="s">
        <v>35</v>
      </c>
      <c r="D60" s="47">
        <f>(D59-Inputs!D274)*10000</f>
        <v>36.790086967428834</v>
      </c>
      <c r="E60" s="47">
        <f>(E59-Inputs!E274)*10000</f>
        <v>37.60817266615771</v>
      </c>
      <c r="F60" s="47">
        <f>(F59-Inputs!F274)*10000</f>
        <v>36.18738547719103</v>
      </c>
      <c r="G60" s="47">
        <f>(G59-Inputs!G274)*10000</f>
        <v>18.70425901794148</v>
      </c>
      <c r="H60" s="48">
        <f t="shared" si="20"/>
        <v>7.3660449008865205</v>
      </c>
      <c r="I60" s="1"/>
      <c r="J60" s="1"/>
      <c r="K60" s="1"/>
      <c r="L60" s="1"/>
      <c r="M60" s="1"/>
    </row>
    <row r="61" ht="15" customHeight="1">
      <c r="A61" s="1"/>
      <c r="B61" s="35" t="s">
        <v>82</v>
      </c>
      <c r="C61" s="47">
        <f>(C59-Inputs!G274)*10000</f>
        <v>46.03129353894481</v>
      </c>
      <c r="D61" s="49">
        <f t="shared" si="14"/>
        <v>-31.443014408748386</v>
      </c>
      <c r="E61" s="1"/>
      <c r="F61" s="49">
        <f t="shared" si="21"/>
        <v>45.871518646004446</v>
      </c>
      <c r="G61" s="49">
        <f t="shared" si="14"/>
        <v>-41.755538758259384</v>
      </c>
      <c r="H61" s="48">
        <f t="shared" si="14"/>
        <v>34.69307942188984</v>
      </c>
      <c r="I61" s="1"/>
      <c r="J61" s="1"/>
      <c r="K61" s="1"/>
      <c r="L61" s="1"/>
      <c r="M61" s="1"/>
    </row>
    <row r="62" ht="15" customHeight="1">
      <c r="A62" s="1"/>
      <c r="B62" s="4" t="s">
        <v>199</v>
      </c>
      <c r="C62" s="50">
        <v>0.023</v>
      </c>
      <c r="D62" s="50">
        <v>0.026</v>
      </c>
      <c r="E62" s="50">
        <v>0.025</v>
      </c>
      <c r="F62" s="50">
        <v>0.024</v>
      </c>
      <c r="G62" s="50">
        <v>0.023</v>
      </c>
      <c r="H62" s="66">
        <v>0.021</v>
      </c>
      <c r="I62" s="1"/>
      <c r="J62" s="4" t="s">
        <v>200</v>
      </c>
      <c r="K62" s="1"/>
      <c r="L62" s="1"/>
      <c r="M62" s="1"/>
    </row>
    <row r="63" ht="15" customHeight="1">
      <c r="A63" s="1"/>
      <c r="B63" s="35" t="s">
        <v>81</v>
      </c>
      <c r="C63" s="47">
        <f>(C62-Inputs!C263)*10000</f>
        <v>-10.000000000000009</v>
      </c>
      <c r="D63" s="47">
        <f>(D62-Inputs!D263)*10000</f>
        <v>19.999999999999982</v>
      </c>
      <c r="E63" s="47">
        <f>(E62-Inputs!E263)*10000</f>
        <v>0</v>
      </c>
      <c r="F63" s="47">
        <f>(F62-Inputs!F263)*10000</f>
        <v>-29.999999999999993</v>
      </c>
      <c r="G63" s="47">
        <f>(G62-Inputs!G263)*10000</f>
        <v>-10.000000000000009</v>
      </c>
      <c r="H63" s="48">
        <f t="shared" si="20"/>
        <v>-19.999999999999982</v>
      </c>
      <c r="I63" s="1"/>
      <c r="J63" s="1"/>
      <c r="K63" s="1"/>
      <c r="L63" s="1"/>
      <c r="M63" s="1"/>
    </row>
    <row r="64" ht="15" customHeight="1">
      <c r="A64" s="1"/>
      <c r="B64" s="35" t="s">
        <v>82</v>
      </c>
      <c r="C64" s="47">
        <f>(C62-Inputs!G263)*10000</f>
        <v>-10.000000000000009</v>
      </c>
      <c r="D64" s="49">
        <f t="shared" si="14"/>
        <v>29.999999999999993</v>
      </c>
      <c r="E64" s="1"/>
      <c r="F64" s="49">
        <f t="shared" si="21"/>
        <v>-19.999999999999982</v>
      </c>
      <c r="G64" s="49">
        <f t="shared" si="14"/>
        <v>-10.000000000000009</v>
      </c>
      <c r="H64" s="48">
        <f t="shared" si="14"/>
        <v>-19.999999999999982</v>
      </c>
      <c r="I64" s="1"/>
      <c r="J64" s="1"/>
      <c r="K64" s="1"/>
      <c r="L64" s="1"/>
      <c r="M64" s="1"/>
    </row>
    <row r="65" ht="15" customHeight="1">
      <c r="A65" s="1"/>
      <c r="B65" s="4" t="s">
        <v>201</v>
      </c>
      <c r="C65" s="50">
        <v>0.018</v>
      </c>
      <c r="D65" s="50">
        <v>0.021</v>
      </c>
      <c r="E65" s="50">
        <v>0.02</v>
      </c>
      <c r="F65" s="50">
        <v>0.019</v>
      </c>
      <c r="G65" s="50">
        <v>0.018</v>
      </c>
      <c r="H65" s="44" t="s">
        <v>35</v>
      </c>
      <c r="I65" s="1"/>
      <c r="J65" s="4" t="s">
        <v>202</v>
      </c>
      <c r="K65" s="1"/>
      <c r="L65" s="1"/>
      <c r="M65" s="1"/>
    </row>
    <row r="66" ht="15" customHeight="1">
      <c r="A66" s="1"/>
      <c r="B66" s="1" t="s">
        <v>203</v>
      </c>
      <c r="C66" s="17">
        <f t="shared" si="22" ref="C66:H66">C62*C55*C$7/365</f>
        <v>618.8749260273972</v>
      </c>
      <c r="D66" s="17">
        <f t="shared" si="22"/>
        <v>721.9318136986301</v>
      </c>
      <c r="E66" s="17">
        <f t="shared" si="22"/>
        <v>2659.425</v>
      </c>
      <c r="F66" s="17">
        <f t="shared" si="22"/>
        <v>654.8883287671233</v>
      </c>
      <c r="G66" s="17">
        <f t="shared" si="22"/>
        <v>644.8102931506849</v>
      </c>
      <c r="H66" s="52">
        <f t="shared" si="22"/>
        <v>603.9379068493151</v>
      </c>
      <c r="I66" s="1"/>
      <c r="J66" s="4" t="s">
        <v>204</v>
      </c>
      <c r="K66" s="1"/>
      <c r="L66" s="1"/>
      <c r="M66" s="1"/>
    </row>
    <row r="67" ht="15" customHeight="1">
      <c r="A67" s="1"/>
      <c r="B67" s="35" t="s">
        <v>70</v>
      </c>
      <c r="C67" s="43" t="s">
        <v>35</v>
      </c>
      <c r="D67" s="43" t="s">
        <v>35</v>
      </c>
      <c r="E67" s="43" t="s">
        <v>35</v>
      </c>
      <c r="F67" s="43" t="s">
        <v>35</v>
      </c>
      <c r="G67" s="43" t="s">
        <v>35</v>
      </c>
      <c r="H67" s="37">
        <f t="shared" si="5"/>
        <v>-0.02413576402903228</v>
      </c>
      <c r="I67" s="1"/>
      <c r="J67" s="1"/>
      <c r="K67" s="1"/>
      <c r="L67" s="1"/>
      <c r="M67" s="1"/>
    </row>
    <row r="68" ht="15" customHeight="1">
      <c r="A68" s="1"/>
      <c r="B68" s="35" t="s">
        <v>73</v>
      </c>
      <c r="C68" s="43" t="s">
        <v>35</v>
      </c>
      <c r="D68" s="40">
        <f t="shared" si="6"/>
        <v>103.05688767123286</v>
      </c>
      <c r="E68" s="1"/>
      <c r="F68" s="40">
        <f t="shared" si="11"/>
        <v>-67.04348493150678</v>
      </c>
      <c r="G68" s="40">
        <f t="shared" si="6"/>
        <v>-10.078035616438456</v>
      </c>
      <c r="H68" s="38">
        <f t="shared" si="6"/>
        <v>-40.872386301369716</v>
      </c>
      <c r="I68" s="1"/>
      <c r="J68" s="1"/>
      <c r="K68" s="1"/>
      <c r="L68" s="1"/>
      <c r="M68" s="1"/>
    </row>
    <row r="69" ht="15" customHeight="1">
      <c r="A69" s="1"/>
      <c r="B69" s="4" t="s">
        <v>205</v>
      </c>
      <c r="C69" s="50">
        <v>0.013</v>
      </c>
      <c r="D69" s="50">
        <v>0.013</v>
      </c>
      <c r="E69" s="50">
        <v>0.013</v>
      </c>
      <c r="F69" s="50">
        <v>0.013</v>
      </c>
      <c r="G69" s="50">
        <v>0.011</v>
      </c>
      <c r="H69" s="66">
        <v>0.012</v>
      </c>
      <c r="I69" s="1"/>
      <c r="J69" s="4" t="s">
        <v>206</v>
      </c>
      <c r="K69" s="1"/>
      <c r="L69" s="1"/>
      <c r="M69" s="1"/>
    </row>
    <row r="70" ht="15" customHeight="1">
      <c r="A70" s="1"/>
      <c r="B70" s="35" t="s">
        <v>81</v>
      </c>
      <c r="C70" s="47">
        <f>(C69-Inputs!C264)*10000</f>
        <v>0</v>
      </c>
      <c r="D70" s="47">
        <f>(D69-Inputs!D264)*10000</f>
        <v>0</v>
      </c>
      <c r="E70" s="47">
        <f>(E69-Inputs!E264)*10000</f>
        <v>0</v>
      </c>
      <c r="F70" s="47">
        <f>(F69-Inputs!F264)*10000</f>
        <v>0</v>
      </c>
      <c r="G70" s="47">
        <f>(G69-Inputs!G264)*10000</f>
        <v>-10.000000000000009</v>
      </c>
      <c r="H70" s="48">
        <f t="shared" si="20"/>
        <v>-9.999999999999991</v>
      </c>
      <c r="I70" s="1"/>
      <c r="J70" s="1"/>
      <c r="K70" s="1"/>
      <c r="L70" s="1"/>
      <c r="M70" s="1"/>
    </row>
    <row r="71" ht="15" customHeight="1">
      <c r="A71" s="1"/>
      <c r="B71" s="35" t="s">
        <v>82</v>
      </c>
      <c r="C71" s="47">
        <f>(C69-Inputs!G264)*10000</f>
        <v>9.999999999999991</v>
      </c>
      <c r="D71" s="49">
        <f t="shared" si="14"/>
        <v>0</v>
      </c>
      <c r="E71" s="1"/>
      <c r="F71" s="49">
        <f t="shared" si="21"/>
        <v>0</v>
      </c>
      <c r="G71" s="49">
        <f t="shared" si="14"/>
        <v>-20</v>
      </c>
      <c r="H71" s="48">
        <f t="shared" si="14"/>
        <v>10.000000000000009</v>
      </c>
      <c r="I71" s="1"/>
      <c r="J71" s="1"/>
      <c r="K71" s="1"/>
      <c r="L71" s="1"/>
      <c r="M71" s="1"/>
    </row>
    <row r="72" ht="15" customHeight="1">
      <c r="A72" s="1"/>
      <c r="B72" s="1"/>
      <c r="C72" s="1"/>
      <c r="D72" s="1"/>
      <c r="E72" s="1"/>
      <c r="F72" s="1"/>
      <c r="G72" s="1"/>
      <c r="H72" s="29"/>
      <c r="I72" s="1"/>
      <c r="J72" s="1"/>
      <c r="K72" s="1"/>
      <c r="L72" s="1"/>
      <c r="M72" s="1"/>
    </row>
    <row r="73" ht="15" customHeight="1">
      <c r="A73" s="1"/>
      <c r="B73" s="30" t="s">
        <v>207</v>
      </c>
      <c r="C73" s="1"/>
      <c r="D73" s="1"/>
      <c r="E73" s="1"/>
      <c r="F73" s="1"/>
      <c r="G73" s="1"/>
      <c r="H73" s="29"/>
      <c r="I73" s="1"/>
      <c r="J73" s="1"/>
      <c r="K73" s="1"/>
      <c r="L73" s="1"/>
      <c r="M73" s="1"/>
    </row>
    <row r="74" ht="15" customHeight="1">
      <c r="A74" s="1"/>
      <c r="B74" s="1" t="s">
        <v>208</v>
      </c>
      <c r="C74" s="17">
        <f t="shared" si="23" ref="C74:G74">C77/C38*10</f>
        <v>316.61971830985914</v>
      </c>
      <c r="D74" s="17">
        <f t="shared" si="23"/>
        <v>312.05073995771676</v>
      </c>
      <c r="E74" s="17">
        <f t="shared" si="23"/>
        <v>315.29328621908127</v>
      </c>
      <c r="F74" s="17">
        <f t="shared" si="23"/>
        <v>322.03107658157603</v>
      </c>
      <c r="G74" s="17">
        <f t="shared" si="23"/>
        <v>317.1588594704684</v>
      </c>
      <c r="H74" s="32">
        <v>322.5</v>
      </c>
      <c r="I74" s="1"/>
      <c r="J74" s="4" t="s">
        <v>209</v>
      </c>
      <c r="K74" s="1"/>
      <c r="L74" s="1"/>
      <c r="M74" s="1"/>
    </row>
    <row r="75" ht="15" customHeight="1">
      <c r="A75" s="1"/>
      <c r="B75" s="35" t="s">
        <v>81</v>
      </c>
      <c r="C75" s="27">
        <f>(C74-Inputs!C272)*1</f>
        <v>6.8230454817630175</v>
      </c>
      <c r="D75" s="27">
        <f>(D74-Inputs!D272)*1</f>
        <v>6.648441107142048</v>
      </c>
      <c r="E75" s="27">
        <f>(E74-Inputs!E272)*1</f>
        <v>7.76426972549541</v>
      </c>
      <c r="F75" s="27">
        <f>(F74-Inputs!F272)*1</f>
        <v>2.919694962586391</v>
      </c>
      <c r="G75" s="27">
        <f>(G74-Inputs!G272)*1</f>
        <v>3.2778396404401065</v>
      </c>
      <c r="H75" s="38">
        <f t="shared" si="35" ref="H75:H121">(H74-C74)*1</f>
        <v>5.880281690140862</v>
      </c>
      <c r="I75" s="1"/>
      <c r="J75" s="1"/>
      <c r="K75" s="1"/>
      <c r="L75" s="1"/>
      <c r="M75" s="1"/>
    </row>
    <row r="76" ht="15" customHeight="1">
      <c r="A76" s="1"/>
      <c r="B76" s="35" t="s">
        <v>82</v>
      </c>
      <c r="C76" s="27">
        <f>(C74-Inputs!G272)*1</f>
        <v>2.7386984798308163</v>
      </c>
      <c r="D76" s="40">
        <f t="shared" si="24" ref="D76:H122">(D74-C74)*1</f>
        <v>-4.568978352142381</v>
      </c>
      <c r="E76" s="1"/>
      <c r="F76" s="40">
        <f t="shared" si="36" ref="F76:F122">(F74-D74)*1</f>
        <v>9.980336623859273</v>
      </c>
      <c r="G76" s="40">
        <f t="shared" si="24"/>
        <v>-4.872217111107602</v>
      </c>
      <c r="H76" s="38">
        <f t="shared" si="24"/>
        <v>5.341140529531572</v>
      </c>
      <c r="I76" s="1"/>
      <c r="J76" s="1"/>
      <c r="K76" s="1"/>
      <c r="L76" s="1"/>
      <c r="M76" s="1"/>
    </row>
    <row r="77" ht="15" customHeight="1">
      <c r="A77" s="1"/>
      <c r="B77" s="1" t="s">
        <v>144</v>
      </c>
      <c r="C77" s="53">
        <v>5620</v>
      </c>
      <c r="D77" s="53">
        <v>5904</v>
      </c>
      <c r="E77" s="53">
        <v>22307</v>
      </c>
      <c r="F77" s="53">
        <v>5803</v>
      </c>
      <c r="G77" s="53">
        <v>6229</v>
      </c>
      <c r="H77" s="52">
        <f>H38*H74/10</f>
        <v>6357.120000000001</v>
      </c>
      <c r="I77" s="1"/>
      <c r="J77" s="4" t="s">
        <v>69</v>
      </c>
      <c r="K77" s="1"/>
      <c r="L77" s="1"/>
      <c r="M77" s="1"/>
    </row>
    <row r="78" ht="15" customHeight="1">
      <c r="A78" s="1"/>
      <c r="B78" s="35" t="s">
        <v>70</v>
      </c>
      <c r="C78" s="36">
        <f>C77/Inputs!C252-1</f>
        <v>0.1177406523468576</v>
      </c>
      <c r="D78" s="36">
        <f>D77/Inputs!D252-1</f>
        <v>0.1110274745954083</v>
      </c>
      <c r="E78" s="36">
        <f>E77/Inputs!E252-1</f>
        <v>0.10776183145453633</v>
      </c>
      <c r="F78" s="36">
        <f>F77/Inputs!F252-1</f>
        <v>0.10680907877169554</v>
      </c>
      <c r="G78" s="36">
        <f>G77/Inputs!G252-1</f>
        <v>0.1243682310469314</v>
      </c>
      <c r="H78" s="37">
        <f t="shared" si="5"/>
        <v>0.1311601423487545</v>
      </c>
      <c r="I78" s="1"/>
      <c r="J78" s="1"/>
      <c r="K78" s="1"/>
      <c r="L78" s="1"/>
      <c r="M78" s="1"/>
    </row>
    <row r="79" ht="15" customHeight="1">
      <c r="A79" s="1"/>
      <c r="B79" s="35" t="s">
        <v>72</v>
      </c>
      <c r="C79" s="36">
        <f>C77/Inputs!G252-1</f>
        <v>0.014440433212996373</v>
      </c>
      <c r="D79" s="39">
        <f t="shared" si="25" ref="D79:H99">D77/C77-1</f>
        <v>0.05053380782918149</v>
      </c>
      <c r="E79" s="1"/>
      <c r="F79" s="39">
        <f t="shared" si="27" ref="F79:F99">F77/D77-1</f>
        <v>-0.017107046070460652</v>
      </c>
      <c r="G79" s="39">
        <f t="shared" si="25"/>
        <v>0.07341030501464751</v>
      </c>
      <c r="H79" s="37">
        <f t="shared" si="25"/>
        <v>0.020568309519987338</v>
      </c>
      <c r="I79" s="1"/>
      <c r="J79" s="1"/>
      <c r="K79" s="1"/>
      <c r="L79" s="1"/>
      <c r="M79" s="1"/>
    </row>
    <row r="80" ht="15" customHeight="1">
      <c r="A80" s="1"/>
      <c r="B80" s="41" t="s">
        <v>74</v>
      </c>
      <c r="C80" s="39">
        <f t="shared" si="26" ref="C80:H100">C78</f>
        <v>0.1177406523468576</v>
      </c>
      <c r="D80" s="39">
        <f t="shared" si="26"/>
        <v>0.1110274745954083</v>
      </c>
      <c r="E80" s="39">
        <f t="shared" si="26"/>
        <v>0.10776183145453633</v>
      </c>
      <c r="F80" s="39">
        <f t="shared" si="26"/>
        <v>0.10680907877169554</v>
      </c>
      <c r="G80" s="39">
        <f t="shared" si="26"/>
        <v>0.1243682310469314</v>
      </c>
      <c r="H80" s="37">
        <f t="shared" si="26"/>
        <v>0.1311601423487545</v>
      </c>
      <c r="I80" s="1"/>
      <c r="J80" s="1"/>
      <c r="K80" s="1"/>
      <c r="L80" s="1"/>
      <c r="M80" s="1"/>
    </row>
    <row r="81" ht="15" customHeight="1">
      <c r="A81" s="1"/>
      <c r="B81" s="41" t="s">
        <v>75</v>
      </c>
      <c r="C81" s="43" t="s">
        <v>35</v>
      </c>
      <c r="D81" s="43" t="s">
        <v>35</v>
      </c>
      <c r="E81" s="43" t="s">
        <v>35</v>
      </c>
      <c r="F81" s="43" t="s">
        <v>35</v>
      </c>
      <c r="G81" s="43" t="s">
        <v>35</v>
      </c>
      <c r="H81" s="44" t="s">
        <v>35</v>
      </c>
      <c r="I81" s="1"/>
      <c r="J81" s="1"/>
      <c r="K81" s="1"/>
      <c r="L81" s="1"/>
      <c r="M81" s="1"/>
    </row>
    <row r="82" ht="15" customHeight="1">
      <c r="A82" s="1"/>
      <c r="B82" s="41" t="s">
        <v>77</v>
      </c>
      <c r="C82" s="43" t="s">
        <v>35</v>
      </c>
      <c r="D82" s="43" t="s">
        <v>35</v>
      </c>
      <c r="E82" s="43" t="s">
        <v>35</v>
      </c>
      <c r="F82" s="43" t="s">
        <v>35</v>
      </c>
      <c r="G82" s="43" t="s">
        <v>35</v>
      </c>
      <c r="H82" s="44" t="s">
        <v>35</v>
      </c>
      <c r="I82" s="1"/>
      <c r="J82" s="1"/>
      <c r="K82" s="1"/>
      <c r="L82" s="1"/>
      <c r="M82" s="1"/>
    </row>
    <row r="83" ht="15" customHeight="1">
      <c r="A83" s="1"/>
      <c r="B83" s="41" t="s">
        <v>78</v>
      </c>
      <c r="C83" s="45" t="str">
        <f t="shared" si="18"/>
        <v>unavailable</v>
      </c>
      <c r="D83" s="45" t="str">
        <f t="shared" si="18"/>
        <v>unavailable</v>
      </c>
      <c r="E83" s="45" t="str">
        <f t="shared" si="18"/>
        <v>unavailable</v>
      </c>
      <c r="F83" s="45" t="str">
        <f t="shared" si="18"/>
        <v>unavailable</v>
      </c>
      <c r="G83" s="45" t="str">
        <f t="shared" si="18"/>
        <v>unavailable</v>
      </c>
      <c r="H83" s="46" t="str">
        <f t="shared" si="18"/>
        <v>unavailable</v>
      </c>
      <c r="I83" s="1"/>
      <c r="J83" s="1"/>
      <c r="K83" s="1"/>
      <c r="L83" s="1"/>
      <c r="M83" s="1"/>
    </row>
    <row r="84" ht="15" customHeight="1">
      <c r="A84" s="1"/>
      <c r="B84" s="1" t="s">
        <v>210</v>
      </c>
      <c r="C84" s="53">
        <v>4025</v>
      </c>
      <c r="D84" s="53">
        <v>4072</v>
      </c>
      <c r="E84" s="53">
        <v>15655</v>
      </c>
      <c r="F84" s="53">
        <v>4072</v>
      </c>
      <c r="G84" s="53">
        <v>4052</v>
      </c>
      <c r="H84" s="52">
        <f>H90+H87</f>
        <v>4256.374341589864</v>
      </c>
      <c r="I84" s="1"/>
      <c r="J84" s="4" t="s">
        <v>69</v>
      </c>
      <c r="K84" s="1"/>
      <c r="L84" s="1"/>
      <c r="M84" s="1"/>
    </row>
    <row r="85" ht="15" customHeight="1">
      <c r="A85" s="1"/>
      <c r="B85" s="35" t="s">
        <v>70</v>
      </c>
      <c r="C85" s="36">
        <f>C84/Inputs!C253-1</f>
        <v>0.08140784524449218</v>
      </c>
      <c r="D85" s="36">
        <f>D84/Inputs!D253-1</f>
        <v>0.08499866773248077</v>
      </c>
      <c r="E85" s="36">
        <f>E84/Inputs!E253-1</f>
        <v>0.084892584892585</v>
      </c>
      <c r="F85" s="36">
        <f>F84/Inputs!F253-1</f>
        <v>0.08211533351049694</v>
      </c>
      <c r="G85" s="36">
        <f>G84/Inputs!G253-1</f>
        <v>0.06772068511198936</v>
      </c>
      <c r="H85" s="37">
        <f t="shared" si="5"/>
        <v>0.057484308469531564</v>
      </c>
      <c r="I85" s="1"/>
      <c r="J85" s="1"/>
      <c r="K85" s="1"/>
      <c r="L85" s="1"/>
      <c r="M85" s="1"/>
    </row>
    <row r="86" ht="15" customHeight="1">
      <c r="A86" s="1"/>
      <c r="B86" s="35" t="s">
        <v>72</v>
      </c>
      <c r="C86" s="36">
        <f>C84/Inputs!G253-1</f>
        <v>0.06060606060606055</v>
      </c>
      <c r="D86" s="39">
        <f t="shared" si="25"/>
        <v>0.011677018633540426</v>
      </c>
      <c r="E86" s="1"/>
      <c r="F86" s="39">
        <f t="shared" si="27"/>
        <v>0</v>
      </c>
      <c r="G86" s="39">
        <f t="shared" si="25"/>
        <v>-0.004911591355599265</v>
      </c>
      <c r="H86" s="37">
        <f t="shared" si="25"/>
        <v>0.05043789279118083</v>
      </c>
      <c r="I86" s="1"/>
      <c r="J86" s="1"/>
      <c r="K86" s="1"/>
      <c r="L86" s="1"/>
      <c r="M86" s="1"/>
    </row>
    <row r="87" ht="15" customHeight="1">
      <c r="A87" s="1"/>
      <c r="B87" s="1" t="s">
        <v>211</v>
      </c>
      <c r="C87" s="53">
        <v>789</v>
      </c>
      <c r="D87" s="53">
        <v>820</v>
      </c>
      <c r="E87" s="53">
        <v>3148</v>
      </c>
      <c r="F87" s="53">
        <v>751</v>
      </c>
      <c r="G87" s="53">
        <v>757</v>
      </c>
      <c r="H87" s="52">
        <f>G87*H55/G55*H$7/G$7</f>
        <v>776.5416402200011</v>
      </c>
      <c r="I87" s="1"/>
      <c r="J87" s="4" t="s">
        <v>212</v>
      </c>
      <c r="K87" s="1"/>
      <c r="L87" s="1"/>
      <c r="M87" s="1"/>
    </row>
    <row r="88" ht="15" customHeight="1">
      <c r="A88" s="1"/>
      <c r="B88" s="35" t="s">
        <v>70</v>
      </c>
      <c r="C88" s="36">
        <f>C87/Inputs!C254-1</f>
        <v>-0.021091811414392092</v>
      </c>
      <c r="D88" s="36">
        <f>D87/Inputs!D254-1</f>
        <v>0.006134969325153339</v>
      </c>
      <c r="E88" s="36">
        <f>E87/Inputs!E254-1</f>
        <v>0.002547770700636942</v>
      </c>
      <c r="F88" s="36">
        <f>F87/Inputs!F254-1</f>
        <v>-0.00792602377807139</v>
      </c>
      <c r="G88" s="36">
        <f>G87/Inputs!G254-1</f>
        <v>-0.03196930946291565</v>
      </c>
      <c r="H88" s="37">
        <f t="shared" si="5"/>
        <v>-0.015790063092520734</v>
      </c>
      <c r="I88" s="1"/>
      <c r="J88" s="1"/>
      <c r="K88" s="1"/>
      <c r="L88" s="1"/>
      <c r="M88" s="1"/>
    </row>
    <row r="89" ht="15" customHeight="1">
      <c r="A89" s="1"/>
      <c r="B89" s="35" t="s">
        <v>72</v>
      </c>
      <c r="C89" s="36">
        <f>C87/Inputs!G254-1</f>
        <v>0.008951406649616356</v>
      </c>
      <c r="D89" s="39">
        <f t="shared" si="25"/>
        <v>0.03929024081115329</v>
      </c>
      <c r="E89" s="1"/>
      <c r="F89" s="39">
        <f t="shared" si="27"/>
        <v>-0.0841463414634146</v>
      </c>
      <c r="G89" s="39">
        <f t="shared" si="25"/>
        <v>0.007989347536617952</v>
      </c>
      <c r="H89" s="37">
        <f t="shared" si="25"/>
        <v>0.02581458417437399</v>
      </c>
      <c r="I89" s="1"/>
      <c r="J89" s="1"/>
      <c r="K89" s="1"/>
      <c r="L89" s="1"/>
      <c r="M89" s="1"/>
    </row>
    <row r="90" ht="15" customHeight="1">
      <c r="A90" s="1"/>
      <c r="B90" s="3" t="s">
        <v>146</v>
      </c>
      <c r="C90" s="63">
        <f t="shared" si="28" ref="C90:G90">C84-C87</f>
        <v>3236</v>
      </c>
      <c r="D90" s="63">
        <f t="shared" si="28"/>
        <v>3252</v>
      </c>
      <c r="E90" s="63">
        <f t="shared" si="28"/>
        <v>12507</v>
      </c>
      <c r="F90" s="63">
        <f t="shared" si="28"/>
        <v>3321</v>
      </c>
      <c r="G90" s="63">
        <f t="shared" si="28"/>
        <v>3295</v>
      </c>
      <c r="H90" s="34">
        <f>H55*H59*H$7/365</f>
        <v>3479.832701369863</v>
      </c>
      <c r="I90" s="1"/>
      <c r="J90" s="1"/>
      <c r="K90" s="1"/>
      <c r="L90" s="1"/>
      <c r="M90" s="1"/>
    </row>
    <row r="91" ht="15" customHeight="1">
      <c r="A91" s="1"/>
      <c r="B91" s="35" t="s">
        <v>70</v>
      </c>
      <c r="C91" s="36">
        <f>C90/Inputs!C267-1</f>
        <v>0.10973936899862835</v>
      </c>
      <c r="D91" s="36">
        <f>D90/Inputs!D267-1</f>
        <v>0.10687542545949635</v>
      </c>
      <c r="E91" s="36">
        <f>E90/Inputs!E267-1</f>
        <v>0.1077945084145262</v>
      </c>
      <c r="F91" s="36">
        <f>F90/Inputs!F267-1</f>
        <v>0.10479041916167664</v>
      </c>
      <c r="G91" s="36">
        <f>G90/Inputs!G267-1</f>
        <v>0.09359442416196484</v>
      </c>
      <c r="H91" s="37">
        <f t="shared" si="5"/>
        <v>0.07535003132566853</v>
      </c>
      <c r="I91" s="1"/>
      <c r="J91" s="1"/>
      <c r="K91" s="1"/>
      <c r="L91" s="1"/>
      <c r="M91" s="1"/>
    </row>
    <row r="92" ht="15" customHeight="1">
      <c r="A92" s="1"/>
      <c r="B92" s="35" t="s">
        <v>72</v>
      </c>
      <c r="C92" s="36">
        <f>C90/Inputs!G267-1</f>
        <v>0.07401261201460341</v>
      </c>
      <c r="D92" s="39">
        <f t="shared" si="25"/>
        <v>0.0049443757725586845</v>
      </c>
      <c r="E92" s="1"/>
      <c r="F92" s="39">
        <f t="shared" si="27"/>
        <v>0.02121771217712176</v>
      </c>
      <c r="G92" s="39">
        <f t="shared" si="25"/>
        <v>-0.00782896717856063</v>
      </c>
      <c r="H92" s="37">
        <f t="shared" si="25"/>
        <v>0.056094901781445605</v>
      </c>
      <c r="I92" s="1"/>
      <c r="J92" s="1"/>
      <c r="K92" s="1"/>
      <c r="L92" s="1"/>
      <c r="M92" s="1"/>
    </row>
    <row r="93" ht="15" customHeight="1">
      <c r="A93" s="1"/>
      <c r="B93" s="41" t="s">
        <v>74</v>
      </c>
      <c r="C93" s="39">
        <f t="shared" si="26"/>
        <v>0.10973936899862835</v>
      </c>
      <c r="D93" s="39">
        <f t="shared" si="26"/>
        <v>0.10687542545949635</v>
      </c>
      <c r="E93" s="39">
        <f t="shared" si="26"/>
        <v>0.1077945084145262</v>
      </c>
      <c r="F93" s="39">
        <f t="shared" si="26"/>
        <v>0.10479041916167664</v>
      </c>
      <c r="G93" s="39">
        <f t="shared" si="26"/>
        <v>0.09359442416196484</v>
      </c>
      <c r="H93" s="37">
        <f t="shared" si="26"/>
        <v>0.07535003132566853</v>
      </c>
      <c r="I93" s="1"/>
      <c r="J93" s="1"/>
      <c r="K93" s="1"/>
      <c r="L93" s="1"/>
      <c r="M93" s="1"/>
    </row>
    <row r="94" ht="15" customHeight="1">
      <c r="A94" s="1"/>
      <c r="B94" s="41" t="s">
        <v>75</v>
      </c>
      <c r="C94" s="43" t="s">
        <v>35</v>
      </c>
      <c r="D94" s="43" t="s">
        <v>35</v>
      </c>
      <c r="E94" s="43" t="s">
        <v>35</v>
      </c>
      <c r="F94" s="43" t="s">
        <v>35</v>
      </c>
      <c r="G94" s="43" t="s">
        <v>35</v>
      </c>
      <c r="H94" s="44" t="s">
        <v>35</v>
      </c>
      <c r="I94" s="1"/>
      <c r="J94" s="1"/>
      <c r="K94" s="1"/>
      <c r="L94" s="1"/>
      <c r="M94" s="1"/>
    </row>
    <row r="95" ht="15" customHeight="1">
      <c r="A95" s="1"/>
      <c r="B95" s="41" t="s">
        <v>77</v>
      </c>
      <c r="C95" s="43" t="s">
        <v>35</v>
      </c>
      <c r="D95" s="43" t="s">
        <v>35</v>
      </c>
      <c r="E95" s="43" t="s">
        <v>35</v>
      </c>
      <c r="F95" s="43" t="s">
        <v>35</v>
      </c>
      <c r="G95" s="43" t="s">
        <v>35</v>
      </c>
      <c r="H95" s="44" t="s">
        <v>35</v>
      </c>
      <c r="I95" s="1"/>
      <c r="J95" s="1"/>
      <c r="K95" s="1"/>
      <c r="L95" s="1"/>
      <c r="M95" s="1"/>
    </row>
    <row r="96" ht="15" customHeight="1">
      <c r="A96" s="1"/>
      <c r="B96" s="41" t="s">
        <v>78</v>
      </c>
      <c r="C96" s="45" t="str">
        <f t="shared" si="18"/>
        <v>unavailable</v>
      </c>
      <c r="D96" s="45" t="str">
        <f t="shared" si="18"/>
        <v>unavailable</v>
      </c>
      <c r="E96" s="45" t="str">
        <f t="shared" si="18"/>
        <v>unavailable</v>
      </c>
      <c r="F96" s="45" t="str">
        <f t="shared" si="18"/>
        <v>unavailable</v>
      </c>
      <c r="G96" s="45" t="str">
        <f t="shared" si="18"/>
        <v>unavailable</v>
      </c>
      <c r="H96" s="46" t="str">
        <f t="shared" si="18"/>
        <v>unavailable</v>
      </c>
      <c r="I96" s="1"/>
      <c r="J96" s="1"/>
      <c r="K96" s="1"/>
      <c r="L96" s="1"/>
      <c r="M96" s="1"/>
    </row>
    <row r="97" ht="15" customHeight="1">
      <c r="A97" s="1"/>
      <c r="B97" s="3" t="s">
        <v>136</v>
      </c>
      <c r="C97" s="63">
        <f t="shared" si="29" ref="C97:H97">C77+C90</f>
        <v>8856</v>
      </c>
      <c r="D97" s="63">
        <f t="shared" si="29"/>
        <v>9156</v>
      </c>
      <c r="E97" s="63">
        <f t="shared" si="29"/>
        <v>34814</v>
      </c>
      <c r="F97" s="63">
        <f t="shared" si="29"/>
        <v>9124</v>
      </c>
      <c r="G97" s="63">
        <f t="shared" si="29"/>
        <v>9524</v>
      </c>
      <c r="H97" s="34">
        <f t="shared" si="29"/>
        <v>9836.952701369864</v>
      </c>
      <c r="I97" s="1"/>
      <c r="J97" s="1"/>
      <c r="K97" s="1"/>
      <c r="L97" s="1"/>
      <c r="M97" s="1"/>
    </row>
    <row r="98" ht="15" customHeight="1">
      <c r="A98" s="1"/>
      <c r="B98" s="35" t="s">
        <v>70</v>
      </c>
      <c r="C98" s="36">
        <f>C97/Inputs!C268-1</f>
        <v>0.11480362537764344</v>
      </c>
      <c r="D98" s="36">
        <f>D97/Inputs!D268-1</f>
        <v>0.10954920019389247</v>
      </c>
      <c r="E98" s="36">
        <f>E97/Inputs!E268-1</f>
        <v>0.10777357049670666</v>
      </c>
      <c r="F98" s="36">
        <f>F97/Inputs!F268-1</f>
        <v>0.10607346345011526</v>
      </c>
      <c r="G98" s="36">
        <f>G97/Inputs!G268-1</f>
        <v>0.11352741728048632</v>
      </c>
      <c r="H98" s="37">
        <f t="shared" si="5"/>
        <v>0.1107670168665158</v>
      </c>
      <c r="I98" s="1"/>
      <c r="J98" s="1"/>
      <c r="K98" s="1"/>
      <c r="L98" s="1"/>
      <c r="M98" s="1"/>
    </row>
    <row r="99" ht="15" customHeight="1">
      <c r="A99" s="1"/>
      <c r="B99" s="35" t="s">
        <v>72</v>
      </c>
      <c r="C99" s="36">
        <f>C97/Inputs!G268-1</f>
        <v>0.03542616625745354</v>
      </c>
      <c r="D99" s="39">
        <f t="shared" si="25"/>
        <v>0.03387533875338744</v>
      </c>
      <c r="E99" s="1"/>
      <c r="F99" s="39">
        <f t="shared" si="27"/>
        <v>-0.003494975972040182</v>
      </c>
      <c r="G99" s="39">
        <f t="shared" si="25"/>
        <v>0.0438404208680403</v>
      </c>
      <c r="H99" s="37">
        <f t="shared" si="25"/>
        <v>0.032859376456306544</v>
      </c>
      <c r="I99" s="1"/>
      <c r="J99" s="1"/>
      <c r="K99" s="1"/>
      <c r="L99" s="1"/>
      <c r="M99" s="1"/>
    </row>
    <row r="100" ht="15" customHeight="1">
      <c r="A100" s="1"/>
      <c r="B100" s="41" t="s">
        <v>74</v>
      </c>
      <c r="C100" s="39">
        <f t="shared" si="26"/>
        <v>0.11480362537764344</v>
      </c>
      <c r="D100" s="39">
        <f t="shared" si="26"/>
        <v>0.10954920019389247</v>
      </c>
      <c r="E100" s="39">
        <f t="shared" si="26"/>
        <v>0.10777357049670666</v>
      </c>
      <c r="F100" s="39">
        <f t="shared" si="26"/>
        <v>0.10607346345011526</v>
      </c>
      <c r="G100" s="39">
        <f t="shared" si="26"/>
        <v>0.11352741728048632</v>
      </c>
      <c r="H100" s="37">
        <f t="shared" si="26"/>
        <v>0.1107670168665158</v>
      </c>
      <c r="I100" s="1"/>
      <c r="J100" s="1"/>
      <c r="K100" s="1"/>
      <c r="L100" s="1"/>
      <c r="M100" s="1"/>
    </row>
    <row r="101" ht="15" customHeight="1">
      <c r="A101" s="1"/>
      <c r="B101" s="41" t="s">
        <v>75</v>
      </c>
      <c r="C101" s="43" t="s">
        <v>35</v>
      </c>
      <c r="D101" s="43" t="s">
        <v>35</v>
      </c>
      <c r="E101" s="43" t="s">
        <v>35</v>
      </c>
      <c r="F101" s="43" t="s">
        <v>35</v>
      </c>
      <c r="G101" s="43" t="s">
        <v>35</v>
      </c>
      <c r="H101" s="44" t="s">
        <v>35</v>
      </c>
      <c r="I101" s="1"/>
      <c r="J101" s="1"/>
      <c r="K101" s="1"/>
      <c r="L101" s="1"/>
      <c r="M101" s="1"/>
    </row>
    <row r="102" ht="15" customHeight="1">
      <c r="A102" s="1"/>
      <c r="B102" s="41" t="s">
        <v>77</v>
      </c>
      <c r="C102" s="43" t="s">
        <v>35</v>
      </c>
      <c r="D102" s="43" t="s">
        <v>35</v>
      </c>
      <c r="E102" s="43" t="s">
        <v>35</v>
      </c>
      <c r="F102" s="43" t="s">
        <v>35</v>
      </c>
      <c r="G102" s="43" t="s">
        <v>35</v>
      </c>
      <c r="H102" s="44" t="s">
        <v>35</v>
      </c>
      <c r="I102" s="1"/>
      <c r="J102" s="1"/>
      <c r="K102" s="1"/>
      <c r="L102" s="1"/>
      <c r="M102" s="1"/>
    </row>
    <row r="103" ht="15" customHeight="1">
      <c r="A103" s="1"/>
      <c r="B103" s="41" t="s">
        <v>78</v>
      </c>
      <c r="C103" s="45" t="str">
        <f t="shared" si="18"/>
        <v>unavailable</v>
      </c>
      <c r="D103" s="45" t="str">
        <f t="shared" si="18"/>
        <v>unavailable</v>
      </c>
      <c r="E103" s="45" t="str">
        <f t="shared" si="18"/>
        <v>unavailable</v>
      </c>
      <c r="F103" s="45" t="str">
        <f t="shared" si="18"/>
        <v>unavailable</v>
      </c>
      <c r="G103" s="45" t="str">
        <f t="shared" si="18"/>
        <v>unavailable</v>
      </c>
      <c r="H103" s="46" t="str">
        <f t="shared" si="18"/>
        <v>unavailable</v>
      </c>
      <c r="I103" s="1"/>
      <c r="J103" s="1"/>
      <c r="K103" s="1"/>
      <c r="L103" s="1"/>
      <c r="M103" s="1"/>
    </row>
    <row r="104" ht="15" customHeight="1">
      <c r="A104" s="1"/>
      <c r="B104" s="1"/>
      <c r="C104" s="1"/>
      <c r="D104" s="1"/>
      <c r="E104" s="1"/>
      <c r="F104" s="1"/>
      <c r="G104" s="1"/>
      <c r="H104" s="29"/>
      <c r="I104" s="1"/>
      <c r="J104" s="1"/>
      <c r="K104" s="1"/>
      <c r="L104" s="1"/>
      <c r="M104" s="1"/>
    </row>
    <row r="105" ht="15" customHeight="1">
      <c r="A105" s="1"/>
      <c r="B105" s="30" t="s">
        <v>148</v>
      </c>
      <c r="C105" s="1"/>
      <c r="D105" s="1"/>
      <c r="E105" s="1"/>
      <c r="F105" s="1"/>
      <c r="G105" s="1"/>
      <c r="H105" s="29"/>
      <c r="I105" s="1"/>
      <c r="J105" s="1"/>
      <c r="K105" s="1"/>
      <c r="L105" s="1"/>
      <c r="M105" s="1"/>
    </row>
    <row r="106" ht="15" customHeight="1">
      <c r="A106" s="1"/>
      <c r="B106" s="1" t="s">
        <v>213</v>
      </c>
      <c r="C106" s="17">
        <f t="shared" si="30" ref="C106:H106">C66</f>
        <v>618.8749260273972</v>
      </c>
      <c r="D106" s="17">
        <f t="shared" si="30"/>
        <v>721.9318136986301</v>
      </c>
      <c r="E106" s="17">
        <f t="shared" si="30"/>
        <v>2659.425</v>
      </c>
      <c r="F106" s="17">
        <f t="shared" si="30"/>
        <v>654.8883287671233</v>
      </c>
      <c r="G106" s="17">
        <f t="shared" si="30"/>
        <v>644.8102931506849</v>
      </c>
      <c r="H106" s="52">
        <f t="shared" si="30"/>
        <v>603.9379068493151</v>
      </c>
      <c r="I106" s="1"/>
      <c r="J106" s="1"/>
      <c r="K106" s="1"/>
      <c r="L106" s="1"/>
      <c r="M106" s="1"/>
    </row>
    <row r="107" ht="15" customHeight="1">
      <c r="A107" s="1"/>
      <c r="B107" s="1" t="s">
        <v>214</v>
      </c>
      <c r="C107" s="17">
        <f t="shared" si="31" ref="C107:G107">C110-C106</f>
        <v>115.12507397260276</v>
      </c>
      <c r="D107" s="17">
        <f t="shared" si="31"/>
        <v>51.068186301369906</v>
      </c>
      <c r="E107" s="17">
        <f t="shared" si="31"/>
        <v>307.5749999999998</v>
      </c>
      <c r="F107" s="17">
        <f t="shared" si="31"/>
        <v>-23.888328767123312</v>
      </c>
      <c r="G107" s="17">
        <f t="shared" si="31"/>
        <v>-146.81029315068486</v>
      </c>
      <c r="H107" s="32">
        <v>70</v>
      </c>
      <c r="I107" s="1"/>
      <c r="J107" s="4" t="s">
        <v>215</v>
      </c>
      <c r="K107" s="1"/>
      <c r="L107" s="1"/>
      <c r="M107" s="1"/>
    </row>
    <row r="108" ht="15" customHeight="1">
      <c r="A108" s="1"/>
      <c r="B108" s="35" t="s">
        <v>70</v>
      </c>
      <c r="C108" s="43" t="s">
        <v>35</v>
      </c>
      <c r="D108" s="43" t="s">
        <v>35</v>
      </c>
      <c r="E108" s="43" t="s">
        <v>35</v>
      </c>
      <c r="F108" s="43" t="s">
        <v>35</v>
      </c>
      <c r="G108" s="43" t="s">
        <v>35</v>
      </c>
      <c r="H108" s="37">
        <f t="shared" si="5"/>
        <v>-0.39196564584481</v>
      </c>
      <c r="I108" s="1"/>
      <c r="J108" s="1"/>
      <c r="K108" s="1"/>
      <c r="L108" s="1"/>
      <c r="M108" s="1"/>
    </row>
    <row r="109" ht="15" customHeight="1">
      <c r="A109" s="1"/>
      <c r="B109" s="35" t="s">
        <v>73</v>
      </c>
      <c r="C109" s="43" t="s">
        <v>35</v>
      </c>
      <c r="D109" s="40">
        <f t="shared" si="6"/>
        <v>-64.05688767123286</v>
      </c>
      <c r="E109" s="1"/>
      <c r="F109" s="40">
        <f t="shared" si="11"/>
        <v>-74.95651506849322</v>
      </c>
      <c r="G109" s="40">
        <f t="shared" si="6"/>
        <v>-122.92196438356154</v>
      </c>
      <c r="H109" s="38">
        <f t="shared" si="6"/>
        <v>216.81029315068486</v>
      </c>
      <c r="I109" s="1"/>
      <c r="J109" s="1"/>
      <c r="K109" s="1"/>
      <c r="L109" s="1"/>
      <c r="M109" s="1"/>
    </row>
    <row r="110" ht="15" customHeight="1">
      <c r="A110" s="1"/>
      <c r="B110" s="3" t="s">
        <v>158</v>
      </c>
      <c r="C110" s="33">
        <v>734</v>
      </c>
      <c r="D110" s="33">
        <v>773</v>
      </c>
      <c r="E110" s="33">
        <v>2967</v>
      </c>
      <c r="F110" s="33">
        <v>631</v>
      </c>
      <c r="G110" s="33">
        <v>498</v>
      </c>
      <c r="H110" s="34">
        <f>H106+H107</f>
        <v>673.9379068493151</v>
      </c>
      <c r="I110" s="1"/>
      <c r="J110" s="4" t="s">
        <v>69</v>
      </c>
      <c r="K110" s="1"/>
      <c r="L110" s="1"/>
      <c r="M110" s="1"/>
    </row>
    <row r="111" ht="15" customHeight="1">
      <c r="A111" s="1"/>
      <c r="B111" s="35" t="s">
        <v>70</v>
      </c>
      <c r="C111" s="36">
        <f>C110/Inputs!C255-1</f>
        <v>-0.09605911330049266</v>
      </c>
      <c r="D111" s="36">
        <f>D110/Inputs!D255-1</f>
        <v>-0.014030612244897989</v>
      </c>
      <c r="E111" s="36">
        <f>E110/Inputs!E255-1</f>
        <v>-0.02046880158468145</v>
      </c>
      <c r="F111" s="36">
        <f>F110/Inputs!F255-1</f>
        <v>0</v>
      </c>
      <c r="G111" s="36">
        <f>G110/Inputs!G255-1</f>
        <v>-0.3992762364294331</v>
      </c>
      <c r="H111" s="37">
        <f t="shared" si="5"/>
        <v>-0.08182846478294936</v>
      </c>
      <c r="I111" s="1"/>
      <c r="J111" s="1"/>
      <c r="K111" s="1"/>
      <c r="L111" s="1"/>
      <c r="M111" s="1"/>
    </row>
    <row r="112" ht="15" customHeight="1">
      <c r="A112" s="1"/>
      <c r="B112" s="35" t="s">
        <v>71</v>
      </c>
      <c r="C112" s="27">
        <f>C110-Inputs!C255</f>
        <v>-78</v>
      </c>
      <c r="D112" s="27">
        <f>D110-Inputs!D255</f>
        <v>-11</v>
      </c>
      <c r="E112" s="27">
        <f>E110-Inputs!E255</f>
        <v>-62</v>
      </c>
      <c r="F112" s="27">
        <f>F110-Inputs!F255</f>
        <v>0</v>
      </c>
      <c r="G112" s="27">
        <f>G110-Inputs!G255</f>
        <v>-331</v>
      </c>
      <c r="H112" s="38">
        <f t="shared" si="9"/>
        <v>-60.06209315068486</v>
      </c>
      <c r="I112" s="1"/>
      <c r="J112" s="1"/>
      <c r="K112" s="1"/>
      <c r="L112" s="1"/>
      <c r="M112" s="1"/>
    </row>
    <row r="113" ht="15" customHeight="1">
      <c r="A113" s="1"/>
      <c r="B113" s="35" t="s">
        <v>73</v>
      </c>
      <c r="C113" s="27">
        <f>C110-Inputs!G255</f>
        <v>-95</v>
      </c>
      <c r="D113" s="40">
        <f t="shared" si="3"/>
        <v>39</v>
      </c>
      <c r="E113" s="1"/>
      <c r="F113" s="40">
        <f t="shared" si="10"/>
        <v>-142</v>
      </c>
      <c r="G113" s="40">
        <f t="shared" si="3"/>
        <v>-133</v>
      </c>
      <c r="H113" s="38">
        <f t="shared" si="3"/>
        <v>175.93790684931514</v>
      </c>
      <c r="I113" s="1"/>
      <c r="J113" s="1"/>
      <c r="K113" s="1"/>
      <c r="L113" s="1"/>
      <c r="M113" s="1"/>
    </row>
    <row r="114" ht="15" customHeight="1">
      <c r="A114" s="1"/>
      <c r="B114" s="4" t="s">
        <v>216</v>
      </c>
      <c r="C114" s="39">
        <f t="shared" si="32" ref="C114:H114">C110/C55*365/C$7</f>
        <v>0.027278532850517588</v>
      </c>
      <c r="D114" s="39">
        <f t="shared" si="32"/>
        <v>0.02783919425441735</v>
      </c>
      <c r="E114" s="39">
        <f t="shared" si="32"/>
        <v>0.02789136749485321</v>
      </c>
      <c r="F114" s="39">
        <f t="shared" si="32"/>
        <v>0.023124553202085188</v>
      </c>
      <c r="G114" s="39">
        <f t="shared" si="32"/>
        <v>0.01776336408036112</v>
      </c>
      <c r="H114" s="37">
        <f t="shared" si="32"/>
        <v>0.023434025060074217</v>
      </c>
      <c r="I114" s="1"/>
      <c r="J114" s="1"/>
      <c r="K114" s="1"/>
      <c r="L114" s="1"/>
      <c r="M114" s="1"/>
    </row>
    <row r="115" ht="15" customHeight="1">
      <c r="A115" s="1"/>
      <c r="B115" s="35" t="s">
        <v>81</v>
      </c>
      <c r="C115" s="43" t="s">
        <v>35</v>
      </c>
      <c r="D115" s="47">
        <f>(D114-Inputs!D275)*10000</f>
        <v>-24.320878871341087</v>
      </c>
      <c r="E115" s="47">
        <f>(E114-Inputs!E275)*10000</f>
        <v>-26.43203543840046</v>
      </c>
      <c r="F115" s="47">
        <f>(F114-Inputs!F275)*10000</f>
        <v>-16.63609525963436</v>
      </c>
      <c r="G115" s="47">
        <f>(G114-Inputs!G275)*10000</f>
        <v>-140.5952362071355</v>
      </c>
      <c r="H115" s="48">
        <f t="shared" si="20"/>
        <v>-38.44507790443371</v>
      </c>
      <c r="I115" s="1"/>
      <c r="J115" s="1"/>
      <c r="K115" s="1"/>
      <c r="L115" s="1"/>
      <c r="M115" s="1"/>
    </row>
    <row r="116" ht="15" customHeight="1">
      <c r="A116" s="1"/>
      <c r="B116" s="35" t="s">
        <v>82</v>
      </c>
      <c r="C116" s="47">
        <f>(C114-Inputs!G275)*10000</f>
        <v>-45.44354850557084</v>
      </c>
      <c r="D116" s="49">
        <f t="shared" si="14"/>
        <v>5.606614038997614</v>
      </c>
      <c r="E116" s="1"/>
      <c r="F116" s="49">
        <f t="shared" si="21"/>
        <v>-47.14641052332161</v>
      </c>
      <c r="G116" s="49">
        <f t="shared" si="14"/>
        <v>-53.611891217240675</v>
      </c>
      <c r="H116" s="48">
        <f t="shared" si="14"/>
        <v>56.706609797130966</v>
      </c>
      <c r="I116" s="1"/>
      <c r="J116" s="1"/>
      <c r="K116" s="1"/>
      <c r="L116" s="1"/>
      <c r="M116" s="1"/>
    </row>
    <row r="117" ht="15" customHeight="1">
      <c r="A117" s="1"/>
      <c r="B117" s="3" t="s">
        <v>217</v>
      </c>
      <c r="C117" s="63">
        <f t="shared" si="33" ref="C117:H117">C97-C110</f>
        <v>8122</v>
      </c>
      <c r="D117" s="63">
        <f t="shared" si="33"/>
        <v>8383</v>
      </c>
      <c r="E117" s="63">
        <f t="shared" si="33"/>
        <v>31847</v>
      </c>
      <c r="F117" s="63">
        <f t="shared" si="33"/>
        <v>8493</v>
      </c>
      <c r="G117" s="63">
        <f t="shared" si="33"/>
        <v>9026</v>
      </c>
      <c r="H117" s="34">
        <f t="shared" si="33"/>
        <v>9163.01479452055</v>
      </c>
      <c r="I117" s="1"/>
      <c r="J117" s="1"/>
      <c r="K117" s="1"/>
      <c r="L117" s="1"/>
      <c r="M117" s="1"/>
    </row>
    <row r="118" ht="15" customHeight="1">
      <c r="A118" s="1"/>
      <c r="B118" s="1"/>
      <c r="C118" s="1"/>
      <c r="D118" s="1"/>
      <c r="E118" s="1"/>
      <c r="F118" s="1"/>
      <c r="G118" s="1"/>
      <c r="H118" s="29"/>
      <c r="I118" s="1"/>
      <c r="J118" s="1"/>
      <c r="K118" s="1"/>
      <c r="L118" s="1"/>
      <c r="M118" s="1"/>
    </row>
    <row r="119" ht="15" customHeight="1">
      <c r="A119" s="1"/>
      <c r="B119" s="30" t="s">
        <v>218</v>
      </c>
      <c r="C119" s="1"/>
      <c r="D119" s="1"/>
      <c r="E119" s="1"/>
      <c r="F119" s="1"/>
      <c r="G119" s="1"/>
      <c r="H119" s="29"/>
      <c r="I119" s="1"/>
      <c r="J119" s="1"/>
      <c r="K119" s="1"/>
      <c r="L119" s="1"/>
      <c r="M119" s="1"/>
    </row>
    <row r="120" ht="15" customHeight="1">
      <c r="A120" s="1"/>
      <c r="B120" s="1" t="s">
        <v>219</v>
      </c>
      <c r="C120" s="17">
        <f t="shared" si="34" ref="C120:G120">C123/C38*10</f>
        <v>233.5211267605634</v>
      </c>
      <c r="D120" s="17">
        <f t="shared" si="34"/>
        <v>241.17336152219875</v>
      </c>
      <c r="E120" s="17">
        <f t="shared" si="34"/>
        <v>234.02120141342755</v>
      </c>
      <c r="F120" s="17">
        <f t="shared" si="34"/>
        <v>255.54938956714764</v>
      </c>
      <c r="G120" s="17">
        <f t="shared" si="34"/>
        <v>241.5987780040733</v>
      </c>
      <c r="H120" s="32">
        <v>243</v>
      </c>
      <c r="I120" s="1"/>
      <c r="J120" s="4" t="s">
        <v>220</v>
      </c>
      <c r="K120" s="1"/>
      <c r="L120" s="1"/>
      <c r="M120" s="1"/>
    </row>
    <row r="121" ht="15" customHeight="1">
      <c r="A121" s="1"/>
      <c r="B121" s="35" t="s">
        <v>81</v>
      </c>
      <c r="C121" s="27">
        <f>(C120-Inputs!C273)*1</f>
        <v>13.558095337273187</v>
      </c>
      <c r="D121" s="27">
        <f>(D120-Inputs!D273)*1</f>
        <v>21.863016694612554</v>
      </c>
      <c r="E121" s="27">
        <f>(E120-Inputs!E273)*1</f>
        <v>15.191024260098288</v>
      </c>
      <c r="F121" s="27">
        <f>(F120-Inputs!F273)*1</f>
        <v>19.27428305467049</v>
      </c>
      <c r="G121" s="27">
        <f>(G120-Inputs!G273)*1</f>
        <v>16.839571205206454</v>
      </c>
      <c r="H121" s="38">
        <f t="shared" si="35"/>
        <v>9.47887323943661</v>
      </c>
      <c r="I121" s="1"/>
      <c r="J121" s="1"/>
      <c r="K121" s="1"/>
      <c r="L121" s="1"/>
      <c r="M121" s="1"/>
    </row>
    <row r="122" ht="15" customHeight="1">
      <c r="A122" s="1"/>
      <c r="B122" s="35" t="s">
        <v>82</v>
      </c>
      <c r="C122" s="27">
        <f>(C120-Inputs!G273)*1</f>
        <v>8.761919961696549</v>
      </c>
      <c r="D122" s="40">
        <f t="shared" si="24"/>
        <v>7.652234761635356</v>
      </c>
      <c r="E122" s="1"/>
      <c r="F122" s="40">
        <f t="shared" si="36"/>
        <v>14.376028044948896</v>
      </c>
      <c r="G122" s="40">
        <f t="shared" si="24"/>
        <v>-13.950611563074347</v>
      </c>
      <c r="H122" s="38">
        <f t="shared" si="24"/>
        <v>1.4012219959267043</v>
      </c>
      <c r="I122" s="1"/>
      <c r="J122" s="1"/>
      <c r="K122" s="1"/>
      <c r="L122" s="1"/>
      <c r="M122" s="1"/>
    </row>
    <row r="123" ht="15" customHeight="1">
      <c r="A123" s="1"/>
      <c r="B123" s="1" t="s">
        <v>221</v>
      </c>
      <c r="C123" s="53">
        <v>4145</v>
      </c>
      <c r="D123" s="53">
        <v>4563</v>
      </c>
      <c r="E123" s="53">
        <v>16557</v>
      </c>
      <c r="F123" s="53">
        <v>4605</v>
      </c>
      <c r="G123" s="53">
        <v>4745</v>
      </c>
      <c r="H123" s="52">
        <f>H38*H120/10</f>
        <v>4790.016000000001</v>
      </c>
      <c r="I123" s="1"/>
      <c r="J123" s="4" t="s">
        <v>69</v>
      </c>
      <c r="K123" s="1"/>
      <c r="L123" s="1"/>
      <c r="M123" s="1"/>
    </row>
    <row r="124" ht="15" customHeight="1">
      <c r="A124" s="1"/>
      <c r="B124" s="35" t="s">
        <v>70</v>
      </c>
      <c r="C124" s="36">
        <f>C123/Inputs!C256-1</f>
        <v>0.16106442577030822</v>
      </c>
      <c r="D124" s="36">
        <f>D123/Inputs!D256-1</f>
        <v>0.195754716981132</v>
      </c>
      <c r="E124" s="36">
        <f>E123/Inputs!E256-1</f>
        <v>0.15548886872775491</v>
      </c>
      <c r="F124" s="36">
        <f>F123/Inputs!F256-1</f>
        <v>0.18624420401854724</v>
      </c>
      <c r="G124" s="36">
        <f>G123/Inputs!G256-1</f>
        <v>0.19611797327955638</v>
      </c>
      <c r="H124" s="37">
        <f t="shared" si="5"/>
        <v>0.15561302774427066</v>
      </c>
      <c r="I124" s="1"/>
      <c r="J124" s="1"/>
      <c r="K124" s="1"/>
      <c r="L124" s="1"/>
      <c r="M124" s="1"/>
    </row>
    <row r="125" ht="15" customHeight="1">
      <c r="A125" s="1"/>
      <c r="B125" s="35" t="s">
        <v>71</v>
      </c>
      <c r="C125" s="27">
        <f>C123-Inputs!C256</f>
        <v>575</v>
      </c>
      <c r="D125" s="27">
        <f>D123-Inputs!D256</f>
        <v>747</v>
      </c>
      <c r="E125" s="27">
        <f>E123-Inputs!E256</f>
        <v>2228</v>
      </c>
      <c r="F125" s="27">
        <f>F123-Inputs!F256</f>
        <v>723</v>
      </c>
      <c r="G125" s="27">
        <f>G123-Inputs!G256</f>
        <v>778</v>
      </c>
      <c r="H125" s="38">
        <f t="shared" si="9"/>
        <v>645.0160000000014</v>
      </c>
      <c r="I125" s="1"/>
      <c r="J125" s="1"/>
      <c r="K125" s="1"/>
      <c r="L125" s="1"/>
      <c r="M125" s="1"/>
    </row>
    <row r="126" ht="15" customHeight="1">
      <c r="A126" s="1"/>
      <c r="B126" s="35" t="s">
        <v>73</v>
      </c>
      <c r="C126" s="27">
        <f>C123-Inputs!G256</f>
        <v>178</v>
      </c>
      <c r="D126" s="40">
        <f t="shared" si="3"/>
        <v>418</v>
      </c>
      <c r="E126" s="1"/>
      <c r="F126" s="40">
        <f t="shared" si="10"/>
        <v>42</v>
      </c>
      <c r="G126" s="40">
        <f t="shared" si="3"/>
        <v>140</v>
      </c>
      <c r="H126" s="38">
        <f t="shared" si="3"/>
        <v>45.01600000000144</v>
      </c>
      <c r="I126" s="1"/>
      <c r="J126" s="1"/>
      <c r="K126" s="1"/>
      <c r="L126" s="1"/>
      <c r="M126" s="1"/>
    </row>
    <row r="127" ht="15" customHeight="1">
      <c r="A127" s="1"/>
      <c r="B127" s="1" t="s">
        <v>152</v>
      </c>
      <c r="C127" s="53">
        <v>825</v>
      </c>
      <c r="D127" s="53">
        <v>797</v>
      </c>
      <c r="E127" s="53">
        <v>3187</v>
      </c>
      <c r="F127" s="53">
        <v>764</v>
      </c>
      <c r="G127" s="53">
        <v>813</v>
      </c>
      <c r="H127" s="32">
        <v>890</v>
      </c>
      <c r="I127" s="1"/>
      <c r="J127" s="4" t="s">
        <v>222</v>
      </c>
      <c r="K127" s="1"/>
      <c r="L127" s="1"/>
      <c r="M127" s="1"/>
    </row>
    <row r="128" ht="15" customHeight="1">
      <c r="A128" s="1"/>
      <c r="B128" s="35" t="s">
        <v>70</v>
      </c>
      <c r="C128" s="36">
        <f>C127/Inputs!C257-1</f>
        <v>0.0927152317880795</v>
      </c>
      <c r="D128" s="36">
        <f>D127/Inputs!D257-1</f>
        <v>-0.019680196801967975</v>
      </c>
      <c r="E128" s="36">
        <f>E127/Inputs!E257-1</f>
        <v>0.044575549000327674</v>
      </c>
      <c r="F128" s="36">
        <f>F127/Inputs!F257-1</f>
        <v>-0.0013071895424836555</v>
      </c>
      <c r="G128" s="36">
        <f>G127/Inputs!G257-1</f>
        <v>0.016250000000000098</v>
      </c>
      <c r="H128" s="37">
        <f t="shared" si="5"/>
        <v>0.07878787878787885</v>
      </c>
      <c r="I128" s="1"/>
      <c r="J128" s="1"/>
      <c r="K128" s="1"/>
      <c r="L128" s="1"/>
      <c r="M128" s="1"/>
    </row>
    <row r="129" ht="15" customHeight="1">
      <c r="A129" s="1"/>
      <c r="B129" s="35" t="s">
        <v>71</v>
      </c>
      <c r="C129" s="27">
        <f>C127-Inputs!C257</f>
        <v>70</v>
      </c>
      <c r="D129" s="27">
        <f>D127-Inputs!D257</f>
        <v>-16</v>
      </c>
      <c r="E129" s="27">
        <f>E127-Inputs!E257</f>
        <v>136</v>
      </c>
      <c r="F129" s="27">
        <f>F127-Inputs!F257</f>
        <v>-1</v>
      </c>
      <c r="G129" s="27">
        <f>G127-Inputs!G257</f>
        <v>13</v>
      </c>
      <c r="H129" s="38">
        <f t="shared" si="9"/>
        <v>65</v>
      </c>
      <c r="I129" s="1"/>
      <c r="J129" s="1"/>
      <c r="K129" s="1"/>
      <c r="L129" s="1"/>
      <c r="M129" s="1"/>
    </row>
    <row r="130" ht="15" customHeight="1">
      <c r="A130" s="1"/>
      <c r="B130" s="35" t="s">
        <v>73</v>
      </c>
      <c r="C130" s="27">
        <f>C127-Inputs!G257</f>
        <v>25</v>
      </c>
      <c r="D130" s="40">
        <f t="shared" si="3"/>
        <v>-28</v>
      </c>
      <c r="E130" s="1"/>
      <c r="F130" s="40">
        <f t="shared" si="10"/>
        <v>-33</v>
      </c>
      <c r="G130" s="40">
        <f t="shared" si="3"/>
        <v>49</v>
      </c>
      <c r="H130" s="38">
        <f t="shared" si="3"/>
        <v>77</v>
      </c>
      <c r="I130" s="1"/>
      <c r="J130" s="1"/>
      <c r="K130" s="1"/>
      <c r="L130" s="1"/>
      <c r="M130" s="1"/>
    </row>
    <row r="131" ht="15" customHeight="1">
      <c r="A131" s="1"/>
      <c r="B131" s="1" t="s">
        <v>223</v>
      </c>
      <c r="C131" s="53">
        <v>1300</v>
      </c>
      <c r="D131" s="53">
        <v>1473</v>
      </c>
      <c r="E131" s="53">
        <v>5293</v>
      </c>
      <c r="F131" s="53">
        <v>1367</v>
      </c>
      <c r="G131" s="53">
        <v>1403</v>
      </c>
      <c r="H131" s="32">
        <v>1410</v>
      </c>
      <c r="I131" s="1"/>
      <c r="J131" s="4" t="s">
        <v>224</v>
      </c>
      <c r="K131" s="1"/>
      <c r="L131" s="1"/>
      <c r="M131" s="1"/>
    </row>
    <row r="132" ht="15" customHeight="1">
      <c r="A132" s="1"/>
      <c r="B132" s="35" t="s">
        <v>70</v>
      </c>
      <c r="C132" s="36">
        <f>C131/Inputs!C258-1</f>
        <v>0.132404181184669</v>
      </c>
      <c r="D132" s="36">
        <f>D131/Inputs!D258-1</f>
        <v>0.1383307573415764</v>
      </c>
      <c r="E132" s="36">
        <f>E131/Inputs!E258-1</f>
        <v>0.14048696401637573</v>
      </c>
      <c r="F132" s="36">
        <f>F131/Inputs!F258-1</f>
        <v>0.10330912025827277</v>
      </c>
      <c r="G132" s="36">
        <f>G131/Inputs!G258-1</f>
        <v>0.09523809523809534</v>
      </c>
      <c r="H132" s="37">
        <f t="shared" si="5"/>
        <v>0.08461538461538454</v>
      </c>
      <c r="I132" s="1"/>
      <c r="J132" s="1"/>
      <c r="K132" s="1"/>
      <c r="L132" s="1"/>
      <c r="M132" s="1"/>
    </row>
    <row r="133" ht="15" customHeight="1">
      <c r="A133" s="1"/>
      <c r="B133" s="35" t="s">
        <v>71</v>
      </c>
      <c r="C133" s="27">
        <f>C131-Inputs!C258</f>
        <v>152</v>
      </c>
      <c r="D133" s="27">
        <f>D131-Inputs!D258</f>
        <v>179</v>
      </c>
      <c r="E133" s="27">
        <f>E131-Inputs!E258</f>
        <v>652</v>
      </c>
      <c r="F133" s="27">
        <f>F131-Inputs!F258</f>
        <v>128</v>
      </c>
      <c r="G133" s="27">
        <f>G131-Inputs!G258</f>
        <v>122</v>
      </c>
      <c r="H133" s="38">
        <f t="shared" si="9"/>
        <v>110</v>
      </c>
      <c r="I133" s="1"/>
      <c r="J133" s="1"/>
      <c r="K133" s="1"/>
      <c r="L133" s="1"/>
      <c r="M133" s="1"/>
    </row>
    <row r="134" ht="15" customHeight="1">
      <c r="A134" s="1"/>
      <c r="B134" s="35" t="s">
        <v>73</v>
      </c>
      <c r="C134" s="27">
        <f>C131-Inputs!G258</f>
        <v>19</v>
      </c>
      <c r="D134" s="40">
        <f t="shared" si="3"/>
        <v>173</v>
      </c>
      <c r="E134" s="1"/>
      <c r="F134" s="40">
        <f t="shared" si="10"/>
        <v>-106</v>
      </c>
      <c r="G134" s="40">
        <f t="shared" si="3"/>
        <v>36</v>
      </c>
      <c r="H134" s="38">
        <f t="shared" si="3"/>
        <v>7</v>
      </c>
      <c r="I134" s="1"/>
      <c r="J134" s="1"/>
      <c r="K134" s="1"/>
      <c r="L134" s="1"/>
      <c r="M134" s="1"/>
    </row>
    <row r="135" ht="15" customHeight="1">
      <c r="A135" s="1"/>
      <c r="B135" s="3" t="s">
        <v>225</v>
      </c>
      <c r="C135" s="63">
        <f t="shared" si="37" ref="C135:H135">C123+C127+C131</f>
        <v>6270</v>
      </c>
      <c r="D135" s="63">
        <f t="shared" si="37"/>
        <v>6833</v>
      </c>
      <c r="E135" s="63">
        <f t="shared" si="37"/>
        <v>25037</v>
      </c>
      <c r="F135" s="63">
        <f t="shared" si="37"/>
        <v>6736</v>
      </c>
      <c r="G135" s="63">
        <f t="shared" si="37"/>
        <v>6961</v>
      </c>
      <c r="H135" s="34">
        <f t="shared" si="37"/>
        <v>7090.016000000001</v>
      </c>
      <c r="I135" s="1"/>
      <c r="J135" s="1"/>
      <c r="K135" s="1"/>
      <c r="L135" s="1"/>
      <c r="M135" s="1"/>
    </row>
    <row r="136" ht="15" customHeight="1">
      <c r="A136" s="1"/>
      <c r="B136" s="35" t="s">
        <v>70</v>
      </c>
      <c r="C136" s="36">
        <f>C135/Inputs!C269-1</f>
        <v>0.14562397222729762</v>
      </c>
      <c r="D136" s="36">
        <f>D135/Inputs!D269-1</f>
        <v>0.15363835893972655</v>
      </c>
      <c r="E136" s="36">
        <f>E135/Inputs!E269-1</f>
        <v>0.13696017437900188</v>
      </c>
      <c r="F136" s="36">
        <f>F135/Inputs!F269-1</f>
        <v>0.14441046551138292</v>
      </c>
      <c r="G136" s="36">
        <f>G135/Inputs!G269-1</f>
        <v>0.15095899470899465</v>
      </c>
      <c r="H136" s="37">
        <f t="shared" si="5"/>
        <v>0.1307840510366829</v>
      </c>
      <c r="I136" s="1"/>
      <c r="J136" s="1"/>
      <c r="K136" s="1"/>
      <c r="L136" s="1"/>
      <c r="M136" s="1"/>
    </row>
    <row r="137" ht="15" customHeight="1">
      <c r="A137" s="1"/>
      <c r="B137" s="1"/>
      <c r="C137" s="1"/>
      <c r="D137" s="1"/>
      <c r="E137" s="1"/>
      <c r="F137" s="1"/>
      <c r="G137" s="1"/>
      <c r="H137" s="29"/>
      <c r="I137" s="1"/>
      <c r="J137" s="1"/>
      <c r="K137" s="1"/>
      <c r="L137" s="1"/>
      <c r="M137" s="1"/>
    </row>
    <row r="138" ht="15" customHeight="1">
      <c r="A138" s="1"/>
      <c r="B138" s="30" t="s">
        <v>226</v>
      </c>
      <c r="C138" s="1"/>
      <c r="D138" s="1"/>
      <c r="E138" s="1"/>
      <c r="F138" s="1"/>
      <c r="G138" s="1"/>
      <c r="H138" s="29"/>
      <c r="I138" s="1"/>
      <c r="J138" s="1"/>
      <c r="K138" s="1"/>
      <c r="L138" s="1"/>
      <c r="M138" s="1"/>
    </row>
    <row r="139" ht="15" customHeight="1">
      <c r="A139" s="1"/>
      <c r="B139" s="3" t="s">
        <v>227</v>
      </c>
      <c r="C139" s="63">
        <f t="shared" si="38" ref="C139:H139">C117-C135</f>
        <v>1852</v>
      </c>
      <c r="D139" s="63">
        <f t="shared" si="38"/>
        <v>1550</v>
      </c>
      <c r="E139" s="63">
        <f t="shared" si="38"/>
        <v>6810</v>
      </c>
      <c r="F139" s="63">
        <f t="shared" si="38"/>
        <v>1757</v>
      </c>
      <c r="G139" s="63">
        <f t="shared" si="38"/>
        <v>2065</v>
      </c>
      <c r="H139" s="34">
        <f t="shared" si="38"/>
        <v>2072.9987945205485</v>
      </c>
      <c r="I139" s="1"/>
      <c r="J139" s="1"/>
      <c r="K139" s="1"/>
      <c r="L139" s="1"/>
      <c r="M139" s="1"/>
    </row>
    <row r="140" ht="15" customHeight="1">
      <c r="A140" s="1"/>
      <c r="B140" s="35" t="s">
        <v>70</v>
      </c>
      <c r="C140" s="36">
        <f>C139/Inputs!C270-1</f>
        <v>0.11633514165159742</v>
      </c>
      <c r="D140" s="36">
        <f>D139/Inputs!D270-1</f>
        <v>0.003236245954692629</v>
      </c>
      <c r="E140" s="36">
        <f>E139/Inputs!E270-1</f>
        <v>0.06790026658303283</v>
      </c>
      <c r="F140" s="36">
        <f>F139/Inputs!F270-1</f>
        <v>0.01443418013856812</v>
      </c>
      <c r="G140" s="36">
        <f>G139/Inputs!G270-1</f>
        <v>0.2321002386634845</v>
      </c>
      <c r="H140" s="37">
        <f t="shared" si="5"/>
        <v>0.11932980265688364</v>
      </c>
      <c r="I140" s="1"/>
      <c r="J140" s="1"/>
      <c r="K140" s="1"/>
      <c r="L140" s="1"/>
      <c r="M140" s="1"/>
    </row>
    <row r="141" ht="15" customHeight="1">
      <c r="A141" s="1"/>
      <c r="B141" s="4" t="s">
        <v>228</v>
      </c>
      <c r="C141" s="39">
        <f t="shared" si="39" ref="C141:H141">C139/C97</f>
        <v>0.2091237579042457</v>
      </c>
      <c r="D141" s="39">
        <f t="shared" si="39"/>
        <v>0.16928789864569682</v>
      </c>
      <c r="E141" s="39">
        <f t="shared" si="39"/>
        <v>0.1956109611076004</v>
      </c>
      <c r="F141" s="39">
        <f t="shared" si="39"/>
        <v>0.19256904866286717</v>
      </c>
      <c r="G141" s="39">
        <f t="shared" si="39"/>
        <v>0.21682066358672827</v>
      </c>
      <c r="H141" s="37">
        <f t="shared" si="39"/>
        <v>0.2107358708995184</v>
      </c>
      <c r="I141" s="1"/>
      <c r="J141" s="1"/>
      <c r="K141" s="1"/>
      <c r="L141" s="1"/>
      <c r="M141" s="1"/>
    </row>
    <row r="142" ht="15" customHeight="1">
      <c r="A142" s="1"/>
      <c r="B142" s="35" t="s">
        <v>81</v>
      </c>
      <c r="C142" s="47">
        <f>(C141-Inputs!C271)*10000</f>
        <v>2.8689989820340767</v>
      </c>
      <c r="D142" s="47">
        <f>(D141-Inputs!D271)*10000</f>
        <v>-179.39440181254207</v>
      </c>
      <c r="E142" s="47">
        <f>(E141-Inputs!E271)*10000</f>
        <v>-73.03730081504506</v>
      </c>
      <c r="F142" s="47">
        <f>(F141-Inputs!F271)*10000</f>
        <v>-173.9579556067508</v>
      </c>
      <c r="G142" s="47">
        <f>(G141-Inputs!G271)*10000</f>
        <v>208.66027786424297</v>
      </c>
      <c r="H142" s="48">
        <f t="shared" si="20"/>
        <v>16.121129952726964</v>
      </c>
      <c r="I142" s="1"/>
      <c r="J142" s="1"/>
      <c r="K142" s="1"/>
      <c r="L142" s="1"/>
      <c r="M142" s="1"/>
    </row>
    <row r="143" ht="15" customHeight="1">
      <c r="A143" s="1"/>
      <c r="B143" s="35" t="s">
        <v>82</v>
      </c>
      <c r="C143" s="47">
        <f>(C141-Inputs!G271)*10000</f>
        <v>131.69122103941723</v>
      </c>
      <c r="D143" s="49">
        <f t="shared" si="14"/>
        <v>-398.3585925854888</v>
      </c>
      <c r="E143" s="1"/>
      <c r="F143" s="49">
        <f t="shared" si="21"/>
        <v>232.8115001717035</v>
      </c>
      <c r="G143" s="49">
        <f t="shared" si="14"/>
        <v>242.51614923861104</v>
      </c>
      <c r="H143" s="48">
        <f t="shared" si="14"/>
        <v>-60.84792687209878</v>
      </c>
      <c r="I143" s="1"/>
      <c r="J143" s="1"/>
      <c r="K143" s="1"/>
      <c r="L143" s="1"/>
      <c r="M143" s="1"/>
    </row>
    <row r="144" ht="15" customHeight="1">
      <c r="A144" s="1"/>
      <c r="B144" s="1" t="s">
        <v>229</v>
      </c>
      <c r="C144" s="53">
        <v>1852</v>
      </c>
      <c r="D144" s="53">
        <v>1550</v>
      </c>
      <c r="E144" s="53">
        <v>6810</v>
      </c>
      <c r="F144" s="53">
        <v>1757</v>
      </c>
      <c r="G144" s="53">
        <v>2065</v>
      </c>
      <c r="H144" s="67" t="s">
        <v>35</v>
      </c>
      <c r="I144" s="1"/>
      <c r="J144" s="4" t="s">
        <v>69</v>
      </c>
      <c r="K144" s="1"/>
      <c r="L144" s="1"/>
      <c r="M144" s="1"/>
    </row>
    <row r="145" ht="15" customHeight="1">
      <c r="A145" s="1"/>
      <c r="B145" s="4" t="s">
        <v>230</v>
      </c>
      <c r="C145" s="40">
        <f t="shared" si="40" ref="C145:G145">C139-C144</f>
        <v>0</v>
      </c>
      <c r="D145" s="40">
        <f t="shared" si="40"/>
        <v>0</v>
      </c>
      <c r="E145" s="40">
        <f t="shared" si="40"/>
        <v>0</v>
      </c>
      <c r="F145" s="40">
        <f t="shared" si="40"/>
        <v>0</v>
      </c>
      <c r="G145" s="40">
        <f t="shared" si="40"/>
        <v>0</v>
      </c>
      <c r="H145" s="29"/>
      <c r="I145" s="1"/>
      <c r="J145" s="1"/>
      <c r="K145" s="1"/>
      <c r="L145" s="1"/>
      <c r="M145" s="1"/>
    </row>
    <row r="146" ht="1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ht="1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B3CA3B8-8678-BEE8-2D89-1DCA999A9C7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231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174</v>
      </c>
      <c r="C9" s="1"/>
      <c r="D9" s="1"/>
      <c r="E9" s="1"/>
      <c r="F9" s="1"/>
      <c r="G9" s="1"/>
      <c r="H9" s="29"/>
      <c r="I9" s="1"/>
      <c r="J9" s="1"/>
      <c r="K9" s="1"/>
      <c r="L9" s="1"/>
      <c r="M9" s="1"/>
    </row>
    <row r="10" ht="15" customHeight="1">
      <c r="A10" s="1"/>
      <c r="B10" s="1" t="s">
        <v>102</v>
      </c>
      <c r="C10" s="16">
        <f>Inputs!G284</f>
        <v>15.4</v>
      </c>
      <c r="D10" s="17">
        <f t="shared" si="1" ref="D10:H36">C12</f>
        <v>15.4</v>
      </c>
      <c r="E10" s="16">
        <f>Inputs!E284</f>
        <v>15.4</v>
      </c>
      <c r="F10" s="17">
        <f t="shared" si="14" ref="F10:F36">D12</f>
        <v>15.3</v>
      </c>
      <c r="G10" s="17">
        <f t="shared" si="1"/>
        <v>15.3</v>
      </c>
      <c r="H10" s="52">
        <f t="shared" si="1"/>
        <v>14.6</v>
      </c>
      <c r="I10" s="1"/>
      <c r="J10" s="4" t="s">
        <v>175</v>
      </c>
      <c r="K10" s="1"/>
      <c r="L10" s="1"/>
      <c r="M10" s="1"/>
    </row>
    <row r="11" ht="15" customHeight="1">
      <c r="A11" s="1"/>
      <c r="B11" s="1" t="s">
        <v>176</v>
      </c>
      <c r="C11" s="17">
        <f t="shared" si="2" ref="C11:H37">C12-C10</f>
        <v>0</v>
      </c>
      <c r="D11" s="17">
        <f t="shared" si="2"/>
        <v>-0.09999999999999964</v>
      </c>
      <c r="E11" s="17">
        <f t="shared" si="2"/>
        <v>-0.09999999999999964</v>
      </c>
      <c r="F11" s="17">
        <f t="shared" si="2"/>
        <v>0</v>
      </c>
      <c r="G11" s="17">
        <f t="shared" si="2"/>
        <v>-0.7000000000000011</v>
      </c>
      <c r="H11" s="32">
        <v>-0.3</v>
      </c>
      <c r="I11" s="1"/>
      <c r="J11" s="4" t="s">
        <v>232</v>
      </c>
      <c r="K11" s="1"/>
      <c r="L11" s="1"/>
      <c r="M11" s="1"/>
    </row>
    <row r="12" ht="15" customHeight="1">
      <c r="A12" s="1"/>
      <c r="B12" s="3" t="s">
        <v>109</v>
      </c>
      <c r="C12" s="33">
        <v>15.4</v>
      </c>
      <c r="D12" s="33">
        <v>15.3</v>
      </c>
      <c r="E12" s="33">
        <v>15.3</v>
      </c>
      <c r="F12" s="33">
        <v>15.3</v>
      </c>
      <c r="G12" s="33">
        <v>14.6</v>
      </c>
      <c r="H12" s="34">
        <f>H10+H11</f>
        <v>14.299999999999999</v>
      </c>
      <c r="I12" s="1"/>
      <c r="J12" s="4" t="s">
        <v>69</v>
      </c>
      <c r="K12" s="1"/>
      <c r="L12" s="1"/>
      <c r="M12" s="1"/>
    </row>
    <row r="13" ht="15" customHeight="1">
      <c r="A13" s="1"/>
      <c r="B13" s="35" t="s">
        <v>70</v>
      </c>
      <c r="C13" s="36">
        <f>C12/Inputs!C284-1</f>
        <v>-0.006451612903225823</v>
      </c>
      <c r="D13" s="36">
        <f>D12/Inputs!D284-1</f>
        <v>-0.00649350649350644</v>
      </c>
      <c r="E13" s="36">
        <f>E12/Inputs!E284-1</f>
        <v>-0.00649350649350644</v>
      </c>
      <c r="F13" s="36">
        <f>F12/Inputs!F284-1</f>
        <v>-0.012903225806451535</v>
      </c>
      <c r="G13" s="36">
        <f>G12/Inputs!G284-1</f>
        <v>-0.051948051948051965</v>
      </c>
      <c r="H13" s="37">
        <f t="shared" si="5" ref="H13:H130">H12/C12-1</f>
        <v>-0.07142857142857151</v>
      </c>
      <c r="I13" s="1"/>
      <c r="J13" s="1"/>
      <c r="K13" s="1"/>
      <c r="L13" s="1"/>
      <c r="M13" s="1"/>
    </row>
    <row r="14" ht="15" customHeight="1">
      <c r="A14" s="1"/>
      <c r="B14" s="35" t="s">
        <v>71</v>
      </c>
      <c r="C14" s="27">
        <f>C12-Inputs!C284</f>
        <v>-0.09999999999999964</v>
      </c>
      <c r="D14" s="27">
        <f>D12-Inputs!D284</f>
        <v>-0.09999999999999964</v>
      </c>
      <c r="E14" s="27">
        <f>E12-Inputs!E284</f>
        <v>-0.09999999999999964</v>
      </c>
      <c r="F14" s="27">
        <f>F12-Inputs!F284</f>
        <v>-0.1999999999999993</v>
      </c>
      <c r="G14" s="27">
        <f>G12-Inputs!G284</f>
        <v>-0.8000000000000007</v>
      </c>
      <c r="H14" s="38">
        <f t="shared" si="7" ref="H14:H123">H12-C12</f>
        <v>-1.1000000000000014</v>
      </c>
      <c r="I14" s="1"/>
      <c r="J14" s="1"/>
      <c r="K14" s="1"/>
      <c r="L14" s="1"/>
      <c r="M14" s="1"/>
    </row>
    <row r="15" ht="15" customHeight="1">
      <c r="A15" s="1"/>
      <c r="B15" s="35" t="s">
        <v>73</v>
      </c>
      <c r="C15" s="27">
        <f>C12-Inputs!G284</f>
        <v>0</v>
      </c>
      <c r="D15" s="40">
        <f t="shared" si="3" ref="D15:H124">D12-C12</f>
        <v>-0.09999999999999964</v>
      </c>
      <c r="E15" s="1"/>
      <c r="F15" s="40">
        <f t="shared" si="8" ref="F15:F124">F12-D12</f>
        <v>0</v>
      </c>
      <c r="G15" s="40">
        <f t="shared" si="3"/>
        <v>-0.7000000000000011</v>
      </c>
      <c r="H15" s="38">
        <f t="shared" si="3"/>
        <v>-0.3000000000000007</v>
      </c>
      <c r="I15" s="1"/>
      <c r="J15" s="1"/>
      <c r="K15" s="1"/>
      <c r="L15" s="1"/>
      <c r="M15" s="1"/>
    </row>
    <row r="16" ht="15" customHeight="1">
      <c r="A16" s="1"/>
      <c r="B16" s="1" t="s">
        <v>111</v>
      </c>
      <c r="C16" s="17">
        <f t="shared" si="4" ref="C16:H42">AVERAGE(C10,C12)</f>
        <v>15.4</v>
      </c>
      <c r="D16" s="17">
        <f t="shared" si="4"/>
        <v>15.350000000000001</v>
      </c>
      <c r="E16" s="17">
        <f t="shared" si="4"/>
        <v>15.350000000000001</v>
      </c>
      <c r="F16" s="17">
        <f t="shared" si="4"/>
        <v>15.3</v>
      </c>
      <c r="G16" s="17">
        <f t="shared" si="4"/>
        <v>14.95</v>
      </c>
      <c r="H16" s="52">
        <f t="shared" si="4"/>
        <v>14.45</v>
      </c>
      <c r="I16" s="1"/>
      <c r="J16" s="1"/>
      <c r="K16" s="1"/>
      <c r="L16" s="1"/>
      <c r="M16" s="1"/>
    </row>
    <row r="17" ht="15" customHeight="1">
      <c r="A17" s="1"/>
      <c r="B17" s="35" t="s">
        <v>70</v>
      </c>
      <c r="C17" s="43" t="s">
        <v>35</v>
      </c>
      <c r="D17" s="43" t="s">
        <v>35</v>
      </c>
      <c r="E17" s="43" t="s">
        <v>35</v>
      </c>
      <c r="F17" s="43" t="s">
        <v>35</v>
      </c>
      <c r="G17" s="43" t="s">
        <v>35</v>
      </c>
      <c r="H17" s="37">
        <f t="shared" si="5"/>
        <v>-0.06168831168831179</v>
      </c>
      <c r="I17" s="1"/>
      <c r="J17" s="1"/>
      <c r="K17" s="1"/>
      <c r="L17" s="1"/>
      <c r="M17" s="1"/>
    </row>
    <row r="18" ht="15" customHeight="1">
      <c r="A18" s="1"/>
      <c r="B18" s="35" t="s">
        <v>73</v>
      </c>
      <c r="C18" s="27">
        <f>C16-AVERAGE(Inputs!F284,Inputs!G284)</f>
        <v>-0.049999999999998934</v>
      </c>
      <c r="D18" s="40">
        <f t="shared" si="6" ref="D18:H99">D16-C16</f>
        <v>-0.049999999999998934</v>
      </c>
      <c r="E18" s="1"/>
      <c r="F18" s="40">
        <f t="shared" si="20" ref="F18:F99">F16-D16</f>
        <v>-0.05000000000000071</v>
      </c>
      <c r="G18" s="40">
        <f t="shared" si="6"/>
        <v>-0.3500000000000014</v>
      </c>
      <c r="H18" s="38">
        <f t="shared" si="6"/>
        <v>-0.5</v>
      </c>
      <c r="I18" s="1"/>
      <c r="J18" s="1"/>
      <c r="K18" s="1"/>
      <c r="L18" s="1"/>
      <c r="M18" s="1"/>
    </row>
    <row r="19" ht="15" customHeight="1">
      <c r="A19" s="1"/>
      <c r="B19" s="1" t="s">
        <v>185</v>
      </c>
      <c r="C19" s="55">
        <v>8833</v>
      </c>
      <c r="D19" s="55">
        <v>9151</v>
      </c>
      <c r="E19" s="55">
        <v>35153</v>
      </c>
      <c r="F19" s="55">
        <v>8793</v>
      </c>
      <c r="G19" s="55">
        <v>9607</v>
      </c>
      <c r="H19" s="60">
        <v>9800</v>
      </c>
      <c r="I19" s="1"/>
      <c r="J19" s="4" t="s">
        <v>233</v>
      </c>
      <c r="K19" s="1"/>
      <c r="L19" s="1"/>
      <c r="M19" s="1"/>
    </row>
    <row r="20" ht="15" customHeight="1">
      <c r="A20" s="1"/>
      <c r="B20" s="35" t="s">
        <v>70</v>
      </c>
      <c r="C20" s="36">
        <f>C19/Inputs!C285-1</f>
        <v>0.04236488081189527</v>
      </c>
      <c r="D20" s="36">
        <f>D19/Inputs!D285-1</f>
        <v>0.0394139027714675</v>
      </c>
      <c r="E20" s="36">
        <f>E19/Inputs!E285-1</f>
        <v>0.02997363023732791</v>
      </c>
      <c r="F20" s="36">
        <f>F19/Inputs!F285-1</f>
        <v>0.04928400954653944</v>
      </c>
      <c r="G20" s="36">
        <f>G19/Inputs!G285-1</f>
        <v>0.09394215440674114</v>
      </c>
      <c r="H20" s="37">
        <f t="shared" si="5"/>
        <v>0.10947582927657651</v>
      </c>
      <c r="I20" s="1"/>
      <c r="J20" s="1"/>
      <c r="K20" s="1"/>
      <c r="L20" s="1"/>
      <c r="M20" s="1"/>
    </row>
    <row r="21" ht="15" customHeight="1">
      <c r="A21" s="1"/>
      <c r="B21" s="35" t="s">
        <v>71</v>
      </c>
      <c r="C21" s="57">
        <f>C19-Inputs!C285</f>
        <v>359</v>
      </c>
      <c r="D21" s="57">
        <f>D19-Inputs!D285</f>
        <v>347</v>
      </c>
      <c r="E21" s="57">
        <f>E19-Inputs!E285</f>
        <v>1023</v>
      </c>
      <c r="F21" s="57">
        <f>F19-Inputs!F285</f>
        <v>413</v>
      </c>
      <c r="G21" s="57">
        <f>G19-Inputs!G285</f>
        <v>825</v>
      </c>
      <c r="H21" s="58">
        <f t="shared" si="7"/>
        <v>967</v>
      </c>
      <c r="I21" s="1"/>
      <c r="J21" s="1"/>
      <c r="K21" s="1"/>
      <c r="L21" s="1"/>
      <c r="M21" s="1"/>
    </row>
    <row r="22" ht="15" customHeight="1">
      <c r="A22" s="1"/>
      <c r="B22" s="35" t="s">
        <v>73</v>
      </c>
      <c r="C22" s="57">
        <f>C19-Inputs!G285</f>
        <v>51</v>
      </c>
      <c r="D22" s="59">
        <f t="shared" si="3"/>
        <v>318</v>
      </c>
      <c r="E22" s="1"/>
      <c r="F22" s="59">
        <f t="shared" si="8"/>
        <v>-358</v>
      </c>
      <c r="G22" s="59">
        <f t="shared" si="3"/>
        <v>814</v>
      </c>
      <c r="H22" s="58">
        <f t="shared" si="3"/>
        <v>193</v>
      </c>
      <c r="I22" s="1"/>
      <c r="J22" s="1"/>
      <c r="K22" s="1"/>
      <c r="L22" s="1"/>
      <c r="M22" s="1"/>
    </row>
    <row r="23" ht="15" customHeight="1">
      <c r="A23" s="1"/>
      <c r="B23" s="3" t="s">
        <v>187</v>
      </c>
      <c r="C23" s="33">
        <v>136.3</v>
      </c>
      <c r="D23" s="33">
        <v>140.9</v>
      </c>
      <c r="E23" s="33">
        <v>541.9</v>
      </c>
      <c r="F23" s="33">
        <v>134.4</v>
      </c>
      <c r="G23" s="33">
        <v>141.8</v>
      </c>
      <c r="H23" s="34">
        <f>H16*H19/1000</f>
        <v>141.61</v>
      </c>
      <c r="I23" s="1"/>
      <c r="J23" s="4" t="s">
        <v>188</v>
      </c>
      <c r="K23" s="1"/>
      <c r="L23" s="1"/>
      <c r="M23" s="1"/>
    </row>
    <row r="24" ht="15" customHeight="1">
      <c r="A24" s="1"/>
      <c r="B24" s="35" t="s">
        <v>70</v>
      </c>
      <c r="C24" s="36">
        <f>C23/Inputs!C283-1</f>
        <v>0.04045801526717563</v>
      </c>
      <c r="D24" s="36">
        <f>D23/Inputs!D283-1</f>
        <v>0.036029411764705976</v>
      </c>
      <c r="E24" s="36">
        <f>E23/Inputs!E283-1</f>
        <v>0.029249762583095862</v>
      </c>
      <c r="F24" s="36">
        <f>F23/Inputs!F283-1</f>
        <v>0.040247678018576094</v>
      </c>
      <c r="G24" s="36">
        <f>G23/Inputs!G283-1</f>
        <v>0.04649446494464948</v>
      </c>
      <c r="H24" s="37">
        <f t="shared" si="5"/>
        <v>0.03895818048422606</v>
      </c>
      <c r="I24" s="1"/>
      <c r="J24" s="1"/>
      <c r="K24" s="1"/>
      <c r="L24" s="1"/>
      <c r="M24" s="1"/>
    </row>
    <row r="25" ht="15" customHeight="1">
      <c r="A25" s="1"/>
      <c r="B25" s="35" t="s">
        <v>71</v>
      </c>
      <c r="C25" s="27">
        <f>C23-Inputs!C283</f>
        <v>5.300000000000011</v>
      </c>
      <c r="D25" s="27">
        <f>D23-Inputs!D283</f>
        <v>4.900000000000006</v>
      </c>
      <c r="E25" s="27">
        <f>E23-Inputs!E283</f>
        <v>15.399999999999977</v>
      </c>
      <c r="F25" s="27">
        <f>F23-Inputs!F283</f>
        <v>5.200000000000017</v>
      </c>
      <c r="G25" s="27">
        <f>G23-Inputs!G283</f>
        <v>6.300000000000011</v>
      </c>
      <c r="H25" s="38">
        <f t="shared" si="7"/>
        <v>5.310000000000002</v>
      </c>
      <c r="I25" s="1"/>
      <c r="J25" s="1"/>
      <c r="K25" s="1"/>
      <c r="L25" s="1"/>
      <c r="M25" s="1"/>
    </row>
    <row r="26" ht="15" customHeight="1">
      <c r="A26" s="1"/>
      <c r="B26" s="35" t="s">
        <v>72</v>
      </c>
      <c r="C26" s="36">
        <f>C23/Inputs!G283-1</f>
        <v>0.005904059040590548</v>
      </c>
      <c r="D26" s="39">
        <f t="shared" si="9" ref="D26:H26">D23/C23-1</f>
        <v>0.03374908290535572</v>
      </c>
      <c r="E26" s="1"/>
      <c r="F26" s="39">
        <f>F23/D23-1</f>
        <v>-0.046132008516678535</v>
      </c>
      <c r="G26" s="39">
        <f t="shared" si="9"/>
        <v>0.05505952380952395</v>
      </c>
      <c r="H26" s="37">
        <f t="shared" si="9"/>
        <v>-0.0013399153737658764</v>
      </c>
      <c r="I26" s="1"/>
      <c r="J26" s="1"/>
      <c r="K26" s="1"/>
      <c r="L26" s="1"/>
      <c r="M26" s="1"/>
    </row>
    <row r="27" ht="15" customHeight="1">
      <c r="A27" s="1"/>
      <c r="B27" s="35" t="s">
        <v>73</v>
      </c>
      <c r="C27" s="27">
        <f>C23-Inputs!G283</f>
        <v>0.8000000000000114</v>
      </c>
      <c r="D27" s="40">
        <f t="shared" si="10" ref="D27:H27">D23-C23</f>
        <v>4.599999999999994</v>
      </c>
      <c r="E27" s="1"/>
      <c r="F27" s="40">
        <f>F23-D23</f>
        <v>-6.5</v>
      </c>
      <c r="G27" s="40">
        <f t="shared" si="10"/>
        <v>7.400000000000006</v>
      </c>
      <c r="H27" s="38">
        <f t="shared" si="10"/>
        <v>-0.18999999999999773</v>
      </c>
      <c r="I27" s="1"/>
      <c r="J27" s="1"/>
      <c r="K27" s="1"/>
      <c r="L27" s="1"/>
      <c r="M27" s="1"/>
    </row>
    <row r="28" ht="15" customHeight="1">
      <c r="A28" s="1"/>
      <c r="B28" s="41" t="s">
        <v>234</v>
      </c>
      <c r="C28" s="50">
        <v>0.04</v>
      </c>
      <c r="D28" s="50">
        <v>0.04</v>
      </c>
      <c r="E28" s="50">
        <v>0.03</v>
      </c>
      <c r="F28" s="50">
        <v>0.04</v>
      </c>
      <c r="G28" s="50">
        <v>0.05</v>
      </c>
      <c r="H28" s="37">
        <f>H24</f>
        <v>0.03895818048422606</v>
      </c>
      <c r="I28" s="1"/>
      <c r="J28" s="4" t="s">
        <v>235</v>
      </c>
      <c r="K28" s="1"/>
      <c r="L28" s="1"/>
      <c r="M28" s="1"/>
    </row>
    <row r="29" ht="15" customHeight="1">
      <c r="A29" s="1"/>
      <c r="B29" s="41" t="s">
        <v>236</v>
      </c>
      <c r="C29" s="50">
        <v>0.04</v>
      </c>
      <c r="D29" s="50">
        <v>0.03</v>
      </c>
      <c r="E29" s="50">
        <v>0.03</v>
      </c>
      <c r="F29" s="50">
        <v>0.04</v>
      </c>
      <c r="G29" s="50">
        <v>0.05</v>
      </c>
      <c r="H29" s="37">
        <f>(1+H28)/(1+H31)-1</f>
        <v>0.03895818048422606</v>
      </c>
      <c r="I29" s="1"/>
      <c r="J29" s="4" t="s">
        <v>235</v>
      </c>
      <c r="K29" s="1"/>
      <c r="L29" s="1"/>
      <c r="M29" s="1"/>
    </row>
    <row r="30" ht="15" customHeight="1">
      <c r="A30" s="1"/>
      <c r="B30" s="41" t="s">
        <v>74</v>
      </c>
      <c r="C30" s="39">
        <f t="shared" si="11" ref="C30:H30">C24</f>
        <v>0.04045801526717563</v>
      </c>
      <c r="D30" s="39">
        <f t="shared" si="11"/>
        <v>0.036029411764705976</v>
      </c>
      <c r="E30" s="39">
        <f t="shared" si="11"/>
        <v>0.029249762583095862</v>
      </c>
      <c r="F30" s="39">
        <f t="shared" si="11"/>
        <v>0.040247678018576094</v>
      </c>
      <c r="G30" s="39">
        <f t="shared" si="11"/>
        <v>0.04649446494464948</v>
      </c>
      <c r="H30" s="37">
        <f t="shared" si="11"/>
        <v>0.03895818048422606</v>
      </c>
      <c r="I30" s="1"/>
      <c r="J30" s="1"/>
      <c r="K30" s="1"/>
      <c r="L30" s="1"/>
      <c r="M30" s="1"/>
    </row>
    <row r="31" ht="15" customHeight="1">
      <c r="A31" s="1"/>
      <c r="B31" s="41" t="s">
        <v>75</v>
      </c>
      <c r="C31" s="39">
        <f t="shared" si="12" ref="C31:G31">(1+C28)/(1+C29)-1</f>
        <v>0</v>
      </c>
      <c r="D31" s="39">
        <f t="shared" si="12"/>
        <v>0.009708737864077666</v>
      </c>
      <c r="E31" s="39">
        <f t="shared" si="12"/>
        <v>0</v>
      </c>
      <c r="F31" s="39">
        <f t="shared" si="12"/>
        <v>0</v>
      </c>
      <c r="G31" s="39">
        <f t="shared" si="12"/>
        <v>0</v>
      </c>
      <c r="H31" s="66">
        <v>0</v>
      </c>
      <c r="I31" s="1"/>
      <c r="J31" s="4" t="s">
        <v>237</v>
      </c>
      <c r="K31" s="1"/>
      <c r="L31" s="1"/>
      <c r="M31" s="1"/>
    </row>
    <row r="32" ht="15" customHeight="1">
      <c r="A32" s="1"/>
      <c r="B32" s="41" t="s">
        <v>77</v>
      </c>
      <c r="C32" s="43" t="s">
        <v>35</v>
      </c>
      <c r="D32" s="43" t="s">
        <v>35</v>
      </c>
      <c r="E32" s="43" t="s">
        <v>35</v>
      </c>
      <c r="F32" s="43" t="s">
        <v>35</v>
      </c>
      <c r="G32" s="43" t="s">
        <v>35</v>
      </c>
      <c r="H32" s="44" t="s">
        <v>35</v>
      </c>
      <c r="I32" s="1"/>
      <c r="J32" s="1"/>
      <c r="K32" s="1"/>
      <c r="L32" s="1"/>
      <c r="M32" s="1"/>
    </row>
    <row r="33" ht="15" customHeight="1">
      <c r="A33" s="1"/>
      <c r="B33" s="41" t="s">
        <v>78</v>
      </c>
      <c r="C33" s="45" t="str">
        <f t="shared" si="13" ref="C33:H93">IF(AND(ISNUMBER(C30),ISNUMBER(C31),ISNUMBER(C32)),(1+C30)/((1+C32)*(1+C31))-1,"unavailable")</f>
        <v>unavailable</v>
      </c>
      <c r="D33" s="45" t="str">
        <f t="shared" si="13"/>
        <v>unavailable</v>
      </c>
      <c r="E33" s="45" t="str">
        <f t="shared" si="13"/>
        <v>unavailable</v>
      </c>
      <c r="F33" s="45" t="str">
        <f t="shared" si="13"/>
        <v>unavailable</v>
      </c>
      <c r="G33" s="45" t="str">
        <f t="shared" si="13"/>
        <v>unavailable</v>
      </c>
      <c r="H33" s="46" t="str">
        <f t="shared" si="13"/>
        <v>unavailable</v>
      </c>
      <c r="I33" s="1"/>
      <c r="J33" s="1"/>
      <c r="K33" s="1"/>
      <c r="L33" s="1"/>
      <c r="M33" s="1"/>
    </row>
    <row r="34" ht="15" customHeight="1">
      <c r="A34" s="1"/>
      <c r="B34" s="1"/>
      <c r="C34" s="1"/>
      <c r="D34" s="1"/>
      <c r="E34" s="1"/>
      <c r="F34" s="1"/>
      <c r="G34" s="1"/>
      <c r="H34" s="29"/>
      <c r="I34" s="1"/>
      <c r="J34" s="1"/>
      <c r="K34" s="1"/>
      <c r="L34" s="1"/>
      <c r="M34" s="1"/>
    </row>
    <row r="35" ht="15" customHeight="1">
      <c r="A35" s="1"/>
      <c r="B35" s="30" t="s">
        <v>190</v>
      </c>
      <c r="C35" s="1"/>
      <c r="D35" s="1"/>
      <c r="E35" s="1"/>
      <c r="F35" s="1"/>
      <c r="G35" s="1"/>
      <c r="H35" s="29"/>
      <c r="I35" s="1"/>
      <c r="J35" s="1"/>
      <c r="K35" s="1"/>
      <c r="L35" s="1"/>
      <c r="M35" s="1"/>
    </row>
    <row r="36" ht="15" customHeight="1">
      <c r="A36" s="1"/>
      <c r="B36" s="1" t="s">
        <v>191</v>
      </c>
      <c r="C36" s="16">
        <f>Inputs!G286</f>
        <v>55098</v>
      </c>
      <c r="D36" s="17">
        <f t="shared" si="1"/>
        <v>57379</v>
      </c>
      <c r="E36" s="16">
        <f>Inputs!E286</f>
        <v>54592</v>
      </c>
      <c r="F36" s="17">
        <f t="shared" si="14"/>
        <v>56086</v>
      </c>
      <c r="G36" s="17">
        <f t="shared" si="1"/>
        <v>58754</v>
      </c>
      <c r="H36" s="52">
        <f t="shared" si="1"/>
        <v>58952</v>
      </c>
      <c r="I36" s="1"/>
      <c r="J36" s="1"/>
      <c r="K36" s="1"/>
      <c r="L36" s="1"/>
      <c r="M36" s="1"/>
    </row>
    <row r="37" ht="15" customHeight="1">
      <c r="A37" s="1"/>
      <c r="B37" s="1" t="s">
        <v>192</v>
      </c>
      <c r="C37" s="17">
        <f t="shared" si="2"/>
        <v>2281</v>
      </c>
      <c r="D37" s="17">
        <f t="shared" si="2"/>
        <v>-1293</v>
      </c>
      <c r="E37" s="17">
        <f t="shared" si="2"/>
        <v>1494</v>
      </c>
      <c r="F37" s="17">
        <f t="shared" si="2"/>
        <v>2668</v>
      </c>
      <c r="G37" s="17">
        <f t="shared" si="2"/>
        <v>198</v>
      </c>
      <c r="H37" s="52">
        <f t="shared" si="2"/>
        <v>648</v>
      </c>
      <c r="I37" s="1"/>
      <c r="J37" s="1"/>
      <c r="K37" s="1"/>
      <c r="L37" s="1"/>
      <c r="M37" s="1"/>
    </row>
    <row r="38" ht="15" customHeight="1">
      <c r="A38" s="1"/>
      <c r="B38" s="3" t="s">
        <v>193</v>
      </c>
      <c r="C38" s="33">
        <v>57379</v>
      </c>
      <c r="D38" s="33">
        <v>56086</v>
      </c>
      <c r="E38" s="33">
        <v>56086</v>
      </c>
      <c r="F38" s="33">
        <v>58754</v>
      </c>
      <c r="G38" s="33">
        <v>58952</v>
      </c>
      <c r="H38" s="65">
        <v>59600</v>
      </c>
      <c r="I38" s="1"/>
      <c r="J38" s="4" t="s">
        <v>238</v>
      </c>
      <c r="K38" s="1"/>
      <c r="L38" s="1"/>
      <c r="M38" s="1"/>
    </row>
    <row r="39" ht="15" customHeight="1">
      <c r="A39" s="1"/>
      <c r="B39" s="35" t="s">
        <v>70</v>
      </c>
      <c r="C39" s="36">
        <f>C38/Inputs!C286-1</f>
        <v>0.020797011207970062</v>
      </c>
      <c r="D39" s="36">
        <f>D38/Inputs!D286-1</f>
        <v>0.02736664712778425</v>
      </c>
      <c r="E39" s="36">
        <f>E38/Inputs!E286-1</f>
        <v>0.02736664712778425</v>
      </c>
      <c r="F39" s="36">
        <f>F38/Inputs!F286-1</f>
        <v>0.023374904201212354</v>
      </c>
      <c r="G39" s="36">
        <f>G38/Inputs!G286-1</f>
        <v>0.06994809248974554</v>
      </c>
      <c r="H39" s="37">
        <f t="shared" si="5"/>
        <v>0.03870754108646013</v>
      </c>
      <c r="I39" s="1"/>
      <c r="J39" s="1"/>
      <c r="K39" s="1"/>
      <c r="L39" s="1"/>
      <c r="M39" s="1"/>
    </row>
    <row r="40" ht="15" customHeight="1">
      <c r="A40" s="1"/>
      <c r="B40" s="35" t="s">
        <v>71</v>
      </c>
      <c r="C40" s="27">
        <f>C38-Inputs!C286</f>
        <v>1169</v>
      </c>
      <c r="D40" s="27">
        <f>D38-Inputs!D286</f>
        <v>1494</v>
      </c>
      <c r="E40" s="27">
        <f>E38-Inputs!E286</f>
        <v>1494</v>
      </c>
      <c r="F40" s="27">
        <f>F38-Inputs!F286</f>
        <v>1342</v>
      </c>
      <c r="G40" s="27">
        <f>G38-Inputs!G286</f>
        <v>3854</v>
      </c>
      <c r="H40" s="38">
        <f t="shared" si="7"/>
        <v>2221</v>
      </c>
      <c r="I40" s="1"/>
      <c r="J40" s="1"/>
      <c r="K40" s="1"/>
      <c r="L40" s="1"/>
      <c r="M40" s="1"/>
    </row>
    <row r="41" ht="15" customHeight="1">
      <c r="A41" s="1"/>
      <c r="B41" s="35" t="s">
        <v>73</v>
      </c>
      <c r="C41" s="27">
        <f>C38-Inputs!G286</f>
        <v>2281</v>
      </c>
      <c r="D41" s="40">
        <f t="shared" si="3"/>
        <v>-1293</v>
      </c>
      <c r="E41" s="1"/>
      <c r="F41" s="40">
        <f t="shared" si="8"/>
        <v>2668</v>
      </c>
      <c r="G41" s="40">
        <f t="shared" si="3"/>
        <v>198</v>
      </c>
      <c r="H41" s="38">
        <f t="shared" si="3"/>
        <v>648</v>
      </c>
      <c r="I41" s="1"/>
      <c r="J41" s="1"/>
      <c r="K41" s="1"/>
      <c r="L41" s="1"/>
      <c r="M41" s="1"/>
    </row>
    <row r="42" ht="15" customHeight="1">
      <c r="A42" s="1"/>
      <c r="B42" s="1" t="s">
        <v>195</v>
      </c>
      <c r="C42" s="53">
        <v>56444</v>
      </c>
      <c r="D42" s="53">
        <v>57689</v>
      </c>
      <c r="E42" s="53">
        <v>56711</v>
      </c>
      <c r="F42" s="53">
        <v>57283</v>
      </c>
      <c r="G42" s="53">
        <v>59287</v>
      </c>
      <c r="H42" s="52">
        <f t="shared" si="4"/>
        <v>59276</v>
      </c>
      <c r="I42" s="1"/>
      <c r="J42" s="4" t="s">
        <v>196</v>
      </c>
      <c r="K42" s="1"/>
      <c r="L42" s="1"/>
      <c r="M42" s="1"/>
    </row>
    <row r="43" ht="15" customHeight="1">
      <c r="A43" s="1"/>
      <c r="B43" s="35" t="s">
        <v>70</v>
      </c>
      <c r="C43" s="43" t="s">
        <v>35</v>
      </c>
      <c r="D43" s="36">
        <f>D42/Inputs!D289-1</f>
        <v>0.02523592031136146</v>
      </c>
      <c r="E43" s="36">
        <f>E42/Inputs!E289-1</f>
        <v>0.04321033074574143</v>
      </c>
      <c r="F43" s="36">
        <f>F42/Inputs!F289-1</f>
        <v>0.03141992869746835</v>
      </c>
      <c r="G43" s="36">
        <f>G42/Inputs!G289-1</f>
        <v>0.03806488890445259</v>
      </c>
      <c r="H43" s="37">
        <f t="shared" si="5"/>
        <v>0.05017362341435749</v>
      </c>
      <c r="I43" s="1"/>
      <c r="J43" s="1"/>
      <c r="K43" s="1"/>
      <c r="L43" s="1"/>
      <c r="M43" s="1"/>
    </row>
    <row r="44" ht="15" customHeight="1">
      <c r="A44" s="1"/>
      <c r="B44" s="35" t="s">
        <v>71</v>
      </c>
      <c r="C44" s="43" t="s">
        <v>35</v>
      </c>
      <c r="D44" s="27">
        <f>D42-Inputs!D289</f>
        <v>1420</v>
      </c>
      <c r="E44" s="27">
        <f>E42-Inputs!E289</f>
        <v>2349</v>
      </c>
      <c r="F44" s="27">
        <f>F42-Inputs!F289</f>
        <v>1745</v>
      </c>
      <c r="G44" s="27">
        <f>G42-Inputs!G289</f>
        <v>2174</v>
      </c>
      <c r="H44" s="38">
        <f t="shared" si="7"/>
        <v>2832</v>
      </c>
      <c r="I44" s="1"/>
      <c r="J44" s="1"/>
      <c r="K44" s="1"/>
      <c r="L44" s="1"/>
      <c r="M44" s="1"/>
    </row>
    <row r="45" ht="15" customHeight="1">
      <c r="A45" s="1"/>
      <c r="B45" s="35" t="s">
        <v>73</v>
      </c>
      <c r="C45" s="27">
        <f>C42-Inputs!G289</f>
        <v>-669</v>
      </c>
      <c r="D45" s="40">
        <f t="shared" si="3"/>
        <v>1245</v>
      </c>
      <c r="E45" s="1"/>
      <c r="F45" s="40">
        <f t="shared" si="8"/>
        <v>-406</v>
      </c>
      <c r="G45" s="40">
        <f t="shared" si="3"/>
        <v>2004</v>
      </c>
      <c r="H45" s="38">
        <f t="shared" si="3"/>
        <v>-11</v>
      </c>
      <c r="I45" s="1"/>
      <c r="J45" s="1"/>
      <c r="K45" s="1"/>
      <c r="L45" s="1"/>
      <c r="M45" s="1"/>
    </row>
    <row r="46" ht="15" customHeight="1">
      <c r="A46" s="1"/>
      <c r="B46" s="4" t="s">
        <v>197</v>
      </c>
      <c r="C46" s="39">
        <f t="shared" si="15" ref="C46:G46">C80/C42*365/C$7</f>
        <v>0.05904274494458532</v>
      </c>
      <c r="D46" s="39">
        <f t="shared" si="15"/>
        <v>0.05996923533760863</v>
      </c>
      <c r="E46" s="39">
        <f t="shared" si="15"/>
        <v>0.05769603780571671</v>
      </c>
      <c r="F46" s="39">
        <f t="shared" si="15"/>
        <v>0.06463911146801359</v>
      </c>
      <c r="G46" s="39">
        <f t="shared" si="15"/>
        <v>0.06163258368632228</v>
      </c>
      <c r="H46" s="66">
        <v>0.061</v>
      </c>
      <c r="I46" s="1"/>
      <c r="J46" s="4" t="s">
        <v>239</v>
      </c>
      <c r="K46" s="1"/>
      <c r="L46" s="1"/>
      <c r="M46" s="1"/>
    </row>
    <row r="47" ht="15" customHeight="1">
      <c r="A47" s="1"/>
      <c r="B47" s="35" t="s">
        <v>81</v>
      </c>
      <c r="C47" s="43" t="s">
        <v>35</v>
      </c>
      <c r="D47" s="47">
        <f>(D46-Inputs!D297)*10000</f>
        <v>82.16667895654722</v>
      </c>
      <c r="E47" s="47">
        <f>(E46-Inputs!E297)*10000</f>
        <v>92.65389830184142</v>
      </c>
      <c r="F47" s="47">
        <f>(F46-Inputs!F297)*10000</f>
        <v>84.11343493333584</v>
      </c>
      <c r="G47" s="47">
        <f>(G46-Inputs!G297)*10000</f>
        <v>61.516718329558195</v>
      </c>
      <c r="H47" s="48">
        <f t="shared" si="17" ref="H47:H132">(H46-C46)*10000</f>
        <v>19.57255055414678</v>
      </c>
      <c r="I47" s="1"/>
      <c r="J47" s="1"/>
      <c r="K47" s="1"/>
      <c r="L47" s="1"/>
      <c r="M47" s="1"/>
    </row>
    <row r="48" ht="15" customHeight="1">
      <c r="A48" s="1"/>
      <c r="B48" s="35" t="s">
        <v>82</v>
      </c>
      <c r="C48" s="47">
        <f>(C46-Inputs!G297)*10000</f>
        <v>35.61833091218859</v>
      </c>
      <c r="D48" s="49">
        <f t="shared" si="16" ref="D48:H133">(D46-C46)*10000</f>
        <v>9.264903930233103</v>
      </c>
      <c r="E48" s="1"/>
      <c r="F48" s="49">
        <f t="shared" si="18" ref="F48:F133">(F46-D46)*10000</f>
        <v>46.69876130404954</v>
      </c>
      <c r="G48" s="49">
        <f t="shared" si="16"/>
        <v>-30.06527781691304</v>
      </c>
      <c r="H48" s="48">
        <f t="shared" si="16"/>
        <v>-6.325836863222828</v>
      </c>
      <c r="I48" s="1"/>
      <c r="J48" s="1"/>
      <c r="K48" s="1"/>
      <c r="L48" s="1"/>
      <c r="M48" s="1"/>
    </row>
    <row r="49" ht="15" customHeight="1">
      <c r="A49" s="1"/>
      <c r="B49" s="4" t="s">
        <v>199</v>
      </c>
      <c r="C49" s="50">
        <v>0.022</v>
      </c>
      <c r="D49" s="50">
        <v>0.022</v>
      </c>
      <c r="E49" s="50">
        <v>0.022</v>
      </c>
      <c r="F49" s="50">
        <v>0.024</v>
      </c>
      <c r="G49" s="50">
        <v>0.023</v>
      </c>
      <c r="H49" s="66">
        <v>0.023</v>
      </c>
      <c r="I49" s="1"/>
      <c r="J49" s="4" t="s">
        <v>240</v>
      </c>
      <c r="K49" s="1"/>
      <c r="L49" s="1"/>
      <c r="M49" s="1"/>
    </row>
    <row r="50" ht="15" customHeight="1">
      <c r="A50" s="1"/>
      <c r="B50" s="35" t="s">
        <v>81</v>
      </c>
      <c r="C50" s="47">
        <f>(C49-Inputs!C287)*10000</f>
        <v>19.999999999999982</v>
      </c>
      <c r="D50" s="47">
        <f>(D49-Inputs!D287)*10000</f>
        <v>19.999999999999982</v>
      </c>
      <c r="E50" s="47">
        <f>(E49-Inputs!E287)*10000</f>
        <v>19.999999999999982</v>
      </c>
      <c r="F50" s="47">
        <f>(F49-Inputs!F287)*10000</f>
        <v>20.000000000000018</v>
      </c>
      <c r="G50" s="47">
        <f>(G49-Inputs!G287)*10000</f>
        <v>10.000000000000009</v>
      </c>
      <c r="H50" s="48">
        <f t="shared" si="17"/>
        <v>10.000000000000009</v>
      </c>
      <c r="I50" s="1"/>
      <c r="J50" s="1"/>
      <c r="K50" s="1"/>
      <c r="L50" s="1"/>
      <c r="M50" s="1"/>
    </row>
    <row r="51" ht="15" customHeight="1">
      <c r="A51" s="1"/>
      <c r="B51" s="35" t="s">
        <v>82</v>
      </c>
      <c r="C51" s="47">
        <f>(C49-Inputs!G287)*10000</f>
        <v>0</v>
      </c>
      <c r="D51" s="49">
        <f t="shared" si="16"/>
        <v>0</v>
      </c>
      <c r="E51" s="1"/>
      <c r="F51" s="49">
        <f t="shared" si="18"/>
        <v>20.000000000000018</v>
      </c>
      <c r="G51" s="49">
        <f t="shared" si="16"/>
        <v>-10.000000000000009</v>
      </c>
      <c r="H51" s="48">
        <f t="shared" si="16"/>
        <v>0</v>
      </c>
      <c r="I51" s="1"/>
      <c r="J51" s="1"/>
      <c r="K51" s="1"/>
      <c r="L51" s="1"/>
      <c r="M51" s="1"/>
    </row>
    <row r="52" ht="15" customHeight="1">
      <c r="A52" s="1"/>
      <c r="B52" s="4" t="s">
        <v>201</v>
      </c>
      <c r="C52" s="50">
        <v>0.023</v>
      </c>
      <c r="D52" s="50">
        <v>0.023</v>
      </c>
      <c r="E52" s="50">
        <v>0.023</v>
      </c>
      <c r="F52" s="50">
        <v>0.025</v>
      </c>
      <c r="G52" s="50">
        <v>0.024</v>
      </c>
      <c r="H52" s="44" t="s">
        <v>35</v>
      </c>
      <c r="I52" s="1"/>
      <c r="J52" s="4" t="s">
        <v>202</v>
      </c>
      <c r="K52" s="1"/>
      <c r="L52" s="1"/>
      <c r="M52" s="1"/>
    </row>
    <row r="53" ht="15" customHeight="1">
      <c r="A53" s="1"/>
      <c r="B53" s="1" t="s">
        <v>203</v>
      </c>
      <c r="C53" s="17">
        <f t="shared" si="19" ref="C53:H53">C49*C42*C$7/365</f>
        <v>312.9935780821918</v>
      </c>
      <c r="D53" s="17">
        <f t="shared" si="19"/>
        <v>319.8973589041096</v>
      </c>
      <c r="E53" s="17">
        <f t="shared" si="19"/>
        <v>1247.6419999999998</v>
      </c>
      <c r="F53" s="17">
        <f t="shared" si="19"/>
        <v>338.9898082191781</v>
      </c>
      <c r="G53" s="17">
        <f t="shared" si="19"/>
        <v>339.96627671232875</v>
      </c>
      <c r="H53" s="52">
        <f t="shared" si="19"/>
        <v>343.6384</v>
      </c>
      <c r="I53" s="1"/>
      <c r="J53" s="4" t="s">
        <v>204</v>
      </c>
      <c r="K53" s="1"/>
      <c r="L53" s="1"/>
      <c r="M53" s="1"/>
    </row>
    <row r="54" ht="15" customHeight="1">
      <c r="A54" s="1"/>
      <c r="B54" s="35" t="s">
        <v>70</v>
      </c>
      <c r="C54" s="43" t="s">
        <v>35</v>
      </c>
      <c r="D54" s="43" t="s">
        <v>35</v>
      </c>
      <c r="E54" s="43" t="s">
        <v>35</v>
      </c>
      <c r="F54" s="43" t="s">
        <v>35</v>
      </c>
      <c r="G54" s="43" t="s">
        <v>35</v>
      </c>
      <c r="H54" s="37">
        <f t="shared" si="5"/>
        <v>0.09790878811501025</v>
      </c>
      <c r="I54" s="1"/>
      <c r="J54" s="1"/>
      <c r="K54" s="1"/>
      <c r="L54" s="1"/>
      <c r="M54" s="1"/>
    </row>
    <row r="55" ht="15" customHeight="1">
      <c r="A55" s="1"/>
      <c r="B55" s="35" t="s">
        <v>73</v>
      </c>
      <c r="C55" s="43" t="s">
        <v>35</v>
      </c>
      <c r="D55" s="40">
        <f t="shared" si="6"/>
        <v>6.903780821917792</v>
      </c>
      <c r="E55" s="1"/>
      <c r="F55" s="40">
        <f t="shared" si="20"/>
        <v>19.092449315068507</v>
      </c>
      <c r="G55" s="40">
        <f t="shared" si="6"/>
        <v>0.9764684931506622</v>
      </c>
      <c r="H55" s="38">
        <f t="shared" si="6"/>
        <v>3.6721232876712406</v>
      </c>
      <c r="I55" s="1"/>
      <c r="J55" s="1"/>
      <c r="K55" s="1"/>
      <c r="L55" s="1"/>
      <c r="M55" s="1"/>
    </row>
    <row r="56" ht="15" customHeight="1">
      <c r="A56" s="1"/>
      <c r="B56" s="4" t="s">
        <v>205</v>
      </c>
      <c r="C56" s="50">
        <v>0.015</v>
      </c>
      <c r="D56" s="50">
        <v>0.015</v>
      </c>
      <c r="E56" s="50">
        <v>0.015</v>
      </c>
      <c r="F56" s="50">
        <v>0.016</v>
      </c>
      <c r="G56" s="50">
        <v>0.014</v>
      </c>
      <c r="H56" s="66">
        <v>0.014</v>
      </c>
      <c r="I56" s="1"/>
      <c r="J56" s="4" t="s">
        <v>241</v>
      </c>
      <c r="K56" s="1"/>
      <c r="L56" s="1"/>
      <c r="M56" s="1"/>
    </row>
    <row r="57" ht="15" customHeight="1">
      <c r="A57" s="1"/>
      <c r="B57" s="35" t="s">
        <v>81</v>
      </c>
      <c r="C57" s="47">
        <f>(C56-Inputs!C288)*10000</f>
        <v>9.999999999999991</v>
      </c>
      <c r="D57" s="47">
        <f>(D56-Inputs!D288)*10000</f>
        <v>0</v>
      </c>
      <c r="E57" s="47">
        <f>(E56-Inputs!E288)*10000</f>
        <v>0</v>
      </c>
      <c r="F57" s="47">
        <f>(F56-Inputs!F288)*10000</f>
        <v>10.000000000000009</v>
      </c>
      <c r="G57" s="47">
        <f>(G56-Inputs!G288)*10000</f>
        <v>-9.999999999999991</v>
      </c>
      <c r="H57" s="48">
        <f t="shared" si="17"/>
        <v>-9.999999999999991</v>
      </c>
      <c r="I57" s="1"/>
      <c r="J57" s="1"/>
      <c r="K57" s="1"/>
      <c r="L57" s="1"/>
      <c r="M57" s="1"/>
    </row>
    <row r="58" ht="15" customHeight="1">
      <c r="A58" s="1"/>
      <c r="B58" s="35" t="s">
        <v>82</v>
      </c>
      <c r="C58" s="47">
        <f>(C56-Inputs!G288)*10000</f>
        <v>0</v>
      </c>
      <c r="D58" s="49">
        <f t="shared" si="16"/>
        <v>0</v>
      </c>
      <c r="E58" s="1"/>
      <c r="F58" s="49">
        <f t="shared" si="18"/>
        <v>10.000000000000009</v>
      </c>
      <c r="G58" s="49">
        <f t="shared" si="16"/>
        <v>-20</v>
      </c>
      <c r="H58" s="48">
        <f t="shared" si="16"/>
        <v>0</v>
      </c>
      <c r="I58" s="1"/>
      <c r="J58" s="1"/>
      <c r="K58" s="1"/>
      <c r="L58" s="1"/>
      <c r="M58" s="1"/>
    </row>
    <row r="59" ht="15" customHeight="1">
      <c r="A59" s="1"/>
      <c r="B59" s="4" t="s">
        <v>242</v>
      </c>
      <c r="C59" s="50">
        <v>0.004</v>
      </c>
      <c r="D59" s="50">
        <v>0.005</v>
      </c>
      <c r="E59" s="50">
        <v>0.005</v>
      </c>
      <c r="F59" s="50">
        <v>0.004</v>
      </c>
      <c r="G59" s="50">
        <v>0.004</v>
      </c>
      <c r="H59" s="66">
        <v>0.004</v>
      </c>
      <c r="I59" s="1"/>
      <c r="J59" s="4" t="s">
        <v>243</v>
      </c>
      <c r="K59" s="1"/>
      <c r="L59" s="1"/>
      <c r="M59" s="1"/>
    </row>
    <row r="60" ht="15" customHeight="1">
      <c r="A60" s="1"/>
      <c r="B60" s="35" t="s">
        <v>81</v>
      </c>
      <c r="C60" s="43" t="s">
        <v>35</v>
      </c>
      <c r="D60" s="43" t="s">
        <v>35</v>
      </c>
      <c r="E60" s="43" t="s">
        <v>35</v>
      </c>
      <c r="F60" s="43" t="s">
        <v>35</v>
      </c>
      <c r="G60" s="43" t="s">
        <v>35</v>
      </c>
      <c r="H60" s="48">
        <f t="shared" si="17"/>
        <v>0</v>
      </c>
      <c r="I60" s="1"/>
      <c r="J60" s="1"/>
      <c r="K60" s="1"/>
      <c r="L60" s="1"/>
      <c r="M60" s="1"/>
    </row>
    <row r="61" ht="15" customHeight="1">
      <c r="A61" s="1"/>
      <c r="B61" s="35" t="s">
        <v>82</v>
      </c>
      <c r="C61" s="43" t="s">
        <v>35</v>
      </c>
      <c r="D61" s="49">
        <f t="shared" si="16"/>
        <v>10</v>
      </c>
      <c r="E61" s="1"/>
      <c r="F61" s="49">
        <f t="shared" si="18"/>
        <v>-10</v>
      </c>
      <c r="G61" s="49">
        <f t="shared" si="16"/>
        <v>0</v>
      </c>
      <c r="H61" s="48">
        <f t="shared" si="16"/>
        <v>0</v>
      </c>
      <c r="I61" s="1"/>
      <c r="J61" s="1"/>
      <c r="K61" s="1"/>
      <c r="L61" s="1"/>
      <c r="M61" s="1"/>
    </row>
    <row r="62" ht="15" customHeight="1">
      <c r="A62" s="1"/>
      <c r="B62" s="1"/>
      <c r="C62" s="1"/>
      <c r="D62" s="1"/>
      <c r="E62" s="1"/>
      <c r="F62" s="1"/>
      <c r="G62" s="1"/>
      <c r="H62" s="29"/>
      <c r="I62" s="1"/>
      <c r="J62" s="1"/>
      <c r="K62" s="1"/>
      <c r="L62" s="1"/>
      <c r="M62" s="1"/>
    </row>
    <row r="63" ht="15" customHeight="1">
      <c r="A63" s="1"/>
      <c r="B63" s="30" t="s">
        <v>207</v>
      </c>
      <c r="C63" s="1"/>
      <c r="D63" s="1"/>
      <c r="E63" s="1"/>
      <c r="F63" s="1"/>
      <c r="G63" s="1"/>
      <c r="H63" s="29"/>
      <c r="I63" s="1"/>
      <c r="J63" s="1"/>
      <c r="K63" s="1"/>
      <c r="L63" s="1"/>
      <c r="M63" s="1"/>
    </row>
    <row r="64" ht="15" customHeight="1">
      <c r="A64" s="1"/>
      <c r="B64" s="1" t="s">
        <v>208</v>
      </c>
      <c r="C64" s="17">
        <f t="shared" si="21" ref="C64:G64">C67/C23*10</f>
        <v>252.4578136463683</v>
      </c>
      <c r="D64" s="17">
        <f t="shared" si="21"/>
        <v>250.24840312278212</v>
      </c>
      <c r="E64" s="17">
        <f t="shared" si="21"/>
        <v>251.96530725226057</v>
      </c>
      <c r="F64" s="17">
        <f t="shared" si="21"/>
        <v>253.57142857142858</v>
      </c>
      <c r="G64" s="17">
        <f t="shared" si="21"/>
        <v>253.2440056417489</v>
      </c>
      <c r="H64" s="32">
        <v>254.5</v>
      </c>
      <c r="I64" s="1"/>
      <c r="J64" s="4" t="s">
        <v>244</v>
      </c>
      <c r="K64" s="1"/>
      <c r="L64" s="1"/>
      <c r="M64" s="1"/>
    </row>
    <row r="65" ht="15" customHeight="1">
      <c r="A65" s="1"/>
      <c r="B65" s="35" t="s">
        <v>81</v>
      </c>
      <c r="C65" s="27">
        <f>(C64-Inputs!C295)*1</f>
        <v>0.24407318835304181</v>
      </c>
      <c r="D65" s="27">
        <f>(D64-Inputs!D295)*1</f>
        <v>1.1307560639586143</v>
      </c>
      <c r="E65" s="27">
        <f>(E64-Inputs!E295)*1</f>
        <v>0.8921828458028358</v>
      </c>
      <c r="F65" s="27">
        <f>(F64-Inputs!F295)*1</f>
        <v>0.8624502432551822</v>
      </c>
      <c r="G65" s="27">
        <f>(G64-Inputs!G295)*1</f>
        <v>0.6978801804943089</v>
      </c>
      <c r="H65" s="38">
        <f t="shared" si="33" ref="H65:H111">(H64-C64)*1</f>
        <v>2.042186353631706</v>
      </c>
      <c r="I65" s="1"/>
      <c r="J65" s="1"/>
      <c r="K65" s="1"/>
      <c r="L65" s="1"/>
      <c r="M65" s="1"/>
    </row>
    <row r="66" ht="15" customHeight="1">
      <c r="A66" s="1"/>
      <c r="B66" s="35" t="s">
        <v>82</v>
      </c>
      <c r="C66" s="27">
        <f>(C64-Inputs!G295)*1</f>
        <v>-0.08831181488631046</v>
      </c>
      <c r="D66" s="40">
        <f t="shared" si="22" ref="D66:H112">(D64-C64)*1</f>
        <v>-2.209410523586172</v>
      </c>
      <c r="E66" s="1"/>
      <c r="F66" s="40">
        <f t="shared" si="34" ref="F66:F112">(F64-D64)*1</f>
        <v>3.3230254486464617</v>
      </c>
      <c r="G66" s="40">
        <f t="shared" si="22"/>
        <v>-0.32742292967967046</v>
      </c>
      <c r="H66" s="38">
        <f t="shared" si="22"/>
        <v>1.2559943582510869</v>
      </c>
      <c r="I66" s="1"/>
      <c r="J66" s="1"/>
      <c r="K66" s="1"/>
      <c r="L66" s="1"/>
      <c r="M66" s="1"/>
    </row>
    <row r="67" ht="15" customHeight="1">
      <c r="A67" s="1"/>
      <c r="B67" s="1" t="s">
        <v>144</v>
      </c>
      <c r="C67" s="53">
        <v>3441</v>
      </c>
      <c r="D67" s="53">
        <v>3526</v>
      </c>
      <c r="E67" s="53">
        <v>13654</v>
      </c>
      <c r="F67" s="53">
        <v>3408</v>
      </c>
      <c r="G67" s="53">
        <v>3591</v>
      </c>
      <c r="H67" s="52">
        <f>H23*H64/10</f>
        <v>3603.9745000000003</v>
      </c>
      <c r="I67" s="1"/>
      <c r="J67" s="4" t="s">
        <v>69</v>
      </c>
      <c r="K67" s="1"/>
      <c r="L67" s="1"/>
      <c r="M67" s="1"/>
    </row>
    <row r="68" ht="15" customHeight="1">
      <c r="A68" s="1"/>
      <c r="B68" s="35" t="s">
        <v>70</v>
      </c>
      <c r="C68" s="36">
        <f>C67/Inputs!C276-1</f>
        <v>0.04146489104116213</v>
      </c>
      <c r="D68" s="36">
        <f>D67/Inputs!D276-1</f>
        <v>0.04073199527744986</v>
      </c>
      <c r="E68" s="36">
        <f>E67/Inputs!E276-1</f>
        <v>0.03290717906044338</v>
      </c>
      <c r="F68" s="36">
        <f>F67/Inputs!F276-1</f>
        <v>0.04379785604900466</v>
      </c>
      <c r="G68" s="36">
        <f>G67/Inputs!G276-1</f>
        <v>0.049386323787258934</v>
      </c>
      <c r="H68" s="37">
        <f t="shared" si="5"/>
        <v>0.047362539959314276</v>
      </c>
      <c r="I68" s="1"/>
      <c r="J68" s="1"/>
      <c r="K68" s="1"/>
      <c r="L68" s="1"/>
      <c r="M68" s="1"/>
    </row>
    <row r="69" ht="15" customHeight="1">
      <c r="A69" s="1"/>
      <c r="B69" s="35" t="s">
        <v>72</v>
      </c>
      <c r="C69" s="36">
        <f>C67/Inputs!G276-1</f>
        <v>0.005552308591467048</v>
      </c>
      <c r="D69" s="39">
        <f t="shared" si="23" ref="D69:H89">D67/C67-1</f>
        <v>0.02470212147631501</v>
      </c>
      <c r="E69" s="1"/>
      <c r="F69" s="39">
        <f t="shared" si="25" ref="F69:F89">F67/D67-1</f>
        <v>-0.03346568349404422</v>
      </c>
      <c r="G69" s="39">
        <f t="shared" si="23"/>
        <v>0.053697183098591506</v>
      </c>
      <c r="H69" s="37">
        <f t="shared" si="23"/>
        <v>0.0036130604288500123</v>
      </c>
      <c r="I69" s="1"/>
      <c r="J69" s="1"/>
      <c r="K69" s="1"/>
      <c r="L69" s="1"/>
      <c r="M69" s="1"/>
    </row>
    <row r="70" ht="15" customHeight="1">
      <c r="A70" s="1"/>
      <c r="B70" s="41" t="s">
        <v>74</v>
      </c>
      <c r="C70" s="39">
        <f t="shared" si="24" ref="C70:H90">C68</f>
        <v>0.04146489104116213</v>
      </c>
      <c r="D70" s="39">
        <f t="shared" si="24"/>
        <v>0.04073199527744986</v>
      </c>
      <c r="E70" s="39">
        <f t="shared" si="24"/>
        <v>0.03290717906044338</v>
      </c>
      <c r="F70" s="39">
        <f t="shared" si="24"/>
        <v>0.04379785604900466</v>
      </c>
      <c r="G70" s="39">
        <f t="shared" si="24"/>
        <v>0.049386323787258934</v>
      </c>
      <c r="H70" s="37">
        <f t="shared" si="24"/>
        <v>0.047362539959314276</v>
      </c>
      <c r="I70" s="1"/>
      <c r="J70" s="1"/>
      <c r="K70" s="1"/>
      <c r="L70" s="1"/>
      <c r="M70" s="1"/>
    </row>
    <row r="71" ht="15" customHeight="1">
      <c r="A71" s="1"/>
      <c r="B71" s="41" t="s">
        <v>75</v>
      </c>
      <c r="C71" s="43" t="s">
        <v>35</v>
      </c>
      <c r="D71" s="43" t="s">
        <v>35</v>
      </c>
      <c r="E71" s="43" t="s">
        <v>35</v>
      </c>
      <c r="F71" s="43" t="s">
        <v>35</v>
      </c>
      <c r="G71" s="43" t="s">
        <v>35</v>
      </c>
      <c r="H71" s="37">
        <f>H31</f>
        <v>0</v>
      </c>
      <c r="I71" s="1"/>
      <c r="J71" s="1"/>
      <c r="K71" s="1"/>
      <c r="L71" s="1"/>
      <c r="M71" s="1"/>
    </row>
    <row r="72" ht="15" customHeight="1">
      <c r="A72" s="1"/>
      <c r="B72" s="41" t="s">
        <v>77</v>
      </c>
      <c r="C72" s="43" t="s">
        <v>35</v>
      </c>
      <c r="D72" s="43" t="s">
        <v>35</v>
      </c>
      <c r="E72" s="43" t="s">
        <v>35</v>
      </c>
      <c r="F72" s="43" t="s">
        <v>35</v>
      </c>
      <c r="G72" s="43" t="s">
        <v>35</v>
      </c>
      <c r="H72" s="44" t="s">
        <v>35</v>
      </c>
      <c r="I72" s="1"/>
      <c r="J72" s="1"/>
      <c r="K72" s="1"/>
      <c r="L72" s="1"/>
      <c r="M72" s="1"/>
    </row>
    <row r="73" ht="15" customHeight="1">
      <c r="A73" s="1"/>
      <c r="B73" s="41" t="s">
        <v>78</v>
      </c>
      <c r="C73" s="45" t="str">
        <f t="shared" si="13"/>
        <v>unavailable</v>
      </c>
      <c r="D73" s="45" t="str">
        <f t="shared" si="13"/>
        <v>unavailable</v>
      </c>
      <c r="E73" s="45" t="str">
        <f t="shared" si="13"/>
        <v>unavailable</v>
      </c>
      <c r="F73" s="45" t="str">
        <f t="shared" si="13"/>
        <v>unavailable</v>
      </c>
      <c r="G73" s="45" t="str">
        <f t="shared" si="13"/>
        <v>unavailable</v>
      </c>
      <c r="H73" s="46" t="str">
        <f t="shared" si="13"/>
        <v>unavailable</v>
      </c>
      <c r="I73" s="1"/>
      <c r="J73" s="1"/>
      <c r="K73" s="1"/>
      <c r="L73" s="1"/>
      <c r="M73" s="1"/>
    </row>
    <row r="74" ht="15" customHeight="1">
      <c r="A74" s="1"/>
      <c r="B74" s="1" t="s">
        <v>210</v>
      </c>
      <c r="C74" s="53">
        <v>1302</v>
      </c>
      <c r="D74" s="53">
        <v>1333</v>
      </c>
      <c r="E74" s="53">
        <v>5077</v>
      </c>
      <c r="F74" s="53">
        <v>1345</v>
      </c>
      <c r="G74" s="53">
        <v>1343</v>
      </c>
      <c r="H74" s="52">
        <f>H80+H77</f>
        <v>1348.0550194721632</v>
      </c>
      <c r="I74" s="1"/>
      <c r="J74" s="4" t="s">
        <v>69</v>
      </c>
      <c r="K74" s="1"/>
      <c r="L74" s="1"/>
      <c r="M74" s="1"/>
    </row>
    <row r="75" ht="15" customHeight="1">
      <c r="A75" s="1"/>
      <c r="B75" s="35" t="s">
        <v>70</v>
      </c>
      <c r="C75" s="36">
        <f>C74/Inputs!C277-1</f>
        <v>0.14010507880910672</v>
      </c>
      <c r="D75" s="36">
        <f>D74/Inputs!D277-1</f>
        <v>0.13350340136054428</v>
      </c>
      <c r="E75" s="36">
        <f>E74/Inputs!E277-1</f>
        <v>0.16072245084590753</v>
      </c>
      <c r="F75" s="36">
        <f>F74/Inputs!F277-1</f>
        <v>0.1189683860232944</v>
      </c>
      <c r="G75" s="36">
        <f>G74/Inputs!G277-1</f>
        <v>0.0830645161290322</v>
      </c>
      <c r="H75" s="37">
        <f t="shared" si="5"/>
        <v>0.03537251879582426</v>
      </c>
      <c r="I75" s="1"/>
      <c r="J75" s="1"/>
      <c r="K75" s="1"/>
      <c r="L75" s="1"/>
      <c r="M75" s="1"/>
    </row>
    <row r="76" ht="15" customHeight="1">
      <c r="A76" s="1"/>
      <c r="B76" s="35" t="s">
        <v>72</v>
      </c>
      <c r="C76" s="36">
        <f>C74/Inputs!G277-1</f>
        <v>0.050000000000000044</v>
      </c>
      <c r="D76" s="39">
        <f t="shared" si="23"/>
        <v>0.023809523809523725</v>
      </c>
      <c r="E76" s="1"/>
      <c r="F76" s="39">
        <f t="shared" si="25"/>
        <v>0.00900225056264059</v>
      </c>
      <c r="G76" s="39">
        <f t="shared" si="23"/>
        <v>-0.0014869888475836923</v>
      </c>
      <c r="H76" s="37">
        <f t="shared" si="23"/>
        <v>0.0037639757797194306</v>
      </c>
      <c r="I76" s="1"/>
      <c r="J76" s="1"/>
      <c r="K76" s="1"/>
      <c r="L76" s="1"/>
      <c r="M76" s="1"/>
    </row>
    <row r="77" ht="15" customHeight="1">
      <c r="A77" s="1"/>
      <c r="B77" s="1" t="s">
        <v>211</v>
      </c>
      <c r="C77" s="53">
        <v>462</v>
      </c>
      <c r="D77" s="53">
        <v>461</v>
      </c>
      <c r="E77" s="53">
        <v>1805</v>
      </c>
      <c r="F77" s="53">
        <v>432</v>
      </c>
      <c r="G77" s="53">
        <v>432</v>
      </c>
      <c r="H77" s="52">
        <f>G77*H42/G42*H$7/G$7</f>
        <v>436.66621947216345</v>
      </c>
      <c r="I77" s="1"/>
      <c r="J77" s="4" t="s">
        <v>212</v>
      </c>
      <c r="K77" s="1"/>
      <c r="L77" s="1"/>
      <c r="M77" s="1"/>
    </row>
    <row r="78" ht="15" customHeight="1">
      <c r="A78" s="1"/>
      <c r="B78" s="35" t="s">
        <v>70</v>
      </c>
      <c r="C78" s="36">
        <f>C77/Inputs!C278-1</f>
        <v>0.03125</v>
      </c>
      <c r="D78" s="36">
        <f>D77/Inputs!D278-1</f>
        <v>0.042986425339366585</v>
      </c>
      <c r="E78" s="36">
        <f>E77/Inputs!E278-1</f>
        <v>0.040945790080738176</v>
      </c>
      <c r="F78" s="36">
        <f>F77/Inputs!F278-1</f>
        <v>0</v>
      </c>
      <c r="G78" s="36">
        <f>G77/Inputs!G278-1</f>
        <v>-0.040000000000000036</v>
      </c>
      <c r="H78" s="37">
        <f t="shared" si="5"/>
        <v>-0.054835022787525056</v>
      </c>
      <c r="I78" s="1"/>
      <c r="J78" s="1"/>
      <c r="K78" s="1"/>
      <c r="L78" s="1"/>
      <c r="M78" s="1"/>
    </row>
    <row r="79" ht="15" customHeight="1">
      <c r="A79" s="1"/>
      <c r="B79" s="35" t="s">
        <v>72</v>
      </c>
      <c r="C79" s="36">
        <f>C77/Inputs!G278-1</f>
        <v>0.026666666666666616</v>
      </c>
      <c r="D79" s="39">
        <f t="shared" si="23"/>
        <v>-0.0021645021645021467</v>
      </c>
      <c r="E79" s="1"/>
      <c r="F79" s="39">
        <f t="shared" si="25"/>
        <v>-0.06290672451193058</v>
      </c>
      <c r="G79" s="39">
        <f t="shared" si="23"/>
        <v>0</v>
      </c>
      <c r="H79" s="37">
        <f t="shared" si="23"/>
        <v>0.010801433963341323</v>
      </c>
      <c r="I79" s="1"/>
      <c r="J79" s="1"/>
      <c r="K79" s="1"/>
      <c r="L79" s="1"/>
      <c r="M79" s="1"/>
    </row>
    <row r="80" ht="15" customHeight="1">
      <c r="A80" s="1"/>
      <c r="B80" s="3" t="s">
        <v>146</v>
      </c>
      <c r="C80" s="63">
        <f t="shared" si="26" ref="C80:G80">C74-C77</f>
        <v>840</v>
      </c>
      <c r="D80" s="63">
        <f t="shared" si="26"/>
        <v>872</v>
      </c>
      <c r="E80" s="63">
        <f t="shared" si="26"/>
        <v>3272</v>
      </c>
      <c r="F80" s="63">
        <f t="shared" si="26"/>
        <v>913</v>
      </c>
      <c r="G80" s="63">
        <f t="shared" si="26"/>
        <v>911</v>
      </c>
      <c r="H80" s="34">
        <f>H42*H46*H$7/365</f>
        <v>911.3887999999998</v>
      </c>
      <c r="I80" s="1"/>
      <c r="J80" s="1"/>
      <c r="K80" s="1"/>
      <c r="L80" s="1"/>
      <c r="M80" s="1"/>
    </row>
    <row r="81" ht="15" customHeight="1">
      <c r="A81" s="1"/>
      <c r="B81" s="35" t="s">
        <v>70</v>
      </c>
      <c r="C81" s="36">
        <f>C80/Inputs!C290-1</f>
        <v>0.21037463976945237</v>
      </c>
      <c r="D81" s="36">
        <f>D80/Inputs!D290-1</f>
        <v>0.1880108991825613</v>
      </c>
      <c r="E81" s="36">
        <f>E80/Inputs!E290-1</f>
        <v>0.2393939393939395</v>
      </c>
      <c r="F81" s="36">
        <f>F80/Inputs!F290-1</f>
        <v>0.18571428571428572</v>
      </c>
      <c r="G81" s="36">
        <f>G80/Inputs!G290-1</f>
        <v>0.15316455696202524</v>
      </c>
      <c r="H81" s="37">
        <f t="shared" si="5"/>
        <v>0.08498666666666654</v>
      </c>
      <c r="I81" s="1"/>
      <c r="J81" s="1"/>
      <c r="K81" s="1"/>
      <c r="L81" s="1"/>
      <c r="M81" s="1"/>
    </row>
    <row r="82" ht="15" customHeight="1">
      <c r="A82" s="1"/>
      <c r="B82" s="35" t="s">
        <v>72</v>
      </c>
      <c r="C82" s="36">
        <f>C80/Inputs!G290-1</f>
        <v>0.06329113924050622</v>
      </c>
      <c r="D82" s="39">
        <f t="shared" si="23"/>
        <v>0.03809523809523818</v>
      </c>
      <c r="E82" s="1"/>
      <c r="F82" s="39">
        <f t="shared" si="25"/>
        <v>0.04701834862385312</v>
      </c>
      <c r="G82" s="39">
        <f t="shared" si="23"/>
        <v>-0.0021905805038334725</v>
      </c>
      <c r="H82" s="37">
        <f t="shared" si="23"/>
        <v>0.00042678375411608904</v>
      </c>
      <c r="I82" s="1"/>
      <c r="J82" s="1"/>
      <c r="K82" s="1"/>
      <c r="L82" s="1"/>
      <c r="M82" s="1"/>
    </row>
    <row r="83" ht="15" customHeight="1">
      <c r="A83" s="1"/>
      <c r="B83" s="41" t="s">
        <v>74</v>
      </c>
      <c r="C83" s="39">
        <f t="shared" si="24"/>
        <v>0.21037463976945237</v>
      </c>
      <c r="D83" s="39">
        <f t="shared" si="24"/>
        <v>0.1880108991825613</v>
      </c>
      <c r="E83" s="39">
        <f t="shared" si="24"/>
        <v>0.2393939393939395</v>
      </c>
      <c r="F83" s="39">
        <f t="shared" si="24"/>
        <v>0.18571428571428572</v>
      </c>
      <c r="G83" s="39">
        <f t="shared" si="24"/>
        <v>0.15316455696202524</v>
      </c>
      <c r="H83" s="37">
        <f t="shared" si="24"/>
        <v>0.08498666666666654</v>
      </c>
      <c r="I83" s="1"/>
      <c r="J83" s="1"/>
      <c r="K83" s="1"/>
      <c r="L83" s="1"/>
      <c r="M83" s="1"/>
    </row>
    <row r="84" ht="15" customHeight="1">
      <c r="A84" s="1"/>
      <c r="B84" s="41" t="s">
        <v>75</v>
      </c>
      <c r="C84" s="43" t="s">
        <v>35</v>
      </c>
      <c r="D84" s="43" t="s">
        <v>35</v>
      </c>
      <c r="E84" s="43" t="s">
        <v>35</v>
      </c>
      <c r="F84" s="43" t="s">
        <v>35</v>
      </c>
      <c r="G84" s="43" t="s">
        <v>35</v>
      </c>
      <c r="H84" s="37">
        <f>H31</f>
        <v>0</v>
      </c>
      <c r="I84" s="1"/>
      <c r="J84" s="1"/>
      <c r="K84" s="1"/>
      <c r="L84" s="1"/>
      <c r="M84" s="1"/>
    </row>
    <row r="85" ht="15" customHeight="1">
      <c r="A85" s="1"/>
      <c r="B85" s="41" t="s">
        <v>77</v>
      </c>
      <c r="C85" s="43" t="s">
        <v>35</v>
      </c>
      <c r="D85" s="43" t="s">
        <v>35</v>
      </c>
      <c r="E85" s="43" t="s">
        <v>35</v>
      </c>
      <c r="F85" s="43" t="s">
        <v>35</v>
      </c>
      <c r="G85" s="43" t="s">
        <v>35</v>
      </c>
      <c r="H85" s="44" t="s">
        <v>35</v>
      </c>
      <c r="I85" s="1"/>
      <c r="J85" s="1"/>
      <c r="K85" s="1"/>
      <c r="L85" s="1"/>
      <c r="M85" s="1"/>
    </row>
    <row r="86" ht="15" customHeight="1">
      <c r="A86" s="1"/>
      <c r="B86" s="41" t="s">
        <v>78</v>
      </c>
      <c r="C86" s="45" t="str">
        <f t="shared" si="13"/>
        <v>unavailable</v>
      </c>
      <c r="D86" s="45" t="str">
        <f t="shared" si="13"/>
        <v>unavailable</v>
      </c>
      <c r="E86" s="45" t="str">
        <f t="shared" si="13"/>
        <v>unavailable</v>
      </c>
      <c r="F86" s="45" t="str">
        <f t="shared" si="13"/>
        <v>unavailable</v>
      </c>
      <c r="G86" s="45" t="str">
        <f t="shared" si="13"/>
        <v>unavailable</v>
      </c>
      <c r="H86" s="46" t="str">
        <f t="shared" si="13"/>
        <v>unavailable</v>
      </c>
      <c r="I86" s="1"/>
      <c r="J86" s="1"/>
      <c r="K86" s="1"/>
      <c r="L86" s="1"/>
      <c r="M86" s="1"/>
    </row>
    <row r="87" ht="15" customHeight="1">
      <c r="A87" s="1"/>
      <c r="B87" s="3" t="s">
        <v>136</v>
      </c>
      <c r="C87" s="63">
        <f t="shared" si="27" ref="C87:H87">C67+C80</f>
        <v>4281</v>
      </c>
      <c r="D87" s="63">
        <f t="shared" si="27"/>
        <v>4398</v>
      </c>
      <c r="E87" s="63">
        <f t="shared" si="27"/>
        <v>16926</v>
      </c>
      <c r="F87" s="63">
        <f t="shared" si="27"/>
        <v>4321</v>
      </c>
      <c r="G87" s="63">
        <f t="shared" si="27"/>
        <v>4502</v>
      </c>
      <c r="H87" s="34">
        <f t="shared" si="27"/>
        <v>4515.3633</v>
      </c>
      <c r="I87" s="1"/>
      <c r="J87" s="1"/>
      <c r="K87" s="1"/>
      <c r="L87" s="1"/>
      <c r="M87" s="1"/>
    </row>
    <row r="88" ht="15" customHeight="1">
      <c r="A88" s="1"/>
      <c r="B88" s="35" t="s">
        <v>70</v>
      </c>
      <c r="C88" s="36">
        <f>C87/Inputs!C291-1</f>
        <v>0.0707853926963482</v>
      </c>
      <c r="D88" s="36">
        <f>D87/Inputs!D291-1</f>
        <v>0.06695778748180503</v>
      </c>
      <c r="E88" s="36">
        <f>E87/Inputs!E291-1</f>
        <v>0.06728040860079454</v>
      </c>
      <c r="F88" s="36">
        <f>F87/Inputs!F291-1</f>
        <v>0.07087980173482022</v>
      </c>
      <c r="G88" s="36">
        <f>G87/Inputs!G291-1</f>
        <v>0.06885090218423562</v>
      </c>
      <c r="H88" s="37">
        <f t="shared" si="5"/>
        <v>0.05474498948843731</v>
      </c>
      <c r="I88" s="1"/>
      <c r="J88" s="1"/>
      <c r="K88" s="1"/>
      <c r="L88" s="1"/>
      <c r="M88" s="1"/>
    </row>
    <row r="89" ht="15" customHeight="1">
      <c r="A89" s="1"/>
      <c r="B89" s="35" t="s">
        <v>72</v>
      </c>
      <c r="C89" s="36">
        <f>C87/Inputs!G291-1</f>
        <v>0.01638176638176647</v>
      </c>
      <c r="D89" s="39">
        <f t="shared" si="23"/>
        <v>0.027330063069376243</v>
      </c>
      <c r="E89" s="1"/>
      <c r="F89" s="39">
        <f t="shared" si="25"/>
        <v>-0.017507958162801263</v>
      </c>
      <c r="G89" s="39">
        <f t="shared" si="23"/>
        <v>0.04188845174728062</v>
      </c>
      <c r="H89" s="37">
        <f t="shared" si="23"/>
        <v>0.002968302976454895</v>
      </c>
      <c r="I89" s="1"/>
      <c r="J89" s="1"/>
      <c r="K89" s="1"/>
      <c r="L89" s="1"/>
      <c r="M89" s="1"/>
    </row>
    <row r="90" ht="15" customHeight="1">
      <c r="A90" s="1"/>
      <c r="B90" s="41" t="s">
        <v>74</v>
      </c>
      <c r="C90" s="39">
        <f t="shared" si="24"/>
        <v>0.0707853926963482</v>
      </c>
      <c r="D90" s="39">
        <f t="shared" si="24"/>
        <v>0.06695778748180503</v>
      </c>
      <c r="E90" s="39">
        <f t="shared" si="24"/>
        <v>0.06728040860079454</v>
      </c>
      <c r="F90" s="39">
        <f t="shared" si="24"/>
        <v>0.07087980173482022</v>
      </c>
      <c r="G90" s="39">
        <f t="shared" si="24"/>
        <v>0.06885090218423562</v>
      </c>
      <c r="H90" s="37">
        <f t="shared" si="24"/>
        <v>0.05474498948843731</v>
      </c>
      <c r="I90" s="1"/>
      <c r="J90" s="1"/>
      <c r="K90" s="1"/>
      <c r="L90" s="1"/>
      <c r="M90" s="1"/>
    </row>
    <row r="91" ht="15" customHeight="1">
      <c r="A91" s="1"/>
      <c r="B91" s="41" t="s">
        <v>75</v>
      </c>
      <c r="C91" s="43" t="s">
        <v>35</v>
      </c>
      <c r="D91" s="43" t="s">
        <v>35</v>
      </c>
      <c r="E91" s="43" t="s">
        <v>35</v>
      </c>
      <c r="F91" s="43" t="s">
        <v>35</v>
      </c>
      <c r="G91" s="43" t="s">
        <v>35</v>
      </c>
      <c r="H91" s="37">
        <f>H31</f>
        <v>0</v>
      </c>
      <c r="I91" s="1"/>
      <c r="J91" s="1"/>
      <c r="K91" s="1"/>
      <c r="L91" s="1"/>
      <c r="M91" s="1"/>
    </row>
    <row r="92" ht="15" customHeight="1">
      <c r="A92" s="1"/>
      <c r="B92" s="41" t="s">
        <v>77</v>
      </c>
      <c r="C92" s="43" t="s">
        <v>35</v>
      </c>
      <c r="D92" s="43" t="s">
        <v>35</v>
      </c>
      <c r="E92" s="43" t="s">
        <v>35</v>
      </c>
      <c r="F92" s="43" t="s">
        <v>35</v>
      </c>
      <c r="G92" s="43" t="s">
        <v>35</v>
      </c>
      <c r="H92" s="44" t="s">
        <v>35</v>
      </c>
      <c r="I92" s="1"/>
      <c r="J92" s="1"/>
      <c r="K92" s="1"/>
      <c r="L92" s="1"/>
      <c r="M92" s="1"/>
    </row>
    <row r="93" ht="15" customHeight="1">
      <c r="A93" s="1"/>
      <c r="B93" s="41" t="s">
        <v>78</v>
      </c>
      <c r="C93" s="45" t="str">
        <f t="shared" si="13"/>
        <v>unavailable</v>
      </c>
      <c r="D93" s="45" t="str">
        <f t="shared" si="13"/>
        <v>unavailable</v>
      </c>
      <c r="E93" s="45" t="str">
        <f t="shared" si="13"/>
        <v>unavailable</v>
      </c>
      <c r="F93" s="45" t="str">
        <f t="shared" si="13"/>
        <v>unavailable</v>
      </c>
      <c r="G93" s="45" t="str">
        <f t="shared" si="13"/>
        <v>unavailable</v>
      </c>
      <c r="H93" s="46" t="str">
        <f t="shared" si="13"/>
        <v>unavailable</v>
      </c>
      <c r="I93" s="1"/>
      <c r="J93" s="1"/>
      <c r="K93" s="1"/>
      <c r="L93" s="1"/>
      <c r="M93" s="1"/>
    </row>
    <row r="94" ht="15" customHeight="1">
      <c r="A94" s="1"/>
      <c r="B94" s="1"/>
      <c r="C94" s="1"/>
      <c r="D94" s="1"/>
      <c r="E94" s="1"/>
      <c r="F94" s="1"/>
      <c r="G94" s="1"/>
      <c r="H94" s="29"/>
      <c r="I94" s="1"/>
      <c r="J94" s="1"/>
      <c r="K94" s="1"/>
      <c r="L94" s="1"/>
      <c r="M94" s="1"/>
    </row>
    <row r="95" ht="15" customHeight="1">
      <c r="A95" s="1"/>
      <c r="B95" s="30" t="s">
        <v>148</v>
      </c>
      <c r="C95" s="1"/>
      <c r="D95" s="1"/>
      <c r="E95" s="1"/>
      <c r="F95" s="1"/>
      <c r="G95" s="1"/>
      <c r="H95" s="29"/>
      <c r="I95" s="1"/>
      <c r="J95" s="1"/>
      <c r="K95" s="1"/>
      <c r="L95" s="1"/>
      <c r="M95" s="1"/>
    </row>
    <row r="96" ht="15" customHeight="1">
      <c r="A96" s="1"/>
      <c r="B96" s="1" t="s">
        <v>213</v>
      </c>
      <c r="C96" s="17">
        <f t="shared" si="28" ref="C96:H96">C53</f>
        <v>312.9935780821918</v>
      </c>
      <c r="D96" s="17">
        <f t="shared" si="28"/>
        <v>319.8973589041096</v>
      </c>
      <c r="E96" s="17">
        <f t="shared" si="28"/>
        <v>1247.6419999999998</v>
      </c>
      <c r="F96" s="17">
        <f t="shared" si="28"/>
        <v>338.9898082191781</v>
      </c>
      <c r="G96" s="17">
        <f t="shared" si="28"/>
        <v>339.96627671232875</v>
      </c>
      <c r="H96" s="52">
        <f t="shared" si="28"/>
        <v>343.6384</v>
      </c>
      <c r="I96" s="1"/>
      <c r="J96" s="1"/>
      <c r="K96" s="1"/>
      <c r="L96" s="1"/>
      <c r="M96" s="1"/>
    </row>
    <row r="97" ht="15" customHeight="1">
      <c r="A97" s="1"/>
      <c r="B97" s="1" t="s">
        <v>214</v>
      </c>
      <c r="C97" s="17">
        <f t="shared" si="29" ref="C97:G97">C100-C96</f>
        <v>19.00642191780821</v>
      </c>
      <c r="D97" s="17">
        <f t="shared" si="29"/>
        <v>39.10264109589042</v>
      </c>
      <c r="E97" s="17">
        <f t="shared" si="29"/>
        <v>132.35800000000017</v>
      </c>
      <c r="F97" s="17">
        <f t="shared" si="29"/>
        <v>41.01019178082191</v>
      </c>
      <c r="G97" s="17">
        <f t="shared" si="29"/>
        <v>13.03372328767125</v>
      </c>
      <c r="H97" s="32">
        <v>20</v>
      </c>
      <c r="I97" s="1"/>
      <c r="J97" s="4" t="s">
        <v>245</v>
      </c>
      <c r="K97" s="1"/>
      <c r="L97" s="1"/>
      <c r="M97" s="1"/>
    </row>
    <row r="98" ht="15" customHeight="1">
      <c r="A98" s="1"/>
      <c r="B98" s="35" t="s">
        <v>70</v>
      </c>
      <c r="C98" s="43" t="s">
        <v>35</v>
      </c>
      <c r="D98" s="43" t="s">
        <v>35</v>
      </c>
      <c r="E98" s="43" t="s">
        <v>35</v>
      </c>
      <c r="F98" s="43" t="s">
        <v>35</v>
      </c>
      <c r="G98" s="43" t="s">
        <v>35</v>
      </c>
      <c r="H98" s="37">
        <f t="shared" si="5"/>
        <v>0.05227591424037836</v>
      </c>
      <c r="I98" s="1"/>
      <c r="J98" s="1"/>
      <c r="K98" s="1"/>
      <c r="L98" s="1"/>
      <c r="M98" s="1"/>
    </row>
    <row r="99" ht="15" customHeight="1">
      <c r="A99" s="1"/>
      <c r="B99" s="35" t="s">
        <v>73</v>
      </c>
      <c r="C99" s="43" t="s">
        <v>35</v>
      </c>
      <c r="D99" s="40">
        <f t="shared" si="6"/>
        <v>20.096219178082208</v>
      </c>
      <c r="E99" s="1"/>
      <c r="F99" s="40">
        <f t="shared" si="20"/>
        <v>1.9075506849314934</v>
      </c>
      <c r="G99" s="40">
        <f t="shared" si="6"/>
        <v>-27.976468493150662</v>
      </c>
      <c r="H99" s="38">
        <f t="shared" si="6"/>
        <v>6.9662767123287495</v>
      </c>
      <c r="I99" s="1"/>
      <c r="J99" s="1"/>
      <c r="K99" s="1"/>
      <c r="L99" s="1"/>
      <c r="M99" s="1"/>
    </row>
    <row r="100" ht="15" customHeight="1">
      <c r="A100" s="1"/>
      <c r="B100" s="3" t="s">
        <v>158</v>
      </c>
      <c r="C100" s="33">
        <v>332</v>
      </c>
      <c r="D100" s="33">
        <v>359</v>
      </c>
      <c r="E100" s="33">
        <v>1380</v>
      </c>
      <c r="F100" s="33">
        <v>380</v>
      </c>
      <c r="G100" s="33">
        <v>353</v>
      </c>
      <c r="H100" s="34">
        <f>H96+H97</f>
        <v>363.6384</v>
      </c>
      <c r="I100" s="1"/>
      <c r="J100" s="4" t="s">
        <v>69</v>
      </c>
      <c r="K100" s="1"/>
      <c r="L100" s="1"/>
      <c r="M100" s="1"/>
    </row>
    <row r="101" ht="15" customHeight="1">
      <c r="A101" s="1"/>
      <c r="B101" s="35" t="s">
        <v>70</v>
      </c>
      <c r="C101" s="36">
        <f>C100/Inputs!C279-1</f>
        <v>-0.11229946524064172</v>
      </c>
      <c r="D101" s="36">
        <f>D100/Inputs!D279-1</f>
        <v>0.15434083601286175</v>
      </c>
      <c r="E101" s="36">
        <f>E100/Inputs!E279-1</f>
        <v>-0.006479481641468721</v>
      </c>
      <c r="F101" s="36">
        <f>F100/Inputs!F279-1</f>
        <v>0.1550151975683891</v>
      </c>
      <c r="G101" s="36">
        <f>G100/Inputs!G279-1</f>
        <v>-0.019444444444444486</v>
      </c>
      <c r="H101" s="37">
        <f t="shared" si="5"/>
        <v>0.09529638554216868</v>
      </c>
      <c r="I101" s="1"/>
      <c r="J101" s="1"/>
      <c r="K101" s="1"/>
      <c r="L101" s="1"/>
      <c r="M101" s="1"/>
    </row>
    <row r="102" ht="15" customHeight="1">
      <c r="A102" s="1"/>
      <c r="B102" s="35" t="s">
        <v>71</v>
      </c>
      <c r="C102" s="27">
        <f>C100-Inputs!C279</f>
        <v>-42</v>
      </c>
      <c r="D102" s="27">
        <f>D100-Inputs!D279</f>
        <v>48</v>
      </c>
      <c r="E102" s="27">
        <f>E100-Inputs!E279</f>
        <v>-9</v>
      </c>
      <c r="F102" s="27">
        <f>F100-Inputs!F279</f>
        <v>51</v>
      </c>
      <c r="G102" s="27">
        <f>G100-Inputs!G279</f>
        <v>-7</v>
      </c>
      <c r="H102" s="38">
        <f t="shared" si="7"/>
        <v>31.63839999999999</v>
      </c>
      <c r="I102" s="1"/>
      <c r="J102" s="1"/>
      <c r="K102" s="1"/>
      <c r="L102" s="1"/>
      <c r="M102" s="1"/>
    </row>
    <row r="103" ht="15" customHeight="1">
      <c r="A103" s="1"/>
      <c r="B103" s="35" t="s">
        <v>73</v>
      </c>
      <c r="C103" s="27">
        <f>C100-Inputs!G279</f>
        <v>-28</v>
      </c>
      <c r="D103" s="40">
        <f t="shared" si="3"/>
        <v>27</v>
      </c>
      <c r="E103" s="1"/>
      <c r="F103" s="40">
        <f t="shared" si="8"/>
        <v>21</v>
      </c>
      <c r="G103" s="40">
        <f t="shared" si="3"/>
        <v>-27</v>
      </c>
      <c r="H103" s="38">
        <f t="shared" si="3"/>
        <v>10.63839999999999</v>
      </c>
      <c r="I103" s="1"/>
      <c r="J103" s="1"/>
      <c r="K103" s="1"/>
      <c r="L103" s="1"/>
      <c r="M103" s="1"/>
    </row>
    <row r="104" ht="15" customHeight="1">
      <c r="A104" s="1"/>
      <c r="B104" s="4" t="s">
        <v>216</v>
      </c>
      <c r="C104" s="39">
        <f t="shared" si="30" ref="C104:H104">C100/C42*365/C$7</f>
        <v>0.02333594204952658</v>
      </c>
      <c r="D104" s="39">
        <f t="shared" si="30"/>
        <v>0.024689169135552178</v>
      </c>
      <c r="E104" s="39">
        <f t="shared" si="30"/>
        <v>0.02433390347551621</v>
      </c>
      <c r="F104" s="39">
        <f t="shared" si="30"/>
        <v>0.02690346369972088</v>
      </c>
      <c r="G104" s="39">
        <f t="shared" si="30"/>
        <v>0.023881780506335642</v>
      </c>
      <c r="H104" s="37">
        <f t="shared" si="30"/>
        <v>0.024338616406082675</v>
      </c>
      <c r="I104" s="1"/>
      <c r="J104" s="1"/>
      <c r="K104" s="1"/>
      <c r="L104" s="1"/>
      <c r="M104" s="1"/>
    </row>
    <row r="105" ht="15" customHeight="1">
      <c r="A105" s="1"/>
      <c r="B105" s="35" t="s">
        <v>81</v>
      </c>
      <c r="C105" s="43" t="s">
        <v>35</v>
      </c>
      <c r="D105" s="47">
        <f>(D104-Inputs!D298)*10000</f>
        <v>27.61310178539013</v>
      </c>
      <c r="E105" s="47">
        <f>(E104-Inputs!E298)*10000</f>
        <v>-11.4722153888331</v>
      </c>
      <c r="F105" s="47">
        <f>(F104-Inputs!F298)*10000</f>
        <v>28.788719287212437</v>
      </c>
      <c r="G105" s="47">
        <f>(G104-Inputs!G298)*10000</f>
        <v>-14.006603382364126</v>
      </c>
      <c r="H105" s="48">
        <f t="shared" si="17"/>
        <v>10.026743565560956</v>
      </c>
      <c r="I105" s="1"/>
      <c r="J105" s="1"/>
      <c r="K105" s="1"/>
      <c r="L105" s="1"/>
      <c r="M105" s="1"/>
    </row>
    <row r="106" ht="15" customHeight="1">
      <c r="A106" s="1"/>
      <c r="B106" s="35" t="s">
        <v>82</v>
      </c>
      <c r="C106" s="47">
        <f>(C104-Inputs!G298)*10000</f>
        <v>-19.464987950454752</v>
      </c>
      <c r="D106" s="49">
        <f t="shared" si="16"/>
        <v>13.532270860255984</v>
      </c>
      <c r="E106" s="1"/>
      <c r="F106" s="49">
        <f t="shared" si="18"/>
        <v>22.142945641687035</v>
      </c>
      <c r="G106" s="49">
        <f t="shared" si="16"/>
        <v>-30.21683193385239</v>
      </c>
      <c r="H106" s="48">
        <f t="shared" si="16"/>
        <v>4.56835899747033</v>
      </c>
      <c r="I106" s="1"/>
      <c r="J106" s="1"/>
      <c r="K106" s="1"/>
      <c r="L106" s="1"/>
      <c r="M106" s="1"/>
    </row>
    <row r="107" ht="15" customHeight="1">
      <c r="A107" s="1"/>
      <c r="B107" s="3" t="s">
        <v>217</v>
      </c>
      <c r="C107" s="63">
        <f t="shared" si="31" ref="C107:H107">C87-C100</f>
        <v>3949</v>
      </c>
      <c r="D107" s="63">
        <f t="shared" si="31"/>
        <v>4039</v>
      </c>
      <c r="E107" s="63">
        <f t="shared" si="31"/>
        <v>15546</v>
      </c>
      <c r="F107" s="63">
        <f t="shared" si="31"/>
        <v>3941</v>
      </c>
      <c r="G107" s="63">
        <f t="shared" si="31"/>
        <v>4149</v>
      </c>
      <c r="H107" s="34">
        <f t="shared" si="31"/>
        <v>4151.7249</v>
      </c>
      <c r="I107" s="1"/>
      <c r="J107" s="1"/>
      <c r="K107" s="1"/>
      <c r="L107" s="1"/>
      <c r="M107" s="1"/>
    </row>
    <row r="108" ht="15" customHeight="1">
      <c r="A108" s="1"/>
      <c r="B108" s="1"/>
      <c r="C108" s="1"/>
      <c r="D108" s="1"/>
      <c r="E108" s="1"/>
      <c r="F108" s="1"/>
      <c r="G108" s="1"/>
      <c r="H108" s="29"/>
      <c r="I108" s="1"/>
      <c r="J108" s="1"/>
      <c r="K108" s="1"/>
      <c r="L108" s="1"/>
      <c r="M108" s="1"/>
    </row>
    <row r="109" ht="15" customHeight="1">
      <c r="A109" s="1"/>
      <c r="B109" s="30" t="s">
        <v>218</v>
      </c>
      <c r="C109" s="1"/>
      <c r="D109" s="1"/>
      <c r="E109" s="1"/>
      <c r="F109" s="1"/>
      <c r="G109" s="1"/>
      <c r="H109" s="29"/>
      <c r="I109" s="1"/>
      <c r="J109" s="1"/>
      <c r="K109" s="1"/>
      <c r="L109" s="1"/>
      <c r="M109" s="1"/>
    </row>
    <row r="110" ht="15" customHeight="1">
      <c r="A110" s="1"/>
      <c r="B110" s="1" t="s">
        <v>219</v>
      </c>
      <c r="C110" s="17">
        <f t="shared" si="32" ref="C110:G110">C113/C23*10</f>
        <v>126.92589875275127</v>
      </c>
      <c r="D110" s="17">
        <f t="shared" si="32"/>
        <v>134.847409510291</v>
      </c>
      <c r="E110" s="17">
        <f t="shared" si="32"/>
        <v>132.2384203727625</v>
      </c>
      <c r="F110" s="17">
        <f t="shared" si="32"/>
        <v>147.76785714285714</v>
      </c>
      <c r="G110" s="17">
        <f t="shared" si="32"/>
        <v>140.62059238363892</v>
      </c>
      <c r="H110" s="32">
        <v>140</v>
      </c>
      <c r="I110" s="1"/>
      <c r="J110" s="4" t="s">
        <v>246</v>
      </c>
      <c r="K110" s="1"/>
      <c r="L110" s="1"/>
      <c r="M110" s="1"/>
    </row>
    <row r="111" ht="15" customHeight="1">
      <c r="A111" s="1"/>
      <c r="B111" s="35" t="s">
        <v>81</v>
      </c>
      <c r="C111" s="27">
        <f>(C110-Inputs!C296)*1</f>
        <v>2.7274254703085177</v>
      </c>
      <c r="D111" s="27">
        <f>(D110-Inputs!D296)*1</f>
        <v>6.097409510290987</v>
      </c>
      <c r="E111" s="27">
        <f>(E110-Inputs!E296)*1</f>
        <v>8.705656839998966</v>
      </c>
      <c r="F111" s="27">
        <f>(F110-Inputs!F296)*1</f>
        <v>12.628538257408223</v>
      </c>
      <c r="G111" s="27">
        <f>(G110-Inputs!G296)*1</f>
        <v>8.517271350428587</v>
      </c>
      <c r="H111" s="38">
        <f t="shared" si="33"/>
        <v>13.074101247248734</v>
      </c>
      <c r="I111" s="1"/>
      <c r="J111" s="1"/>
      <c r="K111" s="1"/>
      <c r="L111" s="1"/>
      <c r="M111" s="1"/>
    </row>
    <row r="112" ht="15" customHeight="1">
      <c r="A112" s="1"/>
      <c r="B112" s="35" t="s">
        <v>82</v>
      </c>
      <c r="C112" s="27">
        <f>(C110-Inputs!G296)*1</f>
        <v>-5.177422280459069</v>
      </c>
      <c r="D112" s="40">
        <f t="shared" si="22"/>
        <v>7.921510757539721</v>
      </c>
      <c r="E112" s="1"/>
      <c r="F112" s="40">
        <f t="shared" si="34"/>
        <v>12.920447632566152</v>
      </c>
      <c r="G112" s="40">
        <f t="shared" si="22"/>
        <v>-7.147264759218217</v>
      </c>
      <c r="H112" s="38">
        <f t="shared" si="22"/>
        <v>-0.6205923836389218</v>
      </c>
      <c r="I112" s="1"/>
      <c r="J112" s="1"/>
      <c r="K112" s="1"/>
      <c r="L112" s="1"/>
      <c r="M112" s="1"/>
    </row>
    <row r="113" ht="15" customHeight="1">
      <c r="A113" s="1"/>
      <c r="B113" s="1" t="s">
        <v>221</v>
      </c>
      <c r="C113" s="53">
        <v>1730</v>
      </c>
      <c r="D113" s="53">
        <v>1900</v>
      </c>
      <c r="E113" s="53">
        <v>7166</v>
      </c>
      <c r="F113" s="53">
        <v>1986</v>
      </c>
      <c r="G113" s="53">
        <v>1994</v>
      </c>
      <c r="H113" s="52">
        <f>H23*H110/10</f>
        <v>1982.5400000000002</v>
      </c>
      <c r="I113" s="1"/>
      <c r="J113" s="4" t="s">
        <v>69</v>
      </c>
      <c r="K113" s="1"/>
      <c r="L113" s="1"/>
      <c r="M113" s="1"/>
    </row>
    <row r="114" ht="15" customHeight="1">
      <c r="A114" s="1"/>
      <c r="B114" s="35" t="s">
        <v>70</v>
      </c>
      <c r="C114" s="36">
        <f>C113/Inputs!C280-1</f>
        <v>0.06330669944683476</v>
      </c>
      <c r="D114" s="36">
        <f>D113/Inputs!D280-1</f>
        <v>0.08509423186750431</v>
      </c>
      <c r="E114" s="36">
        <f>E113/Inputs!E280-1</f>
        <v>0.10178351783517825</v>
      </c>
      <c r="F114" s="36">
        <f>F113/Inputs!F280-1</f>
        <v>0.13745704467353947</v>
      </c>
      <c r="G114" s="36">
        <f>G113/Inputs!G280-1</f>
        <v>0.11396648044692737</v>
      </c>
      <c r="H114" s="37">
        <f t="shared" si="5"/>
        <v>0.1459768786127169</v>
      </c>
      <c r="I114" s="1"/>
      <c r="J114" s="1"/>
      <c r="K114" s="1"/>
      <c r="L114" s="1"/>
      <c r="M114" s="1"/>
    </row>
    <row r="115" ht="15" customHeight="1">
      <c r="A115" s="1"/>
      <c r="B115" s="35" t="s">
        <v>71</v>
      </c>
      <c r="C115" s="27">
        <f>C113-Inputs!C280</f>
        <v>103</v>
      </c>
      <c r="D115" s="27">
        <f>D113-Inputs!D280</f>
        <v>149</v>
      </c>
      <c r="E115" s="27">
        <f>E113-Inputs!E280</f>
        <v>662</v>
      </c>
      <c r="F115" s="27">
        <f>F113-Inputs!F280</f>
        <v>240</v>
      </c>
      <c r="G115" s="27">
        <f>G113-Inputs!G280</f>
        <v>204</v>
      </c>
      <c r="H115" s="38">
        <f t="shared" si="7"/>
        <v>252.5400000000002</v>
      </c>
      <c r="I115" s="1"/>
      <c r="J115" s="1"/>
      <c r="K115" s="1"/>
      <c r="L115" s="1"/>
      <c r="M115" s="1"/>
    </row>
    <row r="116" ht="15" customHeight="1">
      <c r="A116" s="1"/>
      <c r="B116" s="35" t="s">
        <v>73</v>
      </c>
      <c r="C116" s="27">
        <f>C113-Inputs!G280</f>
        <v>-60</v>
      </c>
      <c r="D116" s="40">
        <f t="shared" si="3"/>
        <v>170</v>
      </c>
      <c r="E116" s="1"/>
      <c r="F116" s="40">
        <f t="shared" si="8"/>
        <v>86</v>
      </c>
      <c r="G116" s="40">
        <f t="shared" si="3"/>
        <v>8</v>
      </c>
      <c r="H116" s="38">
        <f t="shared" si="3"/>
        <v>-11.459999999999809</v>
      </c>
      <c r="I116" s="1"/>
      <c r="J116" s="1"/>
      <c r="K116" s="1"/>
      <c r="L116" s="1"/>
      <c r="M116" s="1"/>
    </row>
    <row r="117" ht="15" customHeight="1">
      <c r="A117" s="1"/>
      <c r="B117" s="1" t="s">
        <v>152</v>
      </c>
      <c r="C117" s="53">
        <v>313</v>
      </c>
      <c r="D117" s="53">
        <v>350</v>
      </c>
      <c r="E117" s="53">
        <v>1331</v>
      </c>
      <c r="F117" s="53">
        <v>311</v>
      </c>
      <c r="G117" s="53">
        <v>379</v>
      </c>
      <c r="H117" s="32">
        <v>360</v>
      </c>
      <c r="I117" s="1"/>
      <c r="J117" s="4" t="s">
        <v>247</v>
      </c>
      <c r="K117" s="1"/>
      <c r="L117" s="1"/>
      <c r="M117" s="1"/>
    </row>
    <row r="118" ht="15" customHeight="1">
      <c r="A118" s="1"/>
      <c r="B118" s="35" t="s">
        <v>70</v>
      </c>
      <c r="C118" s="36">
        <f>C117/Inputs!C281-1</f>
        <v>0.016233766233766156</v>
      </c>
      <c r="D118" s="36">
        <f>D117/Inputs!D281-1</f>
        <v>-0.02777777777777779</v>
      </c>
      <c r="E118" s="36">
        <f>E117/Inputs!E281-1</f>
        <v>0.00909780136467031</v>
      </c>
      <c r="F118" s="36">
        <f>F117/Inputs!F281-1</f>
        <v>-0.0771513353115727</v>
      </c>
      <c r="G118" s="36">
        <f>G117/Inputs!G281-1</f>
        <v>0.14501510574018117</v>
      </c>
      <c r="H118" s="37">
        <f t="shared" si="5"/>
        <v>0.15015974440894575</v>
      </c>
      <c r="I118" s="1"/>
      <c r="J118" s="1"/>
      <c r="K118" s="1"/>
      <c r="L118" s="1"/>
      <c r="M118" s="1"/>
    </row>
    <row r="119" ht="15" customHeight="1">
      <c r="A119" s="1"/>
      <c r="B119" s="35" t="s">
        <v>71</v>
      </c>
      <c r="C119" s="27">
        <f>C117-Inputs!C281</f>
        <v>5</v>
      </c>
      <c r="D119" s="27">
        <f>D117-Inputs!D281</f>
        <v>-10</v>
      </c>
      <c r="E119" s="27">
        <f>E117-Inputs!E281</f>
        <v>12</v>
      </c>
      <c r="F119" s="27">
        <f>F117-Inputs!F281</f>
        <v>-26</v>
      </c>
      <c r="G119" s="27">
        <f>G117-Inputs!G281</f>
        <v>48</v>
      </c>
      <c r="H119" s="38">
        <f t="shared" si="7"/>
        <v>47</v>
      </c>
      <c r="I119" s="1"/>
      <c r="J119" s="1"/>
      <c r="K119" s="1"/>
      <c r="L119" s="1"/>
      <c r="M119" s="1"/>
    </row>
    <row r="120" ht="15" customHeight="1">
      <c r="A120" s="1"/>
      <c r="B120" s="35" t="s">
        <v>73</v>
      </c>
      <c r="C120" s="27">
        <f>C117-Inputs!G281</f>
        <v>-18</v>
      </c>
      <c r="D120" s="40">
        <f t="shared" si="3"/>
        <v>37</v>
      </c>
      <c r="E120" s="1"/>
      <c r="F120" s="40">
        <f t="shared" si="8"/>
        <v>-39</v>
      </c>
      <c r="G120" s="40">
        <f t="shared" si="3"/>
        <v>68</v>
      </c>
      <c r="H120" s="38">
        <f t="shared" si="3"/>
        <v>-19</v>
      </c>
      <c r="I120" s="1"/>
      <c r="J120" s="1"/>
      <c r="K120" s="1"/>
      <c r="L120" s="1"/>
      <c r="M120" s="1"/>
    </row>
    <row r="121" ht="15" customHeight="1">
      <c r="A121" s="1"/>
      <c r="B121" s="1" t="s">
        <v>223</v>
      </c>
      <c r="C121" s="53">
        <v>816</v>
      </c>
      <c r="D121" s="53">
        <v>952</v>
      </c>
      <c r="E121" s="53">
        <v>3381</v>
      </c>
      <c r="F121" s="53">
        <v>828</v>
      </c>
      <c r="G121" s="53">
        <v>806</v>
      </c>
      <c r="H121" s="32">
        <v>820</v>
      </c>
      <c r="I121" s="1"/>
      <c r="J121" s="4" t="s">
        <v>248</v>
      </c>
      <c r="K121" s="1"/>
      <c r="L121" s="1"/>
      <c r="M121" s="1"/>
    </row>
    <row r="122" ht="15" customHeight="1">
      <c r="A122" s="1"/>
      <c r="B122" s="35" t="s">
        <v>70</v>
      </c>
      <c r="C122" s="36">
        <f>C121/Inputs!C282-1</f>
        <v>0.04481434058898848</v>
      </c>
      <c r="D122" s="36">
        <f>D121/Inputs!D282-1</f>
        <v>0.0744920993227991</v>
      </c>
      <c r="E122" s="36">
        <f>E121/Inputs!E282-1</f>
        <v>0.07606619987269259</v>
      </c>
      <c r="F122" s="36">
        <f>F121/Inputs!F282-1</f>
        <v>0.05209656925031769</v>
      </c>
      <c r="G122" s="36">
        <f>G121/Inputs!G282-1</f>
        <v>-0.02421307506053272</v>
      </c>
      <c r="H122" s="37">
        <f t="shared" si="5"/>
        <v>0.004901960784313708</v>
      </c>
      <c r="I122" s="1"/>
      <c r="J122" s="1"/>
      <c r="K122" s="1"/>
      <c r="L122" s="1"/>
      <c r="M122" s="1"/>
    </row>
    <row r="123" ht="15" customHeight="1">
      <c r="A123" s="1"/>
      <c r="B123" s="35" t="s">
        <v>71</v>
      </c>
      <c r="C123" s="27">
        <f>C121-Inputs!C282</f>
        <v>35</v>
      </c>
      <c r="D123" s="27">
        <f>D121-Inputs!D282</f>
        <v>66</v>
      </c>
      <c r="E123" s="27">
        <f>E121-Inputs!E282</f>
        <v>239</v>
      </c>
      <c r="F123" s="27">
        <f>F121-Inputs!F282</f>
        <v>41</v>
      </c>
      <c r="G123" s="27">
        <f>G121-Inputs!G282</f>
        <v>-20</v>
      </c>
      <c r="H123" s="38">
        <f t="shared" si="7"/>
        <v>4</v>
      </c>
      <c r="I123" s="1"/>
      <c r="J123" s="1"/>
      <c r="K123" s="1"/>
      <c r="L123" s="1"/>
      <c r="M123" s="1"/>
    </row>
    <row r="124" ht="15" customHeight="1">
      <c r="A124" s="1"/>
      <c r="B124" s="35" t="s">
        <v>73</v>
      </c>
      <c r="C124" s="27">
        <f>C121-Inputs!G282</f>
        <v>-10</v>
      </c>
      <c r="D124" s="40">
        <f t="shared" si="3"/>
        <v>136</v>
      </c>
      <c r="E124" s="1"/>
      <c r="F124" s="40">
        <f t="shared" si="8"/>
        <v>-124</v>
      </c>
      <c r="G124" s="40">
        <f t="shared" si="3"/>
        <v>-22</v>
      </c>
      <c r="H124" s="38">
        <f t="shared" si="3"/>
        <v>14</v>
      </c>
      <c r="I124" s="1"/>
      <c r="J124" s="1"/>
      <c r="K124" s="1"/>
      <c r="L124" s="1"/>
      <c r="M124" s="1"/>
    </row>
    <row r="125" ht="15" customHeight="1">
      <c r="A125" s="1"/>
      <c r="B125" s="3" t="s">
        <v>225</v>
      </c>
      <c r="C125" s="63">
        <f t="shared" si="35" ref="C125:H125">C113+C117+C121</f>
        <v>2859</v>
      </c>
      <c r="D125" s="63">
        <f t="shared" si="35"/>
        <v>3202</v>
      </c>
      <c r="E125" s="63">
        <f t="shared" si="35"/>
        <v>11878</v>
      </c>
      <c r="F125" s="63">
        <f t="shared" si="35"/>
        <v>3125</v>
      </c>
      <c r="G125" s="63">
        <f t="shared" si="35"/>
        <v>3179</v>
      </c>
      <c r="H125" s="34">
        <f t="shared" si="35"/>
        <v>3162.54</v>
      </c>
      <c r="I125" s="1"/>
      <c r="J125" s="1"/>
      <c r="K125" s="1"/>
      <c r="L125" s="1"/>
      <c r="M125" s="1"/>
    </row>
    <row r="126" ht="15" customHeight="1">
      <c r="A126" s="1"/>
      <c r="B126" s="35" t="s">
        <v>70</v>
      </c>
      <c r="C126" s="36">
        <f>C125/Inputs!C292-1</f>
        <v>0.05265095729013258</v>
      </c>
      <c r="D126" s="36">
        <f>D125/Inputs!D292-1</f>
        <v>0.06840173506840164</v>
      </c>
      <c r="E126" s="36">
        <f>E125/Inputs!E292-1</f>
        <v>0.08326493388052891</v>
      </c>
      <c r="F126" s="36">
        <f>F125/Inputs!F292-1</f>
        <v>0.08885017421602792</v>
      </c>
      <c r="G126" s="36">
        <f>G125/Inputs!G292-1</f>
        <v>0.07872412623006442</v>
      </c>
      <c r="H126" s="37">
        <f t="shared" si="5"/>
        <v>0.10616998950682066</v>
      </c>
      <c r="I126" s="1"/>
      <c r="J126" s="1"/>
      <c r="K126" s="1"/>
      <c r="L126" s="1"/>
      <c r="M126" s="1"/>
    </row>
    <row r="127" ht="15" customHeight="1">
      <c r="A127" s="1"/>
      <c r="B127" s="1"/>
      <c r="C127" s="1"/>
      <c r="D127" s="1"/>
      <c r="E127" s="1"/>
      <c r="F127" s="1"/>
      <c r="G127" s="1"/>
      <c r="H127" s="29"/>
      <c r="I127" s="1"/>
      <c r="J127" s="1"/>
      <c r="K127" s="1"/>
      <c r="L127" s="1"/>
      <c r="M127" s="1"/>
    </row>
    <row r="128" ht="15" customHeight="1">
      <c r="A128" s="1"/>
      <c r="B128" s="30" t="s">
        <v>226</v>
      </c>
      <c r="C128" s="1"/>
      <c r="D128" s="1"/>
      <c r="E128" s="1"/>
      <c r="F128" s="1"/>
      <c r="G128" s="1"/>
      <c r="H128" s="29"/>
      <c r="I128" s="1"/>
      <c r="J128" s="1"/>
      <c r="K128" s="1"/>
      <c r="L128" s="1"/>
      <c r="M128" s="1"/>
    </row>
    <row r="129" ht="15" customHeight="1">
      <c r="A129" s="1"/>
      <c r="B129" s="3" t="s">
        <v>227</v>
      </c>
      <c r="C129" s="63">
        <f t="shared" si="36" ref="C129:H129">C107-C125</f>
        <v>1090</v>
      </c>
      <c r="D129" s="63">
        <f t="shared" si="36"/>
        <v>837</v>
      </c>
      <c r="E129" s="63">
        <f t="shared" si="36"/>
        <v>3668</v>
      </c>
      <c r="F129" s="63">
        <f t="shared" si="36"/>
        <v>816</v>
      </c>
      <c r="G129" s="63">
        <f t="shared" si="36"/>
        <v>970</v>
      </c>
      <c r="H129" s="34">
        <f t="shared" si="36"/>
        <v>989.1849000000002</v>
      </c>
      <c r="I129" s="1"/>
      <c r="J129" s="1"/>
      <c r="K129" s="1"/>
      <c r="L129" s="1"/>
      <c r="M129" s="1"/>
    </row>
    <row r="130" ht="15" customHeight="1">
      <c r="A130" s="1"/>
      <c r="B130" s="35" t="s">
        <v>70</v>
      </c>
      <c r="C130" s="36">
        <f>C129/Inputs!C293-1</f>
        <v>0.20044052863436113</v>
      </c>
      <c r="D130" s="36">
        <f>D129/Inputs!D293-1</f>
        <v>0.02825552825552835</v>
      </c>
      <c r="E130" s="36">
        <f>E129/Inputs!E293-1</f>
        <v>0.04650499286733245</v>
      </c>
      <c r="F130" s="36">
        <f>F129/Inputs!F293-1</f>
        <v>-0.02392344497607657</v>
      </c>
      <c r="G130" s="36">
        <f>G129/Inputs!G293-1</f>
        <v>0.07182320441988943</v>
      </c>
      <c r="H130" s="37">
        <f t="shared" si="5"/>
        <v>-0.09249091743119253</v>
      </c>
      <c r="I130" s="1"/>
      <c r="J130" s="1"/>
      <c r="K130" s="1"/>
      <c r="L130" s="1"/>
      <c r="M130" s="1"/>
    </row>
    <row r="131" ht="15" customHeight="1">
      <c r="A131" s="1"/>
      <c r="B131" s="4" t="s">
        <v>228</v>
      </c>
      <c r="C131" s="39">
        <f t="shared" si="37" ref="C131:H131">C129/C87</f>
        <v>0.25461340808222377</v>
      </c>
      <c r="D131" s="39">
        <f t="shared" si="37"/>
        <v>0.1903137789904502</v>
      </c>
      <c r="E131" s="39">
        <f t="shared" si="37"/>
        <v>0.21670802315963605</v>
      </c>
      <c r="F131" s="39">
        <f t="shared" si="37"/>
        <v>0.18884517472807222</v>
      </c>
      <c r="G131" s="39">
        <f t="shared" si="37"/>
        <v>0.21545979564637938</v>
      </c>
      <c r="H131" s="37">
        <f t="shared" si="37"/>
        <v>0.21907094385960044</v>
      </c>
      <c r="I131" s="1"/>
      <c r="J131" s="1"/>
      <c r="K131" s="1"/>
      <c r="L131" s="1"/>
      <c r="M131" s="1"/>
    </row>
    <row r="132" ht="15" customHeight="1">
      <c r="A132" s="1"/>
      <c r="B132" s="35" t="s">
        <v>81</v>
      </c>
      <c r="C132" s="47">
        <f>(C131-Inputs!C294)*10000</f>
        <v>274.9985130383456</v>
      </c>
      <c r="D132" s="47">
        <f>(D131-Inputs!D294)*10000</f>
        <v>-71.63173945018004</v>
      </c>
      <c r="E132" s="47">
        <f>(E131-Inputs!E294)*10000</f>
        <v>-43.02128804548333</v>
      </c>
      <c r="F132" s="47">
        <f>(F131-Inputs!F294)*10000</f>
        <v>-183.41938035248722</v>
      </c>
      <c r="G132" s="47">
        <f>(G131-Inputs!G294)*10000</f>
        <v>5.974974507478581</v>
      </c>
      <c r="H132" s="48">
        <f t="shared" si="17"/>
        <v>-355.42464222623335</v>
      </c>
      <c r="I132" s="1"/>
      <c r="J132" s="1"/>
      <c r="K132" s="1"/>
      <c r="L132" s="1"/>
      <c r="M132" s="1"/>
    </row>
    <row r="133" ht="15" customHeight="1">
      <c r="A133" s="1"/>
      <c r="B133" s="35" t="s">
        <v>82</v>
      </c>
      <c r="C133" s="47">
        <f>(C131-Inputs!G294)*10000</f>
        <v>397.5110988659225</v>
      </c>
      <c r="D133" s="49">
        <f t="shared" si="16"/>
        <v>-642.9962909177356</v>
      </c>
      <c r="E133" s="1"/>
      <c r="F133" s="49">
        <f t="shared" si="18"/>
        <v>-14.686042623779926</v>
      </c>
      <c r="G133" s="49">
        <f t="shared" si="16"/>
        <v>266.14620918307156</v>
      </c>
      <c r="H133" s="48">
        <f t="shared" si="16"/>
        <v>36.111482132210604</v>
      </c>
      <c r="I133" s="1"/>
      <c r="J133" s="1"/>
      <c r="K133" s="1"/>
      <c r="L133" s="1"/>
      <c r="M133" s="1"/>
    </row>
    <row r="134" ht="15" customHeight="1">
      <c r="A134" s="1"/>
      <c r="B134" s="1" t="s">
        <v>229</v>
      </c>
      <c r="C134" s="53">
        <v>1090</v>
      </c>
      <c r="D134" s="53">
        <v>837</v>
      </c>
      <c r="E134" s="53">
        <v>3668</v>
      </c>
      <c r="F134" s="53">
        <v>816</v>
      </c>
      <c r="G134" s="53">
        <v>970</v>
      </c>
      <c r="H134" s="67" t="s">
        <v>35</v>
      </c>
      <c r="I134" s="1"/>
      <c r="J134" s="4" t="s">
        <v>69</v>
      </c>
      <c r="K134" s="1"/>
      <c r="L134" s="1"/>
      <c r="M134" s="1"/>
    </row>
    <row r="135" ht="15" customHeight="1">
      <c r="A135" s="1"/>
      <c r="B135" s="4" t="s">
        <v>230</v>
      </c>
      <c r="C135" s="40">
        <f t="shared" si="38" ref="C135:G135">C129-C134</f>
        <v>0</v>
      </c>
      <c r="D135" s="40">
        <f t="shared" si="38"/>
        <v>0</v>
      </c>
      <c r="E135" s="40">
        <f t="shared" si="38"/>
        <v>0</v>
      </c>
      <c r="F135" s="40">
        <f t="shared" si="38"/>
        <v>0</v>
      </c>
      <c r="G135" s="40">
        <f t="shared" si="38"/>
        <v>0</v>
      </c>
      <c r="H135" s="29"/>
      <c r="I135" s="1"/>
      <c r="J135" s="1"/>
      <c r="K135" s="1"/>
      <c r="L135" s="1"/>
      <c r="M135" s="1"/>
    </row>
    <row r="136" ht="1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ht="1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104D1F8-C6C6-D59C-328D-B4157B6E2BF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249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174</v>
      </c>
      <c r="C9" s="1"/>
      <c r="D9" s="1"/>
      <c r="E9" s="1"/>
      <c r="F9" s="1"/>
      <c r="G9" s="1"/>
      <c r="H9" s="29"/>
      <c r="I9" s="1"/>
      <c r="J9" s="1"/>
      <c r="K9" s="1"/>
      <c r="L9" s="1"/>
      <c r="M9" s="1"/>
    </row>
    <row r="10" ht="15" customHeight="1">
      <c r="A10" s="1"/>
      <c r="B10" s="1" t="s">
        <v>102</v>
      </c>
      <c r="C10" s="16">
        <f>Inputs!G307</f>
        <v>22.5</v>
      </c>
      <c r="D10" s="17">
        <f t="shared" si="1" ref="D10:H51">C12</f>
        <v>22.8</v>
      </c>
      <c r="E10" s="16">
        <f>Inputs!E307</f>
        <v>21.9</v>
      </c>
      <c r="F10" s="17">
        <f t="shared" si="7" ref="F10:F51">D12</f>
        <v>23</v>
      </c>
      <c r="G10" s="17">
        <f t="shared" si="1"/>
        <v>23.2</v>
      </c>
      <c r="H10" s="52">
        <f t="shared" si="1"/>
        <v>23.9</v>
      </c>
      <c r="I10" s="1"/>
      <c r="J10" s="4" t="s">
        <v>175</v>
      </c>
      <c r="K10" s="1"/>
      <c r="L10" s="1"/>
      <c r="M10" s="1"/>
    </row>
    <row r="11" ht="15" customHeight="1">
      <c r="A11" s="1"/>
      <c r="B11" s="1" t="s">
        <v>176</v>
      </c>
      <c r="C11" s="17">
        <f t="shared" si="2" ref="C11:H52">C12-C10</f>
        <v>0.3000000000000007</v>
      </c>
      <c r="D11" s="17">
        <f t="shared" si="2"/>
        <v>0.1999999999999993</v>
      </c>
      <c r="E11" s="17">
        <f t="shared" si="2"/>
        <v>1.1000000000000014</v>
      </c>
      <c r="F11" s="17">
        <f t="shared" si="2"/>
        <v>0.1999999999999993</v>
      </c>
      <c r="G11" s="17">
        <f t="shared" si="2"/>
        <v>0.6999999999999993</v>
      </c>
      <c r="H11" s="32">
        <v>0.4</v>
      </c>
      <c r="I11" s="1"/>
      <c r="J11" s="4" t="s">
        <v>250</v>
      </c>
      <c r="K11" s="1"/>
      <c r="L11" s="1"/>
      <c r="M11" s="1"/>
    </row>
    <row r="12" ht="15" customHeight="1">
      <c r="A12" s="1"/>
      <c r="B12" s="3" t="s">
        <v>109</v>
      </c>
      <c r="C12" s="33">
        <v>22.8</v>
      </c>
      <c r="D12" s="33">
        <v>23</v>
      </c>
      <c r="E12" s="33">
        <v>23</v>
      </c>
      <c r="F12" s="33">
        <v>23.2</v>
      </c>
      <c r="G12" s="33">
        <v>23.9</v>
      </c>
      <c r="H12" s="34">
        <f t="shared" si="8" ref="H12:H21">H10+H11</f>
        <v>24.299999999999997</v>
      </c>
      <c r="I12" s="1"/>
      <c r="J12" s="4" t="s">
        <v>69</v>
      </c>
      <c r="K12" s="1"/>
      <c r="L12" s="1"/>
      <c r="M12" s="1"/>
    </row>
    <row r="13" ht="15" customHeight="1">
      <c r="A13" s="1"/>
      <c r="B13" s="35" t="s">
        <v>70</v>
      </c>
      <c r="C13" s="36">
        <f>C12/Inputs!C307-1</f>
        <v>0.05069124423963145</v>
      </c>
      <c r="D13" s="36">
        <f>D12/Inputs!D307-1</f>
        <v>0.05022831050228316</v>
      </c>
      <c r="E13" s="36">
        <f>E12/Inputs!E307-1</f>
        <v>0.05022831050228316</v>
      </c>
      <c r="F13" s="36">
        <f>F12/Inputs!F307-1</f>
        <v>0.04035874439461873</v>
      </c>
      <c r="G13" s="36">
        <f>G12/Inputs!G307-1</f>
        <v>0.06222222222222218</v>
      </c>
      <c r="H13" s="37">
        <f t="shared" si="5" ref="H13:H142">H12/C12-1</f>
        <v>0.0657894736842104</v>
      </c>
      <c r="I13" s="1"/>
      <c r="J13" s="1"/>
      <c r="K13" s="1"/>
      <c r="L13" s="1"/>
      <c r="M13" s="1"/>
    </row>
    <row r="14" ht="15" customHeight="1">
      <c r="A14" s="1"/>
      <c r="B14" s="35" t="s">
        <v>71</v>
      </c>
      <c r="C14" s="27">
        <f>C12-Inputs!C307</f>
        <v>1.1000000000000014</v>
      </c>
      <c r="D14" s="27">
        <f>D12-Inputs!D307</f>
        <v>1.1000000000000014</v>
      </c>
      <c r="E14" s="27">
        <f>E12-Inputs!E307</f>
        <v>1.1000000000000014</v>
      </c>
      <c r="F14" s="27">
        <f>F12-Inputs!F307</f>
        <v>0.8999999999999986</v>
      </c>
      <c r="G14" s="27">
        <f>G12-Inputs!G307</f>
        <v>1.3999999999999986</v>
      </c>
      <c r="H14" s="38">
        <f t="shared" si="9" ref="H14:H135">H12-C12</f>
        <v>1.4999999999999964</v>
      </c>
      <c r="I14" s="1"/>
      <c r="J14" s="1"/>
      <c r="K14" s="1"/>
      <c r="L14" s="1"/>
      <c r="M14" s="1"/>
    </row>
    <row r="15" ht="15" customHeight="1">
      <c r="A15" s="1"/>
      <c r="B15" s="35" t="s">
        <v>73</v>
      </c>
      <c r="C15" s="27">
        <f>C12-Inputs!G307</f>
        <v>0.3000000000000007</v>
      </c>
      <c r="D15" s="40">
        <f t="shared" si="3" ref="D15:H136">D12-C12</f>
        <v>0.1999999999999993</v>
      </c>
      <c r="E15" s="1"/>
      <c r="F15" s="40">
        <f t="shared" si="10" ref="F15:F136">F12-D12</f>
        <v>0.1999999999999993</v>
      </c>
      <c r="G15" s="40">
        <f t="shared" si="3"/>
        <v>0.6999999999999993</v>
      </c>
      <c r="H15" s="38">
        <f t="shared" si="3"/>
        <v>0.3999999999999986</v>
      </c>
      <c r="I15" s="1"/>
      <c r="J15" s="1"/>
      <c r="K15" s="1"/>
      <c r="L15" s="1"/>
      <c r="M15" s="1"/>
    </row>
    <row r="16" ht="15" customHeight="1">
      <c r="A16" s="1"/>
      <c r="B16" s="1" t="s">
        <v>111</v>
      </c>
      <c r="C16" s="17">
        <f t="shared" si="4" ref="C16:H57">AVERAGE(C10,C12)</f>
        <v>22.65</v>
      </c>
      <c r="D16" s="17">
        <f t="shared" si="4"/>
        <v>22.9</v>
      </c>
      <c r="E16" s="17">
        <f t="shared" si="4"/>
        <v>22.45</v>
      </c>
      <c r="F16" s="17">
        <f t="shared" si="4"/>
        <v>23.1</v>
      </c>
      <c r="G16" s="17">
        <f t="shared" si="4"/>
        <v>23.549999999999997</v>
      </c>
      <c r="H16" s="52">
        <f t="shared" si="4"/>
        <v>24.099999999999998</v>
      </c>
      <c r="I16" s="1"/>
      <c r="J16" s="1"/>
      <c r="K16" s="1"/>
      <c r="L16" s="1"/>
      <c r="M16" s="1"/>
    </row>
    <row r="17" ht="15" customHeight="1">
      <c r="A17" s="1"/>
      <c r="B17" s="35" t="s">
        <v>70</v>
      </c>
      <c r="C17" s="43" t="s">
        <v>35</v>
      </c>
      <c r="D17" s="43" t="s">
        <v>35</v>
      </c>
      <c r="E17" s="43" t="s">
        <v>35</v>
      </c>
      <c r="F17" s="43" t="s">
        <v>35</v>
      </c>
      <c r="G17" s="43" t="s">
        <v>35</v>
      </c>
      <c r="H17" s="37">
        <f t="shared" si="5"/>
        <v>0.06401766004415</v>
      </c>
      <c r="I17" s="1"/>
      <c r="J17" s="1"/>
      <c r="K17" s="1"/>
      <c r="L17" s="1"/>
      <c r="M17" s="1"/>
    </row>
    <row r="18" ht="15" customHeight="1">
      <c r="A18" s="1"/>
      <c r="B18" s="35" t="s">
        <v>73</v>
      </c>
      <c r="C18" s="27">
        <f>C16-AVERAGE(Inputs!F307,Inputs!G307)</f>
        <v>0.25</v>
      </c>
      <c r="D18" s="40">
        <f t="shared" si="6" ref="D18:H111">D16-C16</f>
        <v>0.25</v>
      </c>
      <c r="E18" s="1"/>
      <c r="F18" s="40">
        <f t="shared" si="11" ref="F18:F111">F16-D16</f>
        <v>0.20000000000000284</v>
      </c>
      <c r="G18" s="40">
        <f t="shared" si="6"/>
        <v>0.44999999999999574</v>
      </c>
      <c r="H18" s="38">
        <f t="shared" si="6"/>
        <v>0.5500000000000007</v>
      </c>
      <c r="I18" s="1"/>
      <c r="J18" s="1"/>
      <c r="K18" s="1"/>
      <c r="L18" s="1"/>
      <c r="M18" s="1"/>
    </row>
    <row r="19" ht="15" customHeight="1">
      <c r="A19" s="1"/>
      <c r="B19" s="1" t="s">
        <v>178</v>
      </c>
      <c r="C19" s="16">
        <f>Inputs!G312</f>
        <v>16.9</v>
      </c>
      <c r="D19" s="17">
        <f t="shared" si="1"/>
        <v>17</v>
      </c>
      <c r="E19" s="16">
        <f>Inputs!E312</f>
        <v>16.4</v>
      </c>
      <c r="F19" s="17">
        <f t="shared" si="7"/>
        <v>17.2</v>
      </c>
      <c r="G19" s="17">
        <f t="shared" si="1"/>
        <v>17.4</v>
      </c>
      <c r="H19" s="52">
        <f t="shared" si="1"/>
        <v>18</v>
      </c>
      <c r="I19" s="1"/>
      <c r="J19" s="1"/>
      <c r="K19" s="1"/>
      <c r="L19" s="1"/>
      <c r="M19" s="1"/>
    </row>
    <row r="20" ht="15" customHeight="1">
      <c r="A20" s="1"/>
      <c r="B20" s="1" t="s">
        <v>179</v>
      </c>
      <c r="C20" s="17">
        <f t="shared" si="2"/>
        <v>0.10000000000000142</v>
      </c>
      <c r="D20" s="17">
        <f t="shared" si="2"/>
        <v>0.1999999999999993</v>
      </c>
      <c r="E20" s="17">
        <f t="shared" si="2"/>
        <v>0.8000000000000007</v>
      </c>
      <c r="F20" s="17">
        <f t="shared" si="2"/>
        <v>0.1999999999999993</v>
      </c>
      <c r="G20" s="17">
        <f t="shared" si="2"/>
        <v>0.6000000000000014</v>
      </c>
      <c r="H20" s="32">
        <v>0.3</v>
      </c>
      <c r="I20" s="1"/>
      <c r="J20" s="4" t="s">
        <v>251</v>
      </c>
      <c r="K20" s="1"/>
      <c r="L20" s="1"/>
      <c r="M20" s="1"/>
    </row>
    <row r="21" ht="15" customHeight="1">
      <c r="A21" s="1"/>
      <c r="B21" s="3" t="s">
        <v>181</v>
      </c>
      <c r="C21" s="33">
        <v>17</v>
      </c>
      <c r="D21" s="33">
        <v>17.2</v>
      </c>
      <c r="E21" s="33">
        <v>17.2</v>
      </c>
      <c r="F21" s="33">
        <v>17.4</v>
      </c>
      <c r="G21" s="33">
        <v>18</v>
      </c>
      <c r="H21" s="34">
        <f t="shared" si="8"/>
        <v>18.3</v>
      </c>
      <c r="I21" s="1"/>
      <c r="J21" s="4" t="s">
        <v>69</v>
      </c>
      <c r="K21" s="1"/>
      <c r="L21" s="1"/>
      <c r="M21" s="1"/>
    </row>
    <row r="22" ht="15" customHeight="1">
      <c r="A22" s="1"/>
      <c r="B22" s="35" t="s">
        <v>70</v>
      </c>
      <c r="C22" s="36">
        <f>C21/Inputs!C312-1</f>
        <v>0.04938271604938271</v>
      </c>
      <c r="D22" s="36">
        <f>D21/Inputs!D312-1</f>
        <v>0.04878048780487809</v>
      </c>
      <c r="E22" s="36">
        <f>E21/Inputs!E312-1</f>
        <v>0.04878048780487809</v>
      </c>
      <c r="F22" s="36">
        <f>F21/Inputs!F312-1</f>
        <v>0.041916167664670656</v>
      </c>
      <c r="G22" s="36">
        <f>G21/Inputs!G312-1</f>
        <v>0.06508875739644981</v>
      </c>
      <c r="H22" s="37">
        <f t="shared" si="5"/>
        <v>0.07647058823529407</v>
      </c>
      <c r="I22" s="1"/>
      <c r="J22" s="1"/>
      <c r="K22" s="1"/>
      <c r="L22" s="1"/>
      <c r="M22" s="1"/>
    </row>
    <row r="23" ht="15" customHeight="1">
      <c r="A23" s="1"/>
      <c r="B23" s="35" t="s">
        <v>71</v>
      </c>
      <c r="C23" s="27">
        <f>C21-Inputs!C312</f>
        <v>0.8000000000000007</v>
      </c>
      <c r="D23" s="27">
        <f>D21-Inputs!D312</f>
        <v>0.8000000000000007</v>
      </c>
      <c r="E23" s="27">
        <f>E21-Inputs!E312</f>
        <v>0.8000000000000007</v>
      </c>
      <c r="F23" s="27">
        <f>F21-Inputs!F312</f>
        <v>0.6999999999999993</v>
      </c>
      <c r="G23" s="27">
        <f>G21-Inputs!G312</f>
        <v>1.1000000000000014</v>
      </c>
      <c r="H23" s="38">
        <f t="shared" si="9"/>
        <v>1.3000000000000007</v>
      </c>
      <c r="I23" s="1"/>
      <c r="J23" s="1"/>
      <c r="K23" s="1"/>
      <c r="L23" s="1"/>
      <c r="M23" s="1"/>
    </row>
    <row r="24" ht="15" customHeight="1">
      <c r="A24" s="1"/>
      <c r="B24" s="35" t="s">
        <v>73</v>
      </c>
      <c r="C24" s="27">
        <f>C21-Inputs!G312</f>
        <v>0.10000000000000142</v>
      </c>
      <c r="D24" s="40">
        <f t="shared" si="3"/>
        <v>0.1999999999999993</v>
      </c>
      <c r="E24" s="1"/>
      <c r="F24" s="40">
        <f t="shared" si="10"/>
        <v>0.1999999999999993</v>
      </c>
      <c r="G24" s="40">
        <f t="shared" si="3"/>
        <v>0.6000000000000014</v>
      </c>
      <c r="H24" s="38">
        <f t="shared" si="3"/>
        <v>0.3000000000000007</v>
      </c>
      <c r="I24" s="1"/>
      <c r="J24" s="1"/>
      <c r="K24" s="1"/>
      <c r="L24" s="1"/>
      <c r="M24" s="1"/>
    </row>
    <row r="25" ht="15" customHeight="1">
      <c r="A25" s="1"/>
      <c r="B25" s="1" t="s">
        <v>182</v>
      </c>
      <c r="C25" s="17">
        <f t="shared" si="4"/>
        <v>16.95</v>
      </c>
      <c r="D25" s="17">
        <f t="shared" si="4"/>
        <v>17.1</v>
      </c>
      <c r="E25" s="17">
        <f t="shared" si="4"/>
        <v>16.799999999999997</v>
      </c>
      <c r="F25" s="17">
        <f t="shared" si="4"/>
        <v>17.299999999999997</v>
      </c>
      <c r="G25" s="17">
        <f t="shared" si="4"/>
        <v>17.7</v>
      </c>
      <c r="H25" s="52">
        <f t="shared" si="4"/>
        <v>18.15</v>
      </c>
      <c r="I25" s="1"/>
      <c r="J25" s="1"/>
      <c r="K25" s="1"/>
      <c r="L25" s="1"/>
      <c r="M25" s="1"/>
    </row>
    <row r="26" ht="15" customHeight="1">
      <c r="A26" s="1"/>
      <c r="B26" s="35" t="s">
        <v>70</v>
      </c>
      <c r="C26" s="43" t="s">
        <v>35</v>
      </c>
      <c r="D26" s="43" t="s">
        <v>35</v>
      </c>
      <c r="E26" s="43" t="s">
        <v>35</v>
      </c>
      <c r="F26" s="43" t="s">
        <v>35</v>
      </c>
      <c r="G26" s="43" t="s">
        <v>35</v>
      </c>
      <c r="H26" s="37">
        <f t="shared" si="5"/>
        <v>0.07079646017699104</v>
      </c>
      <c r="I26" s="1"/>
      <c r="J26" s="1"/>
      <c r="K26" s="1"/>
      <c r="L26" s="1"/>
      <c r="M26" s="1"/>
    </row>
    <row r="27" ht="15" customHeight="1">
      <c r="A27" s="1"/>
      <c r="B27" s="35" t="s">
        <v>73</v>
      </c>
      <c r="C27" s="27">
        <f>C25-AVERAGE(Inputs!F312,Inputs!G312)</f>
        <v>0.15000000000000213</v>
      </c>
      <c r="D27" s="40">
        <f t="shared" si="6"/>
        <v>0.15000000000000213</v>
      </c>
      <c r="E27" s="1"/>
      <c r="F27" s="40">
        <f t="shared" si="11"/>
        <v>0.19999999999999574</v>
      </c>
      <c r="G27" s="40">
        <f t="shared" si="6"/>
        <v>0.40000000000000213</v>
      </c>
      <c r="H27" s="38">
        <f t="shared" si="6"/>
        <v>0.4499999999999993</v>
      </c>
      <c r="I27" s="1"/>
      <c r="J27" s="1"/>
      <c r="K27" s="1"/>
      <c r="L27" s="1"/>
      <c r="M27" s="1"/>
    </row>
    <row r="28" ht="15" customHeight="1">
      <c r="A28" s="1"/>
      <c r="B28" s="1" t="s">
        <v>183</v>
      </c>
      <c r="C28" s="17">
        <f t="shared" si="12" ref="C28:H28">C12-C21</f>
        <v>5.800000000000001</v>
      </c>
      <c r="D28" s="17">
        <f t="shared" si="12"/>
        <v>5.800000000000001</v>
      </c>
      <c r="E28" s="17">
        <f t="shared" si="12"/>
        <v>5.800000000000001</v>
      </c>
      <c r="F28" s="17">
        <f t="shared" si="12"/>
        <v>5.800000000000001</v>
      </c>
      <c r="G28" s="17">
        <f t="shared" si="12"/>
        <v>5.899999999999999</v>
      </c>
      <c r="H28" s="52">
        <f t="shared" si="12"/>
        <v>5.9999999999999964</v>
      </c>
      <c r="I28" s="1"/>
      <c r="J28" s="1"/>
      <c r="K28" s="1"/>
      <c r="L28" s="1"/>
      <c r="M28" s="1"/>
    </row>
    <row r="29" ht="15" customHeight="1">
      <c r="A29" s="1"/>
      <c r="B29" s="35" t="s">
        <v>70</v>
      </c>
      <c r="C29" s="43" t="s">
        <v>35</v>
      </c>
      <c r="D29" s="43" t="s">
        <v>35</v>
      </c>
      <c r="E29" s="43" t="s">
        <v>35</v>
      </c>
      <c r="F29" s="43" t="s">
        <v>35</v>
      </c>
      <c r="G29" s="43" t="s">
        <v>35</v>
      </c>
      <c r="H29" s="37">
        <f t="shared" si="5"/>
        <v>0.034482758620688836</v>
      </c>
      <c r="I29" s="1"/>
      <c r="J29" s="1"/>
      <c r="K29" s="1"/>
      <c r="L29" s="1"/>
      <c r="M29" s="1"/>
    </row>
    <row r="30" ht="15" customHeight="1">
      <c r="A30" s="1"/>
      <c r="B30" s="35" t="s">
        <v>73</v>
      </c>
      <c r="C30" s="27">
        <f>C28-(Inputs!G307-Inputs!G312)</f>
        <v>0.1999999999999993</v>
      </c>
      <c r="D30" s="40">
        <f t="shared" si="6"/>
        <v>0</v>
      </c>
      <c r="E30" s="1"/>
      <c r="F30" s="40">
        <f t="shared" si="11"/>
        <v>0</v>
      </c>
      <c r="G30" s="40">
        <f t="shared" si="6"/>
        <v>0.09999999999999787</v>
      </c>
      <c r="H30" s="38">
        <f t="shared" si="6"/>
        <v>0.09999999999999787</v>
      </c>
      <c r="I30" s="1"/>
      <c r="J30" s="1"/>
      <c r="K30" s="1"/>
      <c r="L30" s="1"/>
      <c r="M30" s="1"/>
    </row>
    <row r="31" ht="15" customHeight="1">
      <c r="A31" s="1"/>
      <c r="B31" s="4" t="s">
        <v>184</v>
      </c>
      <c r="C31" s="39">
        <f t="shared" si="13" ref="C31:H31">C21/C12</f>
        <v>0.7456140350877193</v>
      </c>
      <c r="D31" s="39">
        <f t="shared" si="13"/>
        <v>0.7478260869565218</v>
      </c>
      <c r="E31" s="39">
        <f t="shared" si="13"/>
        <v>0.7478260869565218</v>
      </c>
      <c r="F31" s="39">
        <f t="shared" si="13"/>
        <v>0.75</v>
      </c>
      <c r="G31" s="39">
        <f t="shared" si="13"/>
        <v>0.7531380753138076</v>
      </c>
      <c r="H31" s="37">
        <f t="shared" si="13"/>
        <v>0.7530864197530865</v>
      </c>
      <c r="I31" s="1"/>
      <c r="J31" s="1"/>
      <c r="K31" s="1"/>
      <c r="L31" s="1"/>
      <c r="M31" s="1"/>
    </row>
    <row r="32" ht="15" customHeight="1">
      <c r="A32" s="1"/>
      <c r="B32" s="35" t="s">
        <v>81</v>
      </c>
      <c r="C32" s="43" t="s">
        <v>35</v>
      </c>
      <c r="D32" s="43" t="s">
        <v>35</v>
      </c>
      <c r="E32" s="43" t="s">
        <v>35</v>
      </c>
      <c r="F32" s="43" t="s">
        <v>35</v>
      </c>
      <c r="G32" s="43" t="s">
        <v>35</v>
      </c>
      <c r="H32" s="48">
        <f t="shared" si="21" ref="H32:H144">(H31-C31)*10000</f>
        <v>74.7238466536726</v>
      </c>
      <c r="I32" s="1"/>
      <c r="J32" s="1"/>
      <c r="K32" s="1"/>
      <c r="L32" s="1"/>
      <c r="M32" s="1"/>
    </row>
    <row r="33" ht="15" customHeight="1">
      <c r="A33" s="1"/>
      <c r="B33" s="35" t="s">
        <v>82</v>
      </c>
      <c r="C33" s="43" t="s">
        <v>35</v>
      </c>
      <c r="D33" s="49">
        <f t="shared" si="14" ref="D33:H145">(D31-C31)*10000</f>
        <v>22.12051868802467</v>
      </c>
      <c r="E33" s="1"/>
      <c r="F33" s="49">
        <f t="shared" si="22" ref="F33:F145">(F31-D31)*10000</f>
        <v>21.73913043478248</v>
      </c>
      <c r="G33" s="49">
        <f t="shared" si="14"/>
        <v>31.380753138076088</v>
      </c>
      <c r="H33" s="48">
        <f t="shared" si="14"/>
        <v>-0.5165556072106448</v>
      </c>
      <c r="I33" s="1"/>
      <c r="J33" s="1"/>
      <c r="K33" s="1"/>
      <c r="L33" s="1"/>
      <c r="M33" s="1"/>
    </row>
    <row r="34" ht="15" customHeight="1">
      <c r="A34" s="1"/>
      <c r="B34" s="1" t="s">
        <v>185</v>
      </c>
      <c r="C34" s="55">
        <v>6307</v>
      </c>
      <c r="D34" s="55">
        <v>6675</v>
      </c>
      <c r="E34" s="55">
        <v>24822</v>
      </c>
      <c r="F34" s="55">
        <v>6452</v>
      </c>
      <c r="G34" s="55">
        <v>6535</v>
      </c>
      <c r="H34" s="60">
        <v>6500</v>
      </c>
      <c r="I34" s="1"/>
      <c r="J34" s="4" t="s">
        <v>252</v>
      </c>
      <c r="K34" s="1"/>
      <c r="L34" s="1"/>
      <c r="M34" s="1"/>
    </row>
    <row r="35" ht="15" customHeight="1">
      <c r="A35" s="1"/>
      <c r="B35" s="35" t="s">
        <v>70</v>
      </c>
      <c r="C35" s="36">
        <f>C34/Inputs!C308-1</f>
        <v>0.08200377423228677</v>
      </c>
      <c r="D35" s="36">
        <f>D34/Inputs!D308-1</f>
        <v>0.11194402798600689</v>
      </c>
      <c r="E35" s="36">
        <f>E34/Inputs!E308-1</f>
        <v>0.08086218158066627</v>
      </c>
      <c r="F35" s="36">
        <f>F34/Inputs!F308-1</f>
        <v>0.14824701904253423</v>
      </c>
      <c r="G35" s="36">
        <f>G34/Inputs!G308-1</f>
        <v>0.05454252057447162</v>
      </c>
      <c r="H35" s="37">
        <f t="shared" si="5"/>
        <v>0.030600919613128275</v>
      </c>
      <c r="I35" s="1"/>
      <c r="J35" s="1"/>
      <c r="K35" s="1"/>
      <c r="L35" s="1"/>
      <c r="M35" s="1"/>
    </row>
    <row r="36" ht="15" customHeight="1">
      <c r="A36" s="1"/>
      <c r="B36" s="35" t="s">
        <v>71</v>
      </c>
      <c r="C36" s="57">
        <f>C34-Inputs!C308</f>
        <v>478</v>
      </c>
      <c r="D36" s="57">
        <f>D34-Inputs!D308</f>
        <v>672</v>
      </c>
      <c r="E36" s="57">
        <f>E34-Inputs!E308</f>
        <v>1857</v>
      </c>
      <c r="F36" s="57">
        <f>F34-Inputs!F308</f>
        <v>833</v>
      </c>
      <c r="G36" s="57">
        <f>G34-Inputs!G308</f>
        <v>338</v>
      </c>
      <c r="H36" s="58">
        <f t="shared" si="9"/>
        <v>193</v>
      </c>
      <c r="I36" s="1"/>
      <c r="J36" s="1"/>
      <c r="K36" s="1"/>
      <c r="L36" s="1"/>
      <c r="M36" s="1"/>
    </row>
    <row r="37" ht="15" customHeight="1">
      <c r="A37" s="1"/>
      <c r="B37" s="35" t="s">
        <v>73</v>
      </c>
      <c r="C37" s="57">
        <f>C34-Inputs!G308</f>
        <v>110</v>
      </c>
      <c r="D37" s="59">
        <f t="shared" si="3"/>
        <v>368</v>
      </c>
      <c r="E37" s="1"/>
      <c r="F37" s="59">
        <f t="shared" si="10"/>
        <v>-223</v>
      </c>
      <c r="G37" s="59">
        <f t="shared" si="3"/>
        <v>83</v>
      </c>
      <c r="H37" s="58">
        <f t="shared" si="3"/>
        <v>-35</v>
      </c>
      <c r="I37" s="1"/>
      <c r="J37" s="1"/>
      <c r="K37" s="1"/>
      <c r="L37" s="1"/>
      <c r="M37" s="1"/>
    </row>
    <row r="38" ht="15" customHeight="1">
      <c r="A38" s="1"/>
      <c r="B38" s="3" t="s">
        <v>187</v>
      </c>
      <c r="C38" s="33">
        <v>106.9</v>
      </c>
      <c r="D38" s="33">
        <v>114.3</v>
      </c>
      <c r="E38" s="33">
        <v>418</v>
      </c>
      <c r="F38" s="33">
        <v>111.7</v>
      </c>
      <c r="G38" s="33">
        <v>117.2</v>
      </c>
      <c r="H38" s="34">
        <f>H25*H34/1000</f>
        <v>117.97499999999998</v>
      </c>
      <c r="I38" s="1"/>
      <c r="J38" s="4" t="s">
        <v>188</v>
      </c>
      <c r="K38" s="1"/>
      <c r="L38" s="1"/>
      <c r="M38" s="1"/>
    </row>
    <row r="39" ht="15" customHeight="1">
      <c r="A39" s="1"/>
      <c r="B39" s="35" t="s">
        <v>70</v>
      </c>
      <c r="C39" s="36">
        <f>C38/Inputs!C306-1</f>
        <v>0.14209401709401726</v>
      </c>
      <c r="D39" s="36">
        <f>D38/Inputs!D306-1</f>
        <v>0.16990788126919143</v>
      </c>
      <c r="E39" s="36">
        <f>E38/Inputs!E306-1</f>
        <v>0.13927500681384575</v>
      </c>
      <c r="F39" s="36">
        <f>F38/Inputs!F306-1</f>
        <v>0.2023681377825619</v>
      </c>
      <c r="G39" s="36">
        <f>G38/Inputs!G306-1</f>
        <v>0.1280076997112607</v>
      </c>
      <c r="H39" s="37">
        <f t="shared" si="5"/>
        <v>0.10360149672591179</v>
      </c>
      <c r="I39" s="1"/>
      <c r="J39" s="1"/>
      <c r="K39" s="1"/>
      <c r="L39" s="1"/>
      <c r="M39" s="1"/>
    </row>
    <row r="40" ht="15" customHeight="1">
      <c r="A40" s="1"/>
      <c r="B40" s="35" t="s">
        <v>71</v>
      </c>
      <c r="C40" s="27">
        <f>C38-Inputs!C306</f>
        <v>13.300000000000011</v>
      </c>
      <c r="D40" s="27">
        <f>D38-Inputs!D306</f>
        <v>16.599999999999994</v>
      </c>
      <c r="E40" s="27">
        <f>E38-Inputs!E306</f>
        <v>51.10000000000002</v>
      </c>
      <c r="F40" s="27">
        <f>F38-Inputs!F306</f>
        <v>18.799999999999997</v>
      </c>
      <c r="G40" s="27">
        <f>G38-Inputs!G306</f>
        <v>13.299999999999997</v>
      </c>
      <c r="H40" s="38">
        <f t="shared" si="9"/>
        <v>11.074999999999974</v>
      </c>
      <c r="I40" s="1"/>
      <c r="J40" s="1"/>
      <c r="K40" s="1"/>
      <c r="L40" s="1"/>
      <c r="M40" s="1"/>
    </row>
    <row r="41" ht="15" customHeight="1">
      <c r="A41" s="1"/>
      <c r="B41" s="35" t="s">
        <v>72</v>
      </c>
      <c r="C41" s="36">
        <f>C38/Inputs!G306-1</f>
        <v>0.02887391722810384</v>
      </c>
      <c r="D41" s="39">
        <f t="shared" si="15" ref="D41:H41">D38/C38-1</f>
        <v>0.06922357343311503</v>
      </c>
      <c r="E41" s="1"/>
      <c r="F41" s="39">
        <f>F38/D38-1</f>
        <v>-0.022747156605424257</v>
      </c>
      <c r="G41" s="39">
        <f t="shared" si="15"/>
        <v>0.04923903312444056</v>
      </c>
      <c r="H41" s="37">
        <f t="shared" si="15"/>
        <v>0.006612627986347874</v>
      </c>
      <c r="I41" s="1"/>
      <c r="J41" s="1"/>
      <c r="K41" s="1"/>
      <c r="L41" s="1"/>
      <c r="M41" s="1"/>
    </row>
    <row r="42" ht="15" customHeight="1">
      <c r="A42" s="1"/>
      <c r="B42" s="35" t="s">
        <v>73</v>
      </c>
      <c r="C42" s="27">
        <f>C38-Inputs!G306</f>
        <v>3</v>
      </c>
      <c r="D42" s="40">
        <f t="shared" si="16" ref="D42:H42">D38-C38</f>
        <v>7.3999999999999915</v>
      </c>
      <c r="E42" s="1"/>
      <c r="F42" s="40">
        <f>F38-D38</f>
        <v>-2.5999999999999943</v>
      </c>
      <c r="G42" s="40">
        <f t="shared" si="16"/>
        <v>5.5</v>
      </c>
      <c r="H42" s="38">
        <f t="shared" si="16"/>
        <v>0.7749999999999773</v>
      </c>
      <c r="I42" s="1"/>
      <c r="J42" s="1"/>
      <c r="K42" s="1"/>
      <c r="L42" s="1"/>
      <c r="M42" s="1"/>
    </row>
    <row r="43" ht="15" customHeight="1">
      <c r="A43" s="1"/>
      <c r="B43" s="41" t="s">
        <v>234</v>
      </c>
      <c r="C43" s="50">
        <v>0.14</v>
      </c>
      <c r="D43" s="50">
        <v>0.17</v>
      </c>
      <c r="E43" s="50">
        <v>0.14</v>
      </c>
      <c r="F43" s="50">
        <v>0.2</v>
      </c>
      <c r="G43" s="50">
        <v>0.13</v>
      </c>
      <c r="H43" s="37">
        <f>H39</f>
        <v>0.10360149672591179</v>
      </c>
      <c r="I43" s="1"/>
      <c r="J43" s="4" t="s">
        <v>235</v>
      </c>
      <c r="K43" s="1"/>
      <c r="L43" s="1"/>
      <c r="M43" s="1"/>
    </row>
    <row r="44" ht="15" customHeight="1">
      <c r="A44" s="1"/>
      <c r="B44" s="41" t="s">
        <v>236</v>
      </c>
      <c r="C44" s="50">
        <v>0.13</v>
      </c>
      <c r="D44" s="50">
        <v>0.12</v>
      </c>
      <c r="E44" s="50">
        <v>0.13</v>
      </c>
      <c r="F44" s="50">
        <v>0.13</v>
      </c>
      <c r="G44" s="50">
        <v>0.12</v>
      </c>
      <c r="H44" s="37">
        <f>(1+H43)/(1+H46)-1</f>
        <v>0.12040761088925067</v>
      </c>
      <c r="I44" s="1"/>
      <c r="J44" s="4" t="s">
        <v>235</v>
      </c>
      <c r="K44" s="1"/>
      <c r="L44" s="1"/>
      <c r="M44" s="1"/>
    </row>
    <row r="45" ht="15" customHeight="1">
      <c r="A45" s="1"/>
      <c r="B45" s="41" t="s">
        <v>74</v>
      </c>
      <c r="C45" s="39">
        <f t="shared" si="17" ref="C45:H45">C39</f>
        <v>0.14209401709401726</v>
      </c>
      <c r="D45" s="39">
        <f t="shared" si="17"/>
        <v>0.16990788126919143</v>
      </c>
      <c r="E45" s="39">
        <f t="shared" si="17"/>
        <v>0.13927500681384575</v>
      </c>
      <c r="F45" s="39">
        <f t="shared" si="17"/>
        <v>0.2023681377825619</v>
      </c>
      <c r="G45" s="39">
        <f t="shared" si="17"/>
        <v>0.1280076997112607</v>
      </c>
      <c r="H45" s="37">
        <f t="shared" si="17"/>
        <v>0.10360149672591179</v>
      </c>
      <c r="I45" s="1"/>
      <c r="J45" s="1"/>
      <c r="K45" s="1"/>
      <c r="L45" s="1"/>
      <c r="M45" s="1"/>
    </row>
    <row r="46" ht="15" customHeight="1">
      <c r="A46" s="1"/>
      <c r="B46" s="41" t="s">
        <v>75</v>
      </c>
      <c r="C46" s="39">
        <f t="shared" si="18" ref="C46:G46">(1+C43)/(1+C44)-1</f>
        <v>0.00884955752212413</v>
      </c>
      <c r="D46" s="39">
        <f t="shared" si="18"/>
        <v>0.044642857142856984</v>
      </c>
      <c r="E46" s="39">
        <f t="shared" si="18"/>
        <v>0.00884955752212413</v>
      </c>
      <c r="F46" s="39">
        <f t="shared" si="18"/>
        <v>0.06194690265486735</v>
      </c>
      <c r="G46" s="39">
        <f t="shared" si="18"/>
        <v>0.008928571428571175</v>
      </c>
      <c r="H46" s="66">
        <v>-0.015</v>
      </c>
      <c r="I46" s="1"/>
      <c r="J46" s="4" t="s">
        <v>253</v>
      </c>
      <c r="K46" s="1"/>
      <c r="L46" s="1"/>
      <c r="M46" s="1"/>
    </row>
    <row r="47" ht="15" customHeight="1">
      <c r="A47" s="1"/>
      <c r="B47" s="41" t="s">
        <v>77</v>
      </c>
      <c r="C47" s="43" t="s">
        <v>35</v>
      </c>
      <c r="D47" s="43" t="s">
        <v>35</v>
      </c>
      <c r="E47" s="43" t="s">
        <v>35</v>
      </c>
      <c r="F47" s="43" t="s">
        <v>35</v>
      </c>
      <c r="G47" s="43" t="s">
        <v>35</v>
      </c>
      <c r="H47" s="44" t="s">
        <v>35</v>
      </c>
      <c r="I47" s="1"/>
      <c r="J47" s="1"/>
      <c r="K47" s="1"/>
      <c r="L47" s="1"/>
      <c r="M47" s="1"/>
    </row>
    <row r="48" ht="15" customHeight="1">
      <c r="A48" s="1"/>
      <c r="B48" s="41" t="s">
        <v>78</v>
      </c>
      <c r="C48" s="45" t="str">
        <f t="shared" si="19" ref="C48:H105">IF(AND(ISNUMBER(C45),ISNUMBER(C46),ISNUMBER(C47)),(1+C45)/((1+C47)*(1+C46))-1,"unavailable")</f>
        <v>unavailable</v>
      </c>
      <c r="D48" s="45" t="str">
        <f t="shared" si="19"/>
        <v>unavailable</v>
      </c>
      <c r="E48" s="45" t="str">
        <f t="shared" si="19"/>
        <v>unavailable</v>
      </c>
      <c r="F48" s="45" t="str">
        <f t="shared" si="19"/>
        <v>unavailable</v>
      </c>
      <c r="G48" s="45" t="str">
        <f t="shared" si="19"/>
        <v>unavailable</v>
      </c>
      <c r="H48" s="46" t="str">
        <f t="shared" si="19"/>
        <v>unavailable</v>
      </c>
      <c r="I48" s="1"/>
      <c r="J48" s="1"/>
      <c r="K48" s="1"/>
      <c r="L48" s="1"/>
      <c r="M48" s="1"/>
    </row>
    <row r="49" ht="15" customHeight="1">
      <c r="A49" s="1"/>
      <c r="B49" s="1"/>
      <c r="C49" s="1"/>
      <c r="D49" s="1"/>
      <c r="E49" s="1"/>
      <c r="F49" s="1"/>
      <c r="G49" s="1"/>
      <c r="H49" s="29"/>
      <c r="I49" s="1"/>
      <c r="J49" s="1"/>
      <c r="K49" s="1"/>
      <c r="L49" s="1"/>
      <c r="M49" s="1"/>
    </row>
    <row r="50" ht="15" customHeight="1">
      <c r="A50" s="1"/>
      <c r="B50" s="30" t="s">
        <v>190</v>
      </c>
      <c r="C50" s="1"/>
      <c r="D50" s="1"/>
      <c r="E50" s="1"/>
      <c r="F50" s="1"/>
      <c r="G50" s="1"/>
      <c r="H50" s="29"/>
      <c r="I50" s="1"/>
      <c r="J50" s="1"/>
      <c r="K50" s="1"/>
      <c r="L50" s="1"/>
      <c r="M50" s="1"/>
    </row>
    <row r="51" ht="15" customHeight="1">
      <c r="A51" s="1"/>
      <c r="B51" s="1" t="s">
        <v>191</v>
      </c>
      <c r="C51" s="16">
        <f>Inputs!G309</f>
        <v>40991</v>
      </c>
      <c r="D51" s="17">
        <f t="shared" si="1"/>
        <v>41488</v>
      </c>
      <c r="E51" s="16">
        <f>Inputs!E309</f>
        <v>37442</v>
      </c>
      <c r="F51" s="17">
        <f t="shared" si="7"/>
        <v>43409</v>
      </c>
      <c r="G51" s="17">
        <f t="shared" si="1"/>
        <v>43708</v>
      </c>
      <c r="H51" s="52">
        <f t="shared" si="1"/>
        <v>45305</v>
      </c>
      <c r="I51" s="1"/>
      <c r="J51" s="1"/>
      <c r="K51" s="1"/>
      <c r="L51" s="1"/>
      <c r="M51" s="1"/>
    </row>
    <row r="52" ht="15" customHeight="1">
      <c r="A52" s="1"/>
      <c r="B52" s="1" t="s">
        <v>192</v>
      </c>
      <c r="C52" s="17">
        <f t="shared" si="2"/>
        <v>497</v>
      </c>
      <c r="D52" s="17">
        <f t="shared" si="2"/>
        <v>1921</v>
      </c>
      <c r="E52" s="17">
        <f t="shared" si="2"/>
        <v>5967</v>
      </c>
      <c r="F52" s="17">
        <f t="shared" si="2"/>
        <v>299</v>
      </c>
      <c r="G52" s="17">
        <f t="shared" si="2"/>
        <v>1597</v>
      </c>
      <c r="H52" s="52">
        <f t="shared" si="2"/>
        <v>1095</v>
      </c>
      <c r="I52" s="1"/>
      <c r="J52" s="1"/>
      <c r="K52" s="1"/>
      <c r="L52" s="1"/>
      <c r="M52" s="1"/>
    </row>
    <row r="53" ht="15" customHeight="1">
      <c r="A53" s="1"/>
      <c r="B53" s="3" t="s">
        <v>193</v>
      </c>
      <c r="C53" s="33">
        <v>41488</v>
      </c>
      <c r="D53" s="33">
        <v>43409</v>
      </c>
      <c r="E53" s="33">
        <v>43409</v>
      </c>
      <c r="F53" s="33">
        <v>43708</v>
      </c>
      <c r="G53" s="33">
        <v>45305</v>
      </c>
      <c r="H53" s="65">
        <v>46400</v>
      </c>
      <c r="I53" s="1"/>
      <c r="J53" s="4" t="s">
        <v>254</v>
      </c>
      <c r="K53" s="1"/>
      <c r="L53" s="1"/>
      <c r="M53" s="1"/>
    </row>
    <row r="54" ht="15" customHeight="1">
      <c r="A54" s="1"/>
      <c r="B54" s="35" t="s">
        <v>70</v>
      </c>
      <c r="C54" s="36">
        <f>C53/Inputs!C309-1</f>
        <v>0.10752802989855836</v>
      </c>
      <c r="D54" s="36">
        <f>D53/Inputs!D309-1</f>
        <v>0.15936648683296828</v>
      </c>
      <c r="E54" s="36">
        <f>E53/Inputs!E309-1</f>
        <v>0.15936648683296828</v>
      </c>
      <c r="F54" s="36">
        <f>F53/Inputs!F309-1</f>
        <v>0.16872560029948125</v>
      </c>
      <c r="G54" s="36">
        <f>G53/Inputs!G309-1</f>
        <v>0.10524261423239256</v>
      </c>
      <c r="H54" s="37">
        <f t="shared" si="5"/>
        <v>0.1183956806787505</v>
      </c>
      <c r="I54" s="1"/>
      <c r="J54" s="1"/>
      <c r="K54" s="1"/>
      <c r="L54" s="1"/>
      <c r="M54" s="1"/>
    </row>
    <row r="55" ht="15" customHeight="1">
      <c r="A55" s="1"/>
      <c r="B55" s="35" t="s">
        <v>71</v>
      </c>
      <c r="C55" s="27">
        <f>C53-Inputs!C309</f>
        <v>4028</v>
      </c>
      <c r="D55" s="27">
        <f>D53-Inputs!D309</f>
        <v>5967</v>
      </c>
      <c r="E55" s="27">
        <f>E53-Inputs!E309</f>
        <v>5967</v>
      </c>
      <c r="F55" s="27">
        <f>F53-Inputs!F309</f>
        <v>6310</v>
      </c>
      <c r="G55" s="27">
        <f>G53-Inputs!G309</f>
        <v>4314</v>
      </c>
      <c r="H55" s="38">
        <f t="shared" si="9"/>
        <v>4912</v>
      </c>
      <c r="I55" s="1"/>
      <c r="J55" s="1"/>
      <c r="K55" s="1"/>
      <c r="L55" s="1"/>
      <c r="M55" s="1"/>
    </row>
    <row r="56" ht="15" customHeight="1">
      <c r="A56" s="1"/>
      <c r="B56" s="35" t="s">
        <v>73</v>
      </c>
      <c r="C56" s="27">
        <f>C53-Inputs!G309</f>
        <v>497</v>
      </c>
      <c r="D56" s="40">
        <f t="shared" si="3"/>
        <v>1921</v>
      </c>
      <c r="E56" s="1"/>
      <c r="F56" s="40">
        <f t="shared" si="10"/>
        <v>299</v>
      </c>
      <c r="G56" s="40">
        <f t="shared" si="3"/>
        <v>1597</v>
      </c>
      <c r="H56" s="38">
        <f t="shared" si="3"/>
        <v>1095</v>
      </c>
      <c r="I56" s="1"/>
      <c r="J56" s="1"/>
      <c r="K56" s="1"/>
      <c r="L56" s="1"/>
      <c r="M56" s="1"/>
    </row>
    <row r="57" ht="15" customHeight="1">
      <c r="A57" s="1"/>
      <c r="B57" s="1" t="s">
        <v>195</v>
      </c>
      <c r="C57" s="53">
        <v>40948</v>
      </c>
      <c r="D57" s="53">
        <v>42590</v>
      </c>
      <c r="E57" s="53">
        <v>39886</v>
      </c>
      <c r="F57" s="53">
        <v>43950</v>
      </c>
      <c r="G57" s="53">
        <v>44975</v>
      </c>
      <c r="H57" s="52">
        <f t="shared" si="4"/>
        <v>45852.5</v>
      </c>
      <c r="I57" s="1"/>
      <c r="J57" s="4" t="s">
        <v>196</v>
      </c>
      <c r="K57" s="1"/>
      <c r="L57" s="1"/>
      <c r="M57" s="1"/>
    </row>
    <row r="58" ht="15" customHeight="1">
      <c r="A58" s="1"/>
      <c r="B58" s="35" t="s">
        <v>70</v>
      </c>
      <c r="C58" s="43" t="s">
        <v>35</v>
      </c>
      <c r="D58" s="36">
        <f>D57/Inputs!D313-1</f>
        <v>0.14387774286251442</v>
      </c>
      <c r="E58" s="36">
        <f>E57/Inputs!E313-1</f>
        <v>0.11784983604719601</v>
      </c>
      <c r="F58" s="36">
        <f>F57/Inputs!F313-1</f>
        <v>0.20453860279003488</v>
      </c>
      <c r="G58" s="36">
        <f>G57/Inputs!G313-1</f>
        <v>0.13650721451494707</v>
      </c>
      <c r="H58" s="37">
        <f t="shared" si="5"/>
        <v>0.11977385952915887</v>
      </c>
      <c r="I58" s="1"/>
      <c r="J58" s="1"/>
      <c r="K58" s="1"/>
      <c r="L58" s="1"/>
      <c r="M58" s="1"/>
    </row>
    <row r="59" ht="15" customHeight="1">
      <c r="A59" s="1"/>
      <c r="B59" s="35" t="s">
        <v>71</v>
      </c>
      <c r="C59" s="43" t="s">
        <v>35</v>
      </c>
      <c r="D59" s="27">
        <f>D57-Inputs!D313</f>
        <v>5357</v>
      </c>
      <c r="E59" s="27">
        <f>E57-Inputs!E313</f>
        <v>4205</v>
      </c>
      <c r="F59" s="27">
        <f>F57-Inputs!F313</f>
        <v>7463</v>
      </c>
      <c r="G59" s="27">
        <f>G57-Inputs!G313</f>
        <v>5402</v>
      </c>
      <c r="H59" s="38">
        <f t="shared" si="9"/>
        <v>4904.5</v>
      </c>
      <c r="I59" s="1"/>
      <c r="J59" s="1"/>
      <c r="K59" s="1"/>
      <c r="L59" s="1"/>
      <c r="M59" s="1"/>
    </row>
    <row r="60" ht="15" customHeight="1">
      <c r="A60" s="1"/>
      <c r="B60" s="35" t="s">
        <v>73</v>
      </c>
      <c r="C60" s="27">
        <f>C57-Inputs!G313</f>
        <v>1375</v>
      </c>
      <c r="D60" s="40">
        <f t="shared" si="3"/>
        <v>1642</v>
      </c>
      <c r="E60" s="1"/>
      <c r="F60" s="40">
        <f t="shared" si="10"/>
        <v>1360</v>
      </c>
      <c r="G60" s="40">
        <f t="shared" si="3"/>
        <v>1025</v>
      </c>
      <c r="H60" s="38">
        <f t="shared" si="3"/>
        <v>877.5</v>
      </c>
      <c r="I60" s="1"/>
      <c r="J60" s="1"/>
      <c r="K60" s="1"/>
      <c r="L60" s="1"/>
      <c r="M60" s="1"/>
    </row>
    <row r="61" ht="15" customHeight="1">
      <c r="A61" s="1"/>
      <c r="B61" s="4" t="s">
        <v>197</v>
      </c>
      <c r="C61" s="39">
        <f t="shared" si="20" ref="C61:G61">C92/C57*365/C$7</f>
        <v>0.029260334422024113</v>
      </c>
      <c r="D61" s="39">
        <f t="shared" si="20"/>
        <v>0.0283185479342977</v>
      </c>
      <c r="E61" s="39">
        <f t="shared" si="20"/>
        <v>0.029609386752243894</v>
      </c>
      <c r="F61" s="39">
        <f t="shared" si="20"/>
        <v>0.03395778030590318</v>
      </c>
      <c r="G61" s="39">
        <f t="shared" si="20"/>
        <v>0.03192738334483749</v>
      </c>
      <c r="H61" s="66">
        <v>0.032</v>
      </c>
      <c r="I61" s="1"/>
      <c r="J61" s="4" t="s">
        <v>255</v>
      </c>
      <c r="K61" s="1"/>
      <c r="L61" s="1"/>
      <c r="M61" s="1"/>
    </row>
    <row r="62" ht="15" customHeight="1">
      <c r="A62" s="1"/>
      <c r="B62" s="35" t="s">
        <v>81</v>
      </c>
      <c r="C62" s="43" t="s">
        <v>35</v>
      </c>
      <c r="D62" s="47">
        <f>(D61-Inputs!D321)*10000</f>
        <v>0.8126660719072822</v>
      </c>
      <c r="E62" s="47">
        <f>(E61-Inputs!E321)*10000</f>
        <v>-9.115177471429766</v>
      </c>
      <c r="F62" s="47">
        <f>(F61-Inputs!F321)*10000</f>
        <v>17.24077586822102</v>
      </c>
      <c r="G62" s="47">
        <f>(G61-Inputs!G321)*10000</f>
        <v>30.40721526631436</v>
      </c>
      <c r="H62" s="48">
        <f t="shared" si="21"/>
        <v>27.39665577975888</v>
      </c>
      <c r="I62" s="1"/>
      <c r="J62" s="1"/>
      <c r="K62" s="1"/>
      <c r="L62" s="1"/>
      <c r="M62" s="1"/>
    </row>
    <row r="63" ht="15" customHeight="1">
      <c r="A63" s="1"/>
      <c r="B63" s="35" t="s">
        <v>82</v>
      </c>
      <c r="C63" s="47">
        <f>(C61-Inputs!G321)*10000</f>
        <v>3.7367260381806005</v>
      </c>
      <c r="D63" s="49">
        <f t="shared" si="14"/>
        <v>-9.417864877264114</v>
      </c>
      <c r="E63" s="1"/>
      <c r="F63" s="49">
        <f t="shared" si="22"/>
        <v>56.39232371605477</v>
      </c>
      <c r="G63" s="49">
        <f t="shared" si="14"/>
        <v>-20.303969610656893</v>
      </c>
      <c r="H63" s="48">
        <f t="shared" si="14"/>
        <v>0.7261665516251209</v>
      </c>
      <c r="I63" s="1"/>
      <c r="J63" s="1"/>
      <c r="K63" s="1"/>
      <c r="L63" s="1"/>
      <c r="M63" s="1"/>
    </row>
    <row r="64" ht="15" customHeight="1">
      <c r="A64" s="1"/>
      <c r="B64" s="4" t="s">
        <v>199</v>
      </c>
      <c r="C64" s="50">
        <v>0.02</v>
      </c>
      <c r="D64" s="50">
        <v>0.019</v>
      </c>
      <c r="E64" s="50">
        <v>0.019</v>
      </c>
      <c r="F64" s="50">
        <v>0.02</v>
      </c>
      <c r="G64" s="50">
        <v>0.02</v>
      </c>
      <c r="H64" s="66">
        <v>0.02</v>
      </c>
      <c r="I64" s="1"/>
      <c r="J64" s="4" t="s">
        <v>256</v>
      </c>
      <c r="K64" s="1"/>
      <c r="L64" s="1"/>
      <c r="M64" s="1"/>
    </row>
    <row r="65" ht="15" customHeight="1">
      <c r="A65" s="1"/>
      <c r="B65" s="35" t="s">
        <v>81</v>
      </c>
      <c r="C65" s="47">
        <f>(C64-Inputs!C310)*10000</f>
        <v>20.000000000000018</v>
      </c>
      <c r="D65" s="47">
        <f>(D64-Inputs!D310)*10000</f>
        <v>19.999999999999982</v>
      </c>
      <c r="E65" s="47">
        <f>(E64-Inputs!E310)*10000</f>
        <v>0</v>
      </c>
      <c r="F65" s="47">
        <f>(F64-Inputs!F310)*10000</f>
        <v>20.000000000000018</v>
      </c>
      <c r="G65" s="47">
        <f>(G64-Inputs!G310)*10000</f>
        <v>0</v>
      </c>
      <c r="H65" s="48">
        <f t="shared" si="21"/>
        <v>0</v>
      </c>
      <c r="I65" s="1"/>
      <c r="J65" s="1"/>
      <c r="K65" s="1"/>
      <c r="L65" s="1"/>
      <c r="M65" s="1"/>
    </row>
    <row r="66" ht="15" customHeight="1">
      <c r="A66" s="1"/>
      <c r="B66" s="35" t="s">
        <v>82</v>
      </c>
      <c r="C66" s="47">
        <f>(C64-Inputs!G310)*10000</f>
        <v>0</v>
      </c>
      <c r="D66" s="49">
        <f t="shared" si="14"/>
        <v>-10.000000000000009</v>
      </c>
      <c r="E66" s="1"/>
      <c r="F66" s="49">
        <f t="shared" si="22"/>
        <v>10.000000000000009</v>
      </c>
      <c r="G66" s="49">
        <f t="shared" si="14"/>
        <v>0</v>
      </c>
      <c r="H66" s="48">
        <f t="shared" si="14"/>
        <v>0</v>
      </c>
      <c r="I66" s="1"/>
      <c r="J66" s="1"/>
      <c r="K66" s="1"/>
      <c r="L66" s="1"/>
      <c r="M66" s="1"/>
    </row>
    <row r="67" ht="15" customHeight="1">
      <c r="A67" s="1"/>
      <c r="B67" s="4" t="s">
        <v>201</v>
      </c>
      <c r="C67" s="50">
        <v>0.018</v>
      </c>
      <c r="D67" s="50">
        <v>0.017</v>
      </c>
      <c r="E67" s="50">
        <v>0.018</v>
      </c>
      <c r="F67" s="50">
        <v>0.018</v>
      </c>
      <c r="G67" s="50">
        <v>0.018</v>
      </c>
      <c r="H67" s="44" t="s">
        <v>35</v>
      </c>
      <c r="I67" s="1"/>
      <c r="J67" s="4" t="s">
        <v>202</v>
      </c>
      <c r="K67" s="1"/>
      <c r="L67" s="1"/>
      <c r="M67" s="1"/>
    </row>
    <row r="68" ht="15" customHeight="1">
      <c r="A68" s="1"/>
      <c r="B68" s="1" t="s">
        <v>203</v>
      </c>
      <c r="C68" s="17">
        <f t="shared" si="23" ref="C68:H68">C64*C57*C$7/365</f>
        <v>206.42279452054797</v>
      </c>
      <c r="D68" s="17">
        <f t="shared" si="23"/>
        <v>203.96526027397263</v>
      </c>
      <c r="E68" s="17">
        <f t="shared" si="23"/>
        <v>757.834</v>
      </c>
      <c r="F68" s="17">
        <f t="shared" si="23"/>
        <v>216.73972602739727</v>
      </c>
      <c r="G68" s="17">
        <f t="shared" si="23"/>
        <v>224.25890410958905</v>
      </c>
      <c r="H68" s="52">
        <f t="shared" si="23"/>
        <v>231.14684931506852</v>
      </c>
      <c r="I68" s="1"/>
      <c r="J68" s="4" t="s">
        <v>204</v>
      </c>
      <c r="K68" s="1"/>
      <c r="L68" s="1"/>
      <c r="M68" s="1"/>
    </row>
    <row r="69" ht="15" customHeight="1">
      <c r="A69" s="1"/>
      <c r="B69" s="35" t="s">
        <v>70</v>
      </c>
      <c r="C69" s="43" t="s">
        <v>35</v>
      </c>
      <c r="D69" s="43" t="s">
        <v>35</v>
      </c>
      <c r="E69" s="43" t="s">
        <v>35</v>
      </c>
      <c r="F69" s="43" t="s">
        <v>35</v>
      </c>
      <c r="G69" s="43" t="s">
        <v>35</v>
      </c>
      <c r="H69" s="37">
        <f t="shared" si="5"/>
        <v>0.11977385952915887</v>
      </c>
      <c r="I69" s="1"/>
      <c r="J69" s="1"/>
      <c r="K69" s="1"/>
      <c r="L69" s="1"/>
      <c r="M69" s="1"/>
    </row>
    <row r="70" ht="15" customHeight="1">
      <c r="A70" s="1"/>
      <c r="B70" s="35" t="s">
        <v>73</v>
      </c>
      <c r="C70" s="43" t="s">
        <v>35</v>
      </c>
      <c r="D70" s="40">
        <f t="shared" si="6"/>
        <v>-2.457534246575335</v>
      </c>
      <c r="E70" s="1"/>
      <c r="F70" s="40">
        <f t="shared" si="11"/>
        <v>12.774465753424636</v>
      </c>
      <c r="G70" s="40">
        <f t="shared" si="6"/>
        <v>7.519178082191786</v>
      </c>
      <c r="H70" s="38">
        <f t="shared" si="6"/>
        <v>6.887945205479468</v>
      </c>
      <c r="I70" s="1"/>
      <c r="J70" s="1"/>
      <c r="K70" s="1"/>
      <c r="L70" s="1"/>
      <c r="M70" s="1"/>
    </row>
    <row r="71" ht="15" customHeight="1">
      <c r="A71" s="1"/>
      <c r="B71" s="4" t="s">
        <v>205</v>
      </c>
      <c r="C71" s="50">
        <v>0.011</v>
      </c>
      <c r="D71" s="50">
        <v>0.011</v>
      </c>
      <c r="E71" s="50">
        <v>0.011</v>
      </c>
      <c r="F71" s="50">
        <v>0.012</v>
      </c>
      <c r="G71" s="50">
        <v>0.011</v>
      </c>
      <c r="H71" s="66">
        <v>0.011</v>
      </c>
      <c r="I71" s="1"/>
      <c r="J71" s="4" t="s">
        <v>257</v>
      </c>
      <c r="K71" s="1"/>
      <c r="L71" s="1"/>
      <c r="M71" s="1"/>
    </row>
    <row r="72" ht="15" customHeight="1">
      <c r="A72" s="1"/>
      <c r="B72" s="35" t="s">
        <v>81</v>
      </c>
      <c r="C72" s="47">
        <f>(C71-Inputs!C311)*10000</f>
        <v>9.999999999999991</v>
      </c>
      <c r="D72" s="47">
        <f>(D71-Inputs!D311)*10000</f>
        <v>9.999999999999991</v>
      </c>
      <c r="E72" s="47">
        <f>(E71-Inputs!E311)*10000</f>
        <v>9.999999999999991</v>
      </c>
      <c r="F72" s="47">
        <f>(F71-Inputs!F311)*10000</f>
        <v>10.000000000000009</v>
      </c>
      <c r="G72" s="47">
        <f>(G71-Inputs!G311)*10000</f>
        <v>0</v>
      </c>
      <c r="H72" s="48">
        <f t="shared" si="21"/>
        <v>0</v>
      </c>
      <c r="I72" s="1"/>
      <c r="J72" s="1"/>
      <c r="K72" s="1"/>
      <c r="L72" s="1"/>
      <c r="M72" s="1"/>
    </row>
    <row r="73" ht="15" customHeight="1">
      <c r="A73" s="1"/>
      <c r="B73" s="35" t="s">
        <v>82</v>
      </c>
      <c r="C73" s="47">
        <f>(C71-Inputs!G311)*10000</f>
        <v>0</v>
      </c>
      <c r="D73" s="49">
        <f t="shared" si="14"/>
        <v>0</v>
      </c>
      <c r="E73" s="1"/>
      <c r="F73" s="49">
        <f t="shared" si="22"/>
        <v>10.000000000000009</v>
      </c>
      <c r="G73" s="49">
        <f t="shared" si="14"/>
        <v>-10.000000000000009</v>
      </c>
      <c r="H73" s="48">
        <f t="shared" si="14"/>
        <v>0</v>
      </c>
      <c r="I73" s="1"/>
      <c r="J73" s="1"/>
      <c r="K73" s="1"/>
      <c r="L73" s="1"/>
      <c r="M73" s="1"/>
    </row>
    <row r="74" ht="15" customHeight="1">
      <c r="A74" s="1"/>
      <c r="B74" s="1"/>
      <c r="C74" s="1"/>
      <c r="D74" s="1"/>
      <c r="E74" s="1"/>
      <c r="F74" s="1"/>
      <c r="G74" s="1"/>
      <c r="H74" s="29"/>
      <c r="I74" s="1"/>
      <c r="J74" s="1"/>
      <c r="K74" s="1"/>
      <c r="L74" s="1"/>
      <c r="M74" s="1"/>
    </row>
    <row r="75" ht="15" customHeight="1">
      <c r="A75" s="1"/>
      <c r="B75" s="30" t="s">
        <v>207</v>
      </c>
      <c r="C75" s="1"/>
      <c r="D75" s="1"/>
      <c r="E75" s="1"/>
      <c r="F75" s="1"/>
      <c r="G75" s="1"/>
      <c r="H75" s="29"/>
      <c r="I75" s="1"/>
      <c r="J75" s="1"/>
      <c r="K75" s="1"/>
      <c r="L75" s="1"/>
      <c r="M75" s="1"/>
    </row>
    <row r="76" ht="15" customHeight="1">
      <c r="A76" s="1"/>
      <c r="B76" s="1" t="s">
        <v>208</v>
      </c>
      <c r="C76" s="17">
        <f t="shared" si="24" ref="C76:G76">C79/C38*10</f>
        <v>283.81665107577174</v>
      </c>
      <c r="D76" s="17">
        <f t="shared" si="24"/>
        <v>279.26509186351706</v>
      </c>
      <c r="E76" s="17">
        <f t="shared" si="24"/>
        <v>282.7511961722488</v>
      </c>
      <c r="F76" s="17">
        <f t="shared" si="24"/>
        <v>283.2587287376902</v>
      </c>
      <c r="G76" s="17">
        <f t="shared" si="24"/>
        <v>278.2423208191126</v>
      </c>
      <c r="H76" s="32">
        <v>280</v>
      </c>
      <c r="I76" s="1"/>
      <c r="J76" s="4" t="s">
        <v>258</v>
      </c>
      <c r="K76" s="1"/>
      <c r="L76" s="1"/>
      <c r="M76" s="1"/>
    </row>
    <row r="77" ht="15" customHeight="1">
      <c r="A77" s="1"/>
      <c r="B77" s="35" t="s">
        <v>81</v>
      </c>
      <c r="C77" s="27">
        <f>(C76-Inputs!C319)*1</f>
        <v>-0.26454550542484867</v>
      </c>
      <c r="D77" s="27">
        <f>(D76-Inputs!D319)*1</f>
        <v>0.3500458041516481</v>
      </c>
      <c r="E77" s="27">
        <f>(E76-Inputs!E319)*1</f>
        <v>0.14013048677588813</v>
      </c>
      <c r="F77" s="27">
        <f>(F76-Inputs!F319)*1</f>
        <v>-1.5636609286176508</v>
      </c>
      <c r="G77" s="27">
        <f>(G76-Inputs!G319)*1</f>
        <v>-5.395792751628505</v>
      </c>
      <c r="H77" s="38">
        <f t="shared" si="36" ref="H77:H123">(H76-C76)*1</f>
        <v>-3.8166510757717447</v>
      </c>
      <c r="I77" s="1"/>
      <c r="J77" s="1"/>
      <c r="K77" s="1"/>
      <c r="L77" s="1"/>
      <c r="M77" s="1"/>
    </row>
    <row r="78" ht="15" customHeight="1">
      <c r="A78" s="1"/>
      <c r="B78" s="35" t="s">
        <v>82</v>
      </c>
      <c r="C78" s="27">
        <f>(C76-Inputs!G319)*1</f>
        <v>0.17853750503064703</v>
      </c>
      <c r="D78" s="40">
        <f t="shared" si="25" ref="D78:H124">(D76-C76)*1</f>
        <v>-4.551559212254688</v>
      </c>
      <c r="E78" s="1"/>
      <c r="F78" s="40">
        <f t="shared" si="37" ref="F78:F124">(F76-D76)*1</f>
        <v>3.9936368741731485</v>
      </c>
      <c r="G78" s="40">
        <f t="shared" si="25"/>
        <v>-5.016407918577613</v>
      </c>
      <c r="H78" s="38">
        <f t="shared" si="25"/>
        <v>1.7576791808874077</v>
      </c>
      <c r="I78" s="1"/>
      <c r="J78" s="1"/>
      <c r="K78" s="1"/>
      <c r="L78" s="1"/>
      <c r="M78" s="1"/>
    </row>
    <row r="79" ht="15" customHeight="1">
      <c r="A79" s="1"/>
      <c r="B79" s="1" t="s">
        <v>144</v>
      </c>
      <c r="C79" s="53">
        <v>3034</v>
      </c>
      <c r="D79" s="53">
        <v>3192</v>
      </c>
      <c r="E79" s="53">
        <v>11819</v>
      </c>
      <c r="F79" s="53">
        <v>3164</v>
      </c>
      <c r="G79" s="53">
        <v>3261</v>
      </c>
      <c r="H79" s="52">
        <f>H38*H76/10</f>
        <v>3303.2999999999993</v>
      </c>
      <c r="I79" s="1"/>
      <c r="J79" s="4" t="s">
        <v>69</v>
      </c>
      <c r="K79" s="1"/>
      <c r="L79" s="1"/>
      <c r="M79" s="1"/>
    </row>
    <row r="80" ht="15" customHeight="1">
      <c r="A80" s="1"/>
      <c r="B80" s="35" t="s">
        <v>70</v>
      </c>
      <c r="C80" s="36">
        <f>C79/Inputs!C299-1</f>
        <v>0.14103046257991725</v>
      </c>
      <c r="D80" s="36">
        <f>D79/Inputs!D299-1</f>
        <v>0.17137614678899094</v>
      </c>
      <c r="E80" s="36">
        <f>E79/Inputs!E299-1</f>
        <v>0.13983990741633723</v>
      </c>
      <c r="F80" s="36">
        <f>F79/Inputs!F299-1</f>
        <v>0.1957671957671958</v>
      </c>
      <c r="G80" s="36">
        <f>G79/Inputs!G299-1</f>
        <v>0.10654903291482865</v>
      </c>
      <c r="H80" s="37">
        <f t="shared" si="5"/>
        <v>0.0887607119314433</v>
      </c>
      <c r="I80" s="1"/>
      <c r="J80" s="1"/>
      <c r="K80" s="1"/>
      <c r="L80" s="1"/>
      <c r="M80" s="1"/>
    </row>
    <row r="81" ht="15" customHeight="1">
      <c r="A81" s="1"/>
      <c r="B81" s="35" t="s">
        <v>72</v>
      </c>
      <c r="C81" s="36">
        <f>C79/Inputs!G299-1</f>
        <v>0.029521547336274212</v>
      </c>
      <c r="D81" s="39">
        <f t="shared" si="26" ref="D81:H101">D79/C79-1</f>
        <v>0.052076466710613056</v>
      </c>
      <c r="E81" s="1"/>
      <c r="F81" s="39">
        <f t="shared" si="28" ref="F81:F101">F79/D79-1</f>
        <v>-0.00877192982456143</v>
      </c>
      <c r="G81" s="39">
        <f t="shared" si="26"/>
        <v>0.030657395701643386</v>
      </c>
      <c r="H81" s="37">
        <f t="shared" si="26"/>
        <v>0.012971481140754193</v>
      </c>
      <c r="I81" s="1"/>
      <c r="J81" s="1"/>
      <c r="K81" s="1"/>
      <c r="L81" s="1"/>
      <c r="M81" s="1"/>
    </row>
    <row r="82" ht="15" customHeight="1">
      <c r="A82" s="1"/>
      <c r="B82" s="41" t="s">
        <v>74</v>
      </c>
      <c r="C82" s="39">
        <f t="shared" si="27" ref="C82:H102">C80</f>
        <v>0.14103046257991725</v>
      </c>
      <c r="D82" s="39">
        <f t="shared" si="27"/>
        <v>0.17137614678899094</v>
      </c>
      <c r="E82" s="39">
        <f t="shared" si="27"/>
        <v>0.13983990741633723</v>
      </c>
      <c r="F82" s="39">
        <f t="shared" si="27"/>
        <v>0.1957671957671958</v>
      </c>
      <c r="G82" s="39">
        <f t="shared" si="27"/>
        <v>0.10654903291482865</v>
      </c>
      <c r="H82" s="37">
        <f t="shared" si="27"/>
        <v>0.0887607119314433</v>
      </c>
      <c r="I82" s="1"/>
      <c r="J82" s="1"/>
      <c r="K82" s="1"/>
      <c r="L82" s="1"/>
      <c r="M82" s="1"/>
    </row>
    <row r="83" ht="15" customHeight="1">
      <c r="A83" s="1"/>
      <c r="B83" s="41" t="s">
        <v>75</v>
      </c>
      <c r="C83" s="43" t="s">
        <v>35</v>
      </c>
      <c r="D83" s="43" t="s">
        <v>35</v>
      </c>
      <c r="E83" s="43" t="s">
        <v>35</v>
      </c>
      <c r="F83" s="43" t="s">
        <v>35</v>
      </c>
      <c r="G83" s="43" t="s">
        <v>35</v>
      </c>
      <c r="H83" s="37">
        <f>H46</f>
        <v>-0.015</v>
      </c>
      <c r="I83" s="1"/>
      <c r="J83" s="1"/>
      <c r="K83" s="1"/>
      <c r="L83" s="1"/>
      <c r="M83" s="1"/>
    </row>
    <row r="84" ht="15" customHeight="1">
      <c r="A84" s="1"/>
      <c r="B84" s="41" t="s">
        <v>77</v>
      </c>
      <c r="C84" s="43" t="s">
        <v>35</v>
      </c>
      <c r="D84" s="43" t="s">
        <v>35</v>
      </c>
      <c r="E84" s="43" t="s">
        <v>35</v>
      </c>
      <c r="F84" s="43" t="s">
        <v>35</v>
      </c>
      <c r="G84" s="43" t="s">
        <v>35</v>
      </c>
      <c r="H84" s="44" t="s">
        <v>35</v>
      </c>
      <c r="I84" s="1"/>
      <c r="J84" s="1"/>
      <c r="K84" s="1"/>
      <c r="L84" s="1"/>
      <c r="M84" s="1"/>
    </row>
    <row r="85" ht="15" customHeight="1">
      <c r="A85" s="1"/>
      <c r="B85" s="41" t="s">
        <v>78</v>
      </c>
      <c r="C85" s="45" t="str">
        <f t="shared" si="19"/>
        <v>unavailable</v>
      </c>
      <c r="D85" s="45" t="str">
        <f t="shared" si="19"/>
        <v>unavailable</v>
      </c>
      <c r="E85" s="45" t="str">
        <f t="shared" si="19"/>
        <v>unavailable</v>
      </c>
      <c r="F85" s="45" t="str">
        <f t="shared" si="19"/>
        <v>unavailable</v>
      </c>
      <c r="G85" s="45" t="str">
        <f t="shared" si="19"/>
        <v>unavailable</v>
      </c>
      <c r="H85" s="46" t="str">
        <f t="shared" si="19"/>
        <v>unavailable</v>
      </c>
      <c r="I85" s="1"/>
      <c r="J85" s="1"/>
      <c r="K85" s="1"/>
      <c r="L85" s="1"/>
      <c r="M85" s="1"/>
    </row>
    <row r="86" ht="15" customHeight="1">
      <c r="A86" s="1"/>
      <c r="B86" s="1" t="s">
        <v>210</v>
      </c>
      <c r="C86" s="53">
        <v>652</v>
      </c>
      <c r="D86" s="53">
        <v>666</v>
      </c>
      <c r="E86" s="53">
        <v>2534</v>
      </c>
      <c r="F86" s="53">
        <v>728</v>
      </c>
      <c r="G86" s="53">
        <v>733</v>
      </c>
      <c r="H86" s="52">
        <f>H92+H89</f>
        <v>756.3528045937173</v>
      </c>
      <c r="I86" s="1"/>
      <c r="J86" s="4" t="s">
        <v>69</v>
      </c>
      <c r="K86" s="1"/>
      <c r="L86" s="1"/>
      <c r="M86" s="1"/>
    </row>
    <row r="87" ht="15" customHeight="1">
      <c r="A87" s="1"/>
      <c r="B87" s="35" t="s">
        <v>70</v>
      </c>
      <c r="C87" s="36">
        <f>C86/Inputs!C300-1</f>
        <v>0.10884353741496589</v>
      </c>
      <c r="D87" s="36">
        <f>D86/Inputs!D300-1</f>
        <v>0.1423670668953687</v>
      </c>
      <c r="E87" s="36">
        <f>E86/Inputs!E300-1</f>
        <v>0.08708708708708701</v>
      </c>
      <c r="F87" s="36">
        <f>F86/Inputs!F300-1</f>
        <v>0.2214765100671141</v>
      </c>
      <c r="G87" s="36">
        <f>G86/Inputs!G300-1</f>
        <v>0.18225806451612914</v>
      </c>
      <c r="H87" s="37">
        <f t="shared" si="5"/>
        <v>0.160050313794045</v>
      </c>
      <c r="I87" s="1"/>
      <c r="J87" s="1"/>
      <c r="K87" s="1"/>
      <c r="L87" s="1"/>
      <c r="M87" s="1"/>
    </row>
    <row r="88" ht="15" customHeight="1">
      <c r="A88" s="1"/>
      <c r="B88" s="35" t="s">
        <v>72</v>
      </c>
      <c r="C88" s="36">
        <f>C86/Inputs!G300-1</f>
        <v>0.05161290322580636</v>
      </c>
      <c r="D88" s="39">
        <f t="shared" si="26"/>
        <v>0.021472392638036908</v>
      </c>
      <c r="E88" s="1"/>
      <c r="F88" s="39">
        <f t="shared" si="28"/>
        <v>0.0930930930930931</v>
      </c>
      <c r="G88" s="39">
        <f t="shared" si="26"/>
        <v>0.006868131868131844</v>
      </c>
      <c r="H88" s="37">
        <f t="shared" si="26"/>
        <v>0.031859214998250174</v>
      </c>
      <c r="I88" s="1"/>
      <c r="J88" s="1"/>
      <c r="K88" s="1"/>
      <c r="L88" s="1"/>
      <c r="M88" s="1"/>
    </row>
    <row r="89" ht="15" customHeight="1">
      <c r="A89" s="1"/>
      <c r="B89" s="1" t="s">
        <v>211</v>
      </c>
      <c r="C89" s="53">
        <v>350</v>
      </c>
      <c r="D89" s="53">
        <v>362</v>
      </c>
      <c r="E89" s="53">
        <v>1353</v>
      </c>
      <c r="F89" s="53">
        <v>360</v>
      </c>
      <c r="G89" s="53">
        <v>375</v>
      </c>
      <c r="H89" s="52">
        <f>G89*H57/G57*H$7/G$7</f>
        <v>386.5178456896078</v>
      </c>
      <c r="I89" s="1"/>
      <c r="J89" s="4" t="s">
        <v>212</v>
      </c>
      <c r="K89" s="1"/>
      <c r="L89" s="1"/>
      <c r="M89" s="1"/>
    </row>
    <row r="90" ht="15" customHeight="1">
      <c r="A90" s="1"/>
      <c r="B90" s="35" t="s">
        <v>70</v>
      </c>
      <c r="C90" s="36">
        <f>C89/Inputs!C301-1</f>
        <v>0.12540192926045024</v>
      </c>
      <c r="D90" s="36">
        <f>D89/Inputs!D301-1</f>
        <v>0.1383647798742138</v>
      </c>
      <c r="E90" s="36">
        <f>E89/Inputs!E301-1</f>
        <v>0.09200968523002429</v>
      </c>
      <c r="F90" s="36">
        <f>F89/Inputs!F301-1</f>
        <v>0.17647058823529416</v>
      </c>
      <c r="G90" s="36">
        <f>G89/Inputs!G301-1</f>
        <v>0.11940298507462677</v>
      </c>
      <c r="H90" s="37">
        <f t="shared" si="5"/>
        <v>0.10433670197030787</v>
      </c>
      <c r="I90" s="1"/>
      <c r="J90" s="1"/>
      <c r="K90" s="1"/>
      <c r="L90" s="1"/>
      <c r="M90" s="1"/>
    </row>
    <row r="91" ht="15" customHeight="1">
      <c r="A91" s="1"/>
      <c r="B91" s="35" t="s">
        <v>72</v>
      </c>
      <c r="C91" s="36">
        <f>C89/Inputs!G301-1</f>
        <v>0.04477611940298498</v>
      </c>
      <c r="D91" s="39">
        <f t="shared" si="26"/>
        <v>0.03428571428571425</v>
      </c>
      <c r="E91" s="1"/>
      <c r="F91" s="39">
        <f t="shared" si="28"/>
        <v>-0.0055248618784530246</v>
      </c>
      <c r="G91" s="39">
        <f t="shared" si="26"/>
        <v>0.04166666666666674</v>
      </c>
      <c r="H91" s="37">
        <f t="shared" si="26"/>
        <v>0.03071425517228743</v>
      </c>
      <c r="I91" s="1"/>
      <c r="J91" s="1"/>
      <c r="K91" s="1"/>
      <c r="L91" s="1"/>
      <c r="M91" s="1"/>
    </row>
    <row r="92" ht="15" customHeight="1">
      <c r="A92" s="1"/>
      <c r="B92" s="3" t="s">
        <v>146</v>
      </c>
      <c r="C92" s="63">
        <f t="shared" si="29" ref="C92:G92">C86-C89</f>
        <v>302</v>
      </c>
      <c r="D92" s="63">
        <f t="shared" si="29"/>
        <v>304</v>
      </c>
      <c r="E92" s="63">
        <f t="shared" si="29"/>
        <v>1181</v>
      </c>
      <c r="F92" s="63">
        <f t="shared" si="29"/>
        <v>368</v>
      </c>
      <c r="G92" s="63">
        <f t="shared" si="29"/>
        <v>358</v>
      </c>
      <c r="H92" s="34">
        <f>H57*H61*H$7/365</f>
        <v>369.8349589041096</v>
      </c>
      <c r="I92" s="1"/>
      <c r="J92" s="1"/>
      <c r="K92" s="1"/>
      <c r="L92" s="1"/>
      <c r="M92" s="1"/>
    </row>
    <row r="93" ht="15" customHeight="1">
      <c r="A93" s="1"/>
      <c r="B93" s="35" t="s">
        <v>70</v>
      </c>
      <c r="C93" s="36">
        <f>C92/Inputs!C314-1</f>
        <v>0.09025270758122739</v>
      </c>
      <c r="D93" s="36">
        <f>D92/Inputs!D314-1</f>
        <v>0.14716981132075468</v>
      </c>
      <c r="E93" s="36">
        <f>E92/Inputs!E314-1</f>
        <v>0.08150183150183143</v>
      </c>
      <c r="F93" s="36">
        <f>F92/Inputs!F314-1</f>
        <v>0.2689655172413794</v>
      </c>
      <c r="G93" s="36">
        <f>G92/Inputs!G314-1</f>
        <v>0.2561403508771929</v>
      </c>
      <c r="H93" s="37">
        <f t="shared" si="5"/>
        <v>0.22461906921890606</v>
      </c>
      <c r="I93" s="1"/>
      <c r="J93" s="1"/>
      <c r="K93" s="1"/>
      <c r="L93" s="1"/>
      <c r="M93" s="1"/>
    </row>
    <row r="94" ht="15" customHeight="1">
      <c r="A94" s="1"/>
      <c r="B94" s="35" t="s">
        <v>72</v>
      </c>
      <c r="C94" s="36">
        <f>C92/Inputs!G314-1</f>
        <v>0.05964912280701751</v>
      </c>
      <c r="D94" s="39">
        <f t="shared" si="26"/>
        <v>0.0066225165562914245</v>
      </c>
      <c r="E94" s="1"/>
      <c r="F94" s="39">
        <f t="shared" si="28"/>
        <v>0.21052631578947367</v>
      </c>
      <c r="G94" s="39">
        <f t="shared" si="26"/>
        <v>-0.02717391304347827</v>
      </c>
      <c r="H94" s="37">
        <f t="shared" si="26"/>
        <v>0.033058544424887204</v>
      </c>
      <c r="I94" s="1"/>
      <c r="J94" s="1"/>
      <c r="K94" s="1"/>
      <c r="L94" s="1"/>
      <c r="M94" s="1"/>
    </row>
    <row r="95" ht="15" customHeight="1">
      <c r="A95" s="1"/>
      <c r="B95" s="41" t="s">
        <v>74</v>
      </c>
      <c r="C95" s="39">
        <f t="shared" si="27"/>
        <v>0.09025270758122739</v>
      </c>
      <c r="D95" s="39">
        <f t="shared" si="27"/>
        <v>0.14716981132075468</v>
      </c>
      <c r="E95" s="39">
        <f t="shared" si="27"/>
        <v>0.08150183150183143</v>
      </c>
      <c r="F95" s="39">
        <f t="shared" si="27"/>
        <v>0.2689655172413794</v>
      </c>
      <c r="G95" s="39">
        <f t="shared" si="27"/>
        <v>0.2561403508771929</v>
      </c>
      <c r="H95" s="37">
        <f t="shared" si="27"/>
        <v>0.22461906921890606</v>
      </c>
      <c r="I95" s="1"/>
      <c r="J95" s="1"/>
      <c r="K95" s="1"/>
      <c r="L95" s="1"/>
      <c r="M95" s="1"/>
    </row>
    <row r="96" ht="15" customHeight="1">
      <c r="A96" s="1"/>
      <c r="B96" s="41" t="s">
        <v>75</v>
      </c>
      <c r="C96" s="43" t="s">
        <v>35</v>
      </c>
      <c r="D96" s="43" t="s">
        <v>35</v>
      </c>
      <c r="E96" s="43" t="s">
        <v>35</v>
      </c>
      <c r="F96" s="43" t="s">
        <v>35</v>
      </c>
      <c r="G96" s="43" t="s">
        <v>35</v>
      </c>
      <c r="H96" s="37">
        <f>H46</f>
        <v>-0.015</v>
      </c>
      <c r="I96" s="1"/>
      <c r="J96" s="1"/>
      <c r="K96" s="1"/>
      <c r="L96" s="1"/>
      <c r="M96" s="1"/>
    </row>
    <row r="97" ht="15" customHeight="1">
      <c r="A97" s="1"/>
      <c r="B97" s="41" t="s">
        <v>77</v>
      </c>
      <c r="C97" s="43" t="s">
        <v>35</v>
      </c>
      <c r="D97" s="43" t="s">
        <v>35</v>
      </c>
      <c r="E97" s="43" t="s">
        <v>35</v>
      </c>
      <c r="F97" s="43" t="s">
        <v>35</v>
      </c>
      <c r="G97" s="43" t="s">
        <v>35</v>
      </c>
      <c r="H97" s="44" t="s">
        <v>35</v>
      </c>
      <c r="I97" s="1"/>
      <c r="J97" s="1"/>
      <c r="K97" s="1"/>
      <c r="L97" s="1"/>
      <c r="M97" s="1"/>
    </row>
    <row r="98" ht="15" customHeight="1">
      <c r="A98" s="1"/>
      <c r="B98" s="41" t="s">
        <v>78</v>
      </c>
      <c r="C98" s="45" t="str">
        <f t="shared" si="19"/>
        <v>unavailable</v>
      </c>
      <c r="D98" s="45" t="str">
        <f t="shared" si="19"/>
        <v>unavailable</v>
      </c>
      <c r="E98" s="45" t="str">
        <f t="shared" si="19"/>
        <v>unavailable</v>
      </c>
      <c r="F98" s="45" t="str">
        <f t="shared" si="19"/>
        <v>unavailable</v>
      </c>
      <c r="G98" s="45" t="str">
        <f t="shared" si="19"/>
        <v>unavailable</v>
      </c>
      <c r="H98" s="46" t="str">
        <f t="shared" si="19"/>
        <v>unavailable</v>
      </c>
      <c r="I98" s="1"/>
      <c r="J98" s="1"/>
      <c r="K98" s="1"/>
      <c r="L98" s="1"/>
      <c r="M98" s="1"/>
    </row>
    <row r="99" ht="15" customHeight="1">
      <c r="A99" s="1"/>
      <c r="B99" s="3" t="s">
        <v>136</v>
      </c>
      <c r="C99" s="63">
        <f t="shared" si="30" ref="C99:H99">C79+C92</f>
        <v>3336</v>
      </c>
      <c r="D99" s="63">
        <f t="shared" si="30"/>
        <v>3496</v>
      </c>
      <c r="E99" s="63">
        <f t="shared" si="30"/>
        <v>13000</v>
      </c>
      <c r="F99" s="63">
        <f t="shared" si="30"/>
        <v>3532</v>
      </c>
      <c r="G99" s="63">
        <f t="shared" si="30"/>
        <v>3619</v>
      </c>
      <c r="H99" s="34">
        <f t="shared" si="30"/>
        <v>3673.1349589041088</v>
      </c>
      <c r="I99" s="1"/>
      <c r="J99" s="1"/>
      <c r="K99" s="1"/>
      <c r="L99" s="1"/>
      <c r="M99" s="1"/>
    </row>
    <row r="100" ht="15" customHeight="1">
      <c r="A100" s="1"/>
      <c r="B100" s="35" t="s">
        <v>70</v>
      </c>
      <c r="C100" s="36">
        <f>C99/Inputs!C315-1</f>
        <v>0.1362397820163488</v>
      </c>
      <c r="D100" s="36">
        <f>D99/Inputs!D315-1</f>
        <v>0.1692307692307693</v>
      </c>
      <c r="E100" s="36">
        <f>E99/Inputs!E315-1</f>
        <v>0.13428147631096765</v>
      </c>
      <c r="F100" s="36">
        <f>F99/Inputs!F315-1</f>
        <v>0.20299727520435962</v>
      </c>
      <c r="G100" s="36">
        <f>G99/Inputs!G315-1</f>
        <v>0.1197400990099009</v>
      </c>
      <c r="H100" s="37">
        <f t="shared" si="5"/>
        <v>0.10105963995926515</v>
      </c>
      <c r="I100" s="1"/>
      <c r="J100" s="1"/>
      <c r="K100" s="1"/>
      <c r="L100" s="1"/>
      <c r="M100" s="1"/>
    </row>
    <row r="101" ht="15" customHeight="1">
      <c r="A101" s="1"/>
      <c r="B101" s="35" t="s">
        <v>72</v>
      </c>
      <c r="C101" s="36">
        <f>C99/Inputs!G315-1</f>
        <v>0.03217821782178221</v>
      </c>
      <c r="D101" s="39">
        <f t="shared" si="26"/>
        <v>0.04796163069544357</v>
      </c>
      <c r="E101" s="1"/>
      <c r="F101" s="39">
        <f t="shared" si="28"/>
        <v>0.010297482837528626</v>
      </c>
      <c r="G101" s="39">
        <f t="shared" si="26"/>
        <v>0.02463193657984153</v>
      </c>
      <c r="H101" s="37">
        <f t="shared" si="26"/>
        <v>0.01495854073061853</v>
      </c>
      <c r="I101" s="1"/>
      <c r="J101" s="1"/>
      <c r="K101" s="1"/>
      <c r="L101" s="1"/>
      <c r="M101" s="1"/>
    </row>
    <row r="102" ht="15" customHeight="1">
      <c r="A102" s="1"/>
      <c r="B102" s="41" t="s">
        <v>74</v>
      </c>
      <c r="C102" s="39">
        <f t="shared" si="27"/>
        <v>0.1362397820163488</v>
      </c>
      <c r="D102" s="39">
        <f t="shared" si="27"/>
        <v>0.1692307692307693</v>
      </c>
      <c r="E102" s="39">
        <f t="shared" si="27"/>
        <v>0.13428147631096765</v>
      </c>
      <c r="F102" s="39">
        <f t="shared" si="27"/>
        <v>0.20299727520435962</v>
      </c>
      <c r="G102" s="39">
        <f t="shared" si="27"/>
        <v>0.1197400990099009</v>
      </c>
      <c r="H102" s="37">
        <f t="shared" si="27"/>
        <v>0.10105963995926515</v>
      </c>
      <c r="I102" s="1"/>
      <c r="J102" s="1"/>
      <c r="K102" s="1"/>
      <c r="L102" s="1"/>
      <c r="M102" s="1"/>
    </row>
    <row r="103" ht="15" customHeight="1">
      <c r="A103" s="1"/>
      <c r="B103" s="41" t="s">
        <v>75</v>
      </c>
      <c r="C103" s="43" t="s">
        <v>35</v>
      </c>
      <c r="D103" s="43" t="s">
        <v>35</v>
      </c>
      <c r="E103" s="43" t="s">
        <v>35</v>
      </c>
      <c r="F103" s="43" t="s">
        <v>35</v>
      </c>
      <c r="G103" s="43" t="s">
        <v>35</v>
      </c>
      <c r="H103" s="37">
        <f>H46</f>
        <v>-0.015</v>
      </c>
      <c r="I103" s="1"/>
      <c r="J103" s="1"/>
      <c r="K103" s="1"/>
      <c r="L103" s="1"/>
      <c r="M103" s="1"/>
    </row>
    <row r="104" ht="15" customHeight="1">
      <c r="A104" s="1"/>
      <c r="B104" s="41" t="s">
        <v>77</v>
      </c>
      <c r="C104" s="43" t="s">
        <v>35</v>
      </c>
      <c r="D104" s="43" t="s">
        <v>35</v>
      </c>
      <c r="E104" s="43" t="s">
        <v>35</v>
      </c>
      <c r="F104" s="43" t="s">
        <v>35</v>
      </c>
      <c r="G104" s="43" t="s">
        <v>35</v>
      </c>
      <c r="H104" s="44" t="s">
        <v>35</v>
      </c>
      <c r="I104" s="1"/>
      <c r="J104" s="1"/>
      <c r="K104" s="1"/>
      <c r="L104" s="1"/>
      <c r="M104" s="1"/>
    </row>
    <row r="105" ht="15" customHeight="1">
      <c r="A105" s="1"/>
      <c r="B105" s="41" t="s">
        <v>78</v>
      </c>
      <c r="C105" s="45" t="str">
        <f t="shared" si="19"/>
        <v>unavailable</v>
      </c>
      <c r="D105" s="45" t="str">
        <f t="shared" si="19"/>
        <v>unavailable</v>
      </c>
      <c r="E105" s="45" t="str">
        <f t="shared" si="19"/>
        <v>unavailable</v>
      </c>
      <c r="F105" s="45" t="str">
        <f t="shared" si="19"/>
        <v>unavailable</v>
      </c>
      <c r="G105" s="45" t="str">
        <f t="shared" si="19"/>
        <v>unavailable</v>
      </c>
      <c r="H105" s="46" t="str">
        <f t="shared" si="19"/>
        <v>unavailable</v>
      </c>
      <c r="I105" s="1"/>
      <c r="J105" s="1"/>
      <c r="K105" s="1"/>
      <c r="L105" s="1"/>
      <c r="M105" s="1"/>
    </row>
    <row r="106" ht="15" customHeight="1">
      <c r="A106" s="1"/>
      <c r="B106" s="1"/>
      <c r="C106" s="1"/>
      <c r="D106" s="1"/>
      <c r="E106" s="1"/>
      <c r="F106" s="1"/>
      <c r="G106" s="1"/>
      <c r="H106" s="29"/>
      <c r="I106" s="1"/>
      <c r="J106" s="1"/>
      <c r="K106" s="1"/>
      <c r="L106" s="1"/>
      <c r="M106" s="1"/>
    </row>
    <row r="107" ht="15" customHeight="1">
      <c r="A107" s="1"/>
      <c r="B107" s="30" t="s">
        <v>148</v>
      </c>
      <c r="C107" s="1"/>
      <c r="D107" s="1"/>
      <c r="E107" s="1"/>
      <c r="F107" s="1"/>
      <c r="G107" s="1"/>
      <c r="H107" s="29"/>
      <c r="I107" s="1"/>
      <c r="J107" s="1"/>
      <c r="K107" s="1"/>
      <c r="L107" s="1"/>
      <c r="M107" s="1"/>
    </row>
    <row r="108" ht="15" customHeight="1">
      <c r="A108" s="1"/>
      <c r="B108" s="1" t="s">
        <v>213</v>
      </c>
      <c r="C108" s="17">
        <f t="shared" si="31" ref="C108:H108">C68</f>
        <v>206.42279452054797</v>
      </c>
      <c r="D108" s="17">
        <f t="shared" si="31"/>
        <v>203.96526027397263</v>
      </c>
      <c r="E108" s="17">
        <f t="shared" si="31"/>
        <v>757.834</v>
      </c>
      <c r="F108" s="17">
        <f t="shared" si="31"/>
        <v>216.73972602739727</v>
      </c>
      <c r="G108" s="17">
        <f t="shared" si="31"/>
        <v>224.25890410958905</v>
      </c>
      <c r="H108" s="52">
        <f t="shared" si="31"/>
        <v>231.14684931506852</v>
      </c>
      <c r="I108" s="1"/>
      <c r="J108" s="1"/>
      <c r="K108" s="1"/>
      <c r="L108" s="1"/>
      <c r="M108" s="1"/>
    </row>
    <row r="109" ht="15" customHeight="1">
      <c r="A109" s="1"/>
      <c r="B109" s="1" t="s">
        <v>214</v>
      </c>
      <c r="C109" s="17">
        <f t="shared" si="32" ref="C109:G109">C112-C108</f>
        <v>11.577205479452033</v>
      </c>
      <c r="D109" s="17">
        <f t="shared" si="32"/>
        <v>7.034739726027368</v>
      </c>
      <c r="E109" s="17">
        <f t="shared" si="32"/>
        <v>73.16600000000005</v>
      </c>
      <c r="F109" s="17">
        <f t="shared" si="32"/>
        <v>21.260273972602732</v>
      </c>
      <c r="G109" s="17">
        <f t="shared" si="32"/>
        <v>-1.2589041095890536</v>
      </c>
      <c r="H109" s="32">
        <v>10</v>
      </c>
      <c r="I109" s="1"/>
      <c r="J109" s="4" t="s">
        <v>259</v>
      </c>
      <c r="K109" s="1"/>
      <c r="L109" s="1"/>
      <c r="M109" s="1"/>
    </row>
    <row r="110" ht="15" customHeight="1">
      <c r="A110" s="1"/>
      <c r="B110" s="35" t="s">
        <v>70</v>
      </c>
      <c r="C110" s="43" t="s">
        <v>35</v>
      </c>
      <c r="D110" s="43" t="s">
        <v>35</v>
      </c>
      <c r="E110" s="43" t="s">
        <v>35</v>
      </c>
      <c r="F110" s="43" t="s">
        <v>35</v>
      </c>
      <c r="G110" s="43" t="s">
        <v>35</v>
      </c>
      <c r="H110" s="37">
        <f t="shared" si="5"/>
        <v>-0.13623369493193827</v>
      </c>
      <c r="I110" s="1"/>
      <c r="J110" s="1"/>
      <c r="K110" s="1"/>
      <c r="L110" s="1"/>
      <c r="M110" s="1"/>
    </row>
    <row r="111" ht="15" customHeight="1">
      <c r="A111" s="1"/>
      <c r="B111" s="35" t="s">
        <v>73</v>
      </c>
      <c r="C111" s="43" t="s">
        <v>35</v>
      </c>
      <c r="D111" s="40">
        <f t="shared" si="6"/>
        <v>-4.542465753424665</v>
      </c>
      <c r="E111" s="1"/>
      <c r="F111" s="40">
        <f t="shared" si="11"/>
        <v>14.225534246575364</v>
      </c>
      <c r="G111" s="40">
        <f t="shared" si="6"/>
        <v>-22.519178082191786</v>
      </c>
      <c r="H111" s="38">
        <f t="shared" si="6"/>
        <v>11.258904109589054</v>
      </c>
      <c r="I111" s="1"/>
      <c r="J111" s="1"/>
      <c r="K111" s="1"/>
      <c r="L111" s="1"/>
      <c r="M111" s="1"/>
    </row>
    <row r="112" ht="15" customHeight="1">
      <c r="A112" s="1"/>
      <c r="B112" s="3" t="s">
        <v>158</v>
      </c>
      <c r="C112" s="33">
        <v>218</v>
      </c>
      <c r="D112" s="33">
        <v>211</v>
      </c>
      <c r="E112" s="33">
        <v>831</v>
      </c>
      <c r="F112" s="33">
        <v>238</v>
      </c>
      <c r="G112" s="33">
        <v>223</v>
      </c>
      <c r="H112" s="34">
        <f>H108+H109</f>
        <v>241.14684931506852</v>
      </c>
      <c r="I112" s="1"/>
      <c r="J112" s="4" t="s">
        <v>69</v>
      </c>
      <c r="K112" s="1"/>
      <c r="L112" s="1"/>
      <c r="M112" s="1"/>
    </row>
    <row r="113" ht="15" customHeight="1">
      <c r="A113" s="1"/>
      <c r="B113" s="35" t="s">
        <v>70</v>
      </c>
      <c r="C113" s="36">
        <f>C112/Inputs!C302-1</f>
        <v>0.379746835443038</v>
      </c>
      <c r="D113" s="36">
        <f>D112/Inputs!D302-1</f>
        <v>0.08762886597938135</v>
      </c>
      <c r="E113" s="36">
        <f>E112/Inputs!E302-1</f>
        <v>0.1446280991735538</v>
      </c>
      <c r="F113" s="36">
        <f>F112/Inputs!F302-1</f>
        <v>0.23958333333333326</v>
      </c>
      <c r="G113" s="36">
        <f>G112/Inputs!G302-1</f>
        <v>0.06190476190476191</v>
      </c>
      <c r="H113" s="37">
        <f t="shared" si="5"/>
        <v>0.10617820786728682</v>
      </c>
      <c r="I113" s="1"/>
      <c r="J113" s="1"/>
      <c r="K113" s="1"/>
      <c r="L113" s="1"/>
      <c r="M113" s="1"/>
    </row>
    <row r="114" ht="15" customHeight="1">
      <c r="A114" s="1"/>
      <c r="B114" s="35" t="s">
        <v>71</v>
      </c>
      <c r="C114" s="27">
        <f>C112-Inputs!C302</f>
        <v>60</v>
      </c>
      <c r="D114" s="27">
        <f>D112-Inputs!D302</f>
        <v>17</v>
      </c>
      <c r="E114" s="27">
        <f>E112-Inputs!E302</f>
        <v>105</v>
      </c>
      <c r="F114" s="27">
        <f>F112-Inputs!F302</f>
        <v>46</v>
      </c>
      <c r="G114" s="27">
        <f>G112-Inputs!G302</f>
        <v>13</v>
      </c>
      <c r="H114" s="38">
        <f t="shared" si="9"/>
        <v>23.146849315068522</v>
      </c>
      <c r="I114" s="1"/>
      <c r="J114" s="1"/>
      <c r="K114" s="1"/>
      <c r="L114" s="1"/>
      <c r="M114" s="1"/>
    </row>
    <row r="115" ht="15" customHeight="1">
      <c r="A115" s="1"/>
      <c r="B115" s="35" t="s">
        <v>73</v>
      </c>
      <c r="C115" s="27">
        <f>C112-Inputs!G302</f>
        <v>8</v>
      </c>
      <c r="D115" s="40">
        <f t="shared" si="3"/>
        <v>-7</v>
      </c>
      <c r="E115" s="1"/>
      <c r="F115" s="40">
        <f t="shared" si="10"/>
        <v>27</v>
      </c>
      <c r="G115" s="40">
        <f t="shared" si="3"/>
        <v>-15</v>
      </c>
      <c r="H115" s="38">
        <f t="shared" si="3"/>
        <v>18.146849315068522</v>
      </c>
      <c r="I115" s="1"/>
      <c r="J115" s="1"/>
      <c r="K115" s="1"/>
      <c r="L115" s="1"/>
      <c r="M115" s="1"/>
    </row>
    <row r="116" ht="15" customHeight="1">
      <c r="A116" s="1"/>
      <c r="B116" s="4" t="s">
        <v>216</v>
      </c>
      <c r="C116" s="39">
        <f t="shared" si="33" ref="C116:H116">C112/C57*365/C$7</f>
        <v>0.021121698357620056</v>
      </c>
      <c r="D116" s="39">
        <f t="shared" si="33"/>
        <v>0.01965530794123952</v>
      </c>
      <c r="E116" s="39">
        <f t="shared" si="33"/>
        <v>0.02083437797723512</v>
      </c>
      <c r="F116" s="39">
        <f t="shared" si="33"/>
        <v>0.021961825306535204</v>
      </c>
      <c r="G116" s="39">
        <f t="shared" si="33"/>
        <v>0.019887727614242345</v>
      </c>
      <c r="H116" s="37">
        <f t="shared" si="33"/>
        <v>0.0208652508160619</v>
      </c>
      <c r="I116" s="1"/>
      <c r="J116" s="1"/>
      <c r="K116" s="1"/>
      <c r="L116" s="1"/>
      <c r="M116" s="1"/>
    </row>
    <row r="117" ht="15" customHeight="1">
      <c r="A117" s="1"/>
      <c r="B117" s="35" t="s">
        <v>81</v>
      </c>
      <c r="C117" s="43" t="s">
        <v>35</v>
      </c>
      <c r="D117" s="47">
        <f>(D116-Inputs!D322)*10000</f>
        <v>-10.165131057746391</v>
      </c>
      <c r="E117" s="47">
        <f>(E116-Inputs!E322)*10000</f>
        <v>5.430074034669246</v>
      </c>
      <c r="F117" s="47">
        <f>(F116-Inputs!F322)*10000</f>
        <v>6.208910925229044</v>
      </c>
      <c r="G117" s="47">
        <f>(G116-Inputs!G322)*10000</f>
        <v>-13.971810939094818</v>
      </c>
      <c r="H117" s="48">
        <f t="shared" si="21"/>
        <v>-2.564475415581559</v>
      </c>
      <c r="I117" s="1"/>
      <c r="J117" s="1"/>
      <c r="K117" s="1"/>
      <c r="L117" s="1"/>
      <c r="M117" s="1"/>
    </row>
    <row r="118" ht="15" customHeight="1">
      <c r="A118" s="1"/>
      <c r="B118" s="35" t="s">
        <v>82</v>
      </c>
      <c r="C118" s="47">
        <f>(C116-Inputs!G322)*10000</f>
        <v>-1.632103505317707</v>
      </c>
      <c r="D118" s="49">
        <f t="shared" si="14"/>
        <v>-14.663904163805357</v>
      </c>
      <c r="E118" s="1"/>
      <c r="F118" s="49">
        <f t="shared" si="22"/>
        <v>23.065173652956837</v>
      </c>
      <c r="G118" s="49">
        <f t="shared" si="14"/>
        <v>-20.74097692292859</v>
      </c>
      <c r="H118" s="48">
        <f t="shared" si="14"/>
        <v>9.77523201819555</v>
      </c>
      <c r="I118" s="1"/>
      <c r="J118" s="1"/>
      <c r="K118" s="1"/>
      <c r="L118" s="1"/>
      <c r="M118" s="1"/>
    </row>
    <row r="119" ht="15" customHeight="1">
      <c r="A119" s="1"/>
      <c r="B119" s="3" t="s">
        <v>217</v>
      </c>
      <c r="C119" s="63">
        <f t="shared" si="34" ref="C119:H119">C99-C112</f>
        <v>3118</v>
      </c>
      <c r="D119" s="63">
        <f t="shared" si="34"/>
        <v>3285</v>
      </c>
      <c r="E119" s="63">
        <f t="shared" si="34"/>
        <v>12169</v>
      </c>
      <c r="F119" s="63">
        <f t="shared" si="34"/>
        <v>3294</v>
      </c>
      <c r="G119" s="63">
        <f t="shared" si="34"/>
        <v>3396</v>
      </c>
      <c r="H119" s="34">
        <f t="shared" si="34"/>
        <v>3431.98810958904</v>
      </c>
      <c r="I119" s="1"/>
      <c r="J119" s="1"/>
      <c r="K119" s="1"/>
      <c r="L119" s="1"/>
      <c r="M119" s="1"/>
    </row>
    <row r="120" ht="15" customHeight="1">
      <c r="A120" s="1"/>
      <c r="B120" s="1"/>
      <c r="C120" s="1"/>
      <c r="D120" s="1"/>
      <c r="E120" s="1"/>
      <c r="F120" s="1"/>
      <c r="G120" s="1"/>
      <c r="H120" s="29"/>
      <c r="I120" s="1"/>
      <c r="J120" s="1"/>
      <c r="K120" s="1"/>
      <c r="L120" s="1"/>
      <c r="M120" s="1"/>
    </row>
    <row r="121" ht="15" customHeight="1">
      <c r="A121" s="1"/>
      <c r="B121" s="30" t="s">
        <v>218</v>
      </c>
      <c r="C121" s="1"/>
      <c r="D121" s="1"/>
      <c r="E121" s="1"/>
      <c r="F121" s="1"/>
      <c r="G121" s="1"/>
      <c r="H121" s="29"/>
      <c r="I121" s="1"/>
      <c r="J121" s="1"/>
      <c r="K121" s="1"/>
      <c r="L121" s="1"/>
      <c r="M121" s="1"/>
    </row>
    <row r="122" ht="15" customHeight="1">
      <c r="A122" s="1"/>
      <c r="B122" s="1" t="s">
        <v>219</v>
      </c>
      <c r="C122" s="17">
        <f t="shared" si="35" ref="C122:G122">C125/C38*10</f>
        <v>141.44059869036482</v>
      </c>
      <c r="D122" s="17">
        <f t="shared" si="35"/>
        <v>146.45669291338584</v>
      </c>
      <c r="E122" s="17">
        <f t="shared" si="35"/>
        <v>142.3444976076555</v>
      </c>
      <c r="F122" s="17">
        <f t="shared" si="35"/>
        <v>138.85407341092213</v>
      </c>
      <c r="G122" s="17">
        <f t="shared" si="35"/>
        <v>143.60068259385665</v>
      </c>
      <c r="H122" s="32">
        <v>144</v>
      </c>
      <c r="I122" s="1"/>
      <c r="J122" s="4" t="s">
        <v>260</v>
      </c>
      <c r="K122" s="1"/>
      <c r="L122" s="1"/>
      <c r="M122" s="1"/>
    </row>
    <row r="123" ht="15" customHeight="1">
      <c r="A123" s="1"/>
      <c r="B123" s="35" t="s">
        <v>81</v>
      </c>
      <c r="C123" s="27">
        <f>(C122-Inputs!C320)*1</f>
        <v>2.97906022882637</v>
      </c>
      <c r="D123" s="27">
        <f>(D122-Inputs!D320)*1</f>
        <v>-1.13798467105633</v>
      </c>
      <c r="E123" s="27">
        <f>(E122-Inputs!E320)*1</f>
        <v>-0.5554751369615474</v>
      </c>
      <c r="F123" s="27">
        <f>(F122-Inputs!F320)*1</f>
        <v>-2.3730525309508437</v>
      </c>
      <c r="G123" s="27">
        <f>(G122-Inputs!G320)*1</f>
        <v>3.850923209833553</v>
      </c>
      <c r="H123" s="38">
        <f t="shared" si="36"/>
        <v>2.5594013096351773</v>
      </c>
      <c r="I123" s="1"/>
      <c r="J123" s="1"/>
      <c r="K123" s="1"/>
      <c r="L123" s="1"/>
      <c r="M123" s="1"/>
    </row>
    <row r="124" ht="15" customHeight="1">
      <c r="A124" s="1"/>
      <c r="B124" s="35" t="s">
        <v>82</v>
      </c>
      <c r="C124" s="27">
        <f>(C122-Inputs!G320)*1</f>
        <v>1.6908393063417293</v>
      </c>
      <c r="D124" s="40">
        <f t="shared" si="25"/>
        <v>5.016094223021014</v>
      </c>
      <c r="E124" s="1"/>
      <c r="F124" s="40">
        <f t="shared" si="37"/>
        <v>-7.60261950246371</v>
      </c>
      <c r="G124" s="40">
        <f t="shared" si="25"/>
        <v>4.74660918293452</v>
      </c>
      <c r="H124" s="38">
        <f t="shared" si="25"/>
        <v>0.39931740614335354</v>
      </c>
      <c r="I124" s="1"/>
      <c r="J124" s="1"/>
      <c r="K124" s="1"/>
      <c r="L124" s="1"/>
      <c r="M124" s="1"/>
    </row>
    <row r="125" ht="15" customHeight="1">
      <c r="A125" s="1"/>
      <c r="B125" s="1" t="s">
        <v>221</v>
      </c>
      <c r="C125" s="53">
        <v>1512</v>
      </c>
      <c r="D125" s="53">
        <v>1674</v>
      </c>
      <c r="E125" s="53">
        <v>5950</v>
      </c>
      <c r="F125" s="53">
        <v>1551</v>
      </c>
      <c r="G125" s="53">
        <v>1683</v>
      </c>
      <c r="H125" s="52">
        <f>H38*H122/10</f>
        <v>1698.8399999999997</v>
      </c>
      <c r="I125" s="1"/>
      <c r="J125" s="4" t="s">
        <v>69</v>
      </c>
      <c r="K125" s="1"/>
      <c r="L125" s="1"/>
      <c r="M125" s="1"/>
    </row>
    <row r="126" ht="15" customHeight="1">
      <c r="A126" s="1"/>
      <c r="B126" s="35" t="s">
        <v>70</v>
      </c>
      <c r="C126" s="36">
        <f>C125/Inputs!C303-1</f>
        <v>0.16666666666666674</v>
      </c>
      <c r="D126" s="36">
        <f>D125/Inputs!D303-1</f>
        <v>0.16088765603328703</v>
      </c>
      <c r="E126" s="36">
        <f>E125/Inputs!E303-1</f>
        <v>0.13484646194926575</v>
      </c>
      <c r="F126" s="36">
        <f>F125/Inputs!F303-1</f>
        <v>0.18216463414634143</v>
      </c>
      <c r="G126" s="36">
        <f>G125/Inputs!G303-1</f>
        <v>0.15909090909090917</v>
      </c>
      <c r="H126" s="37">
        <f t="shared" si="5"/>
        <v>0.12357142857142844</v>
      </c>
      <c r="I126" s="1"/>
      <c r="J126" s="1"/>
      <c r="K126" s="1"/>
      <c r="L126" s="1"/>
      <c r="M126" s="1"/>
    </row>
    <row r="127" ht="15" customHeight="1">
      <c r="A127" s="1"/>
      <c r="B127" s="35" t="s">
        <v>71</v>
      </c>
      <c r="C127" s="27">
        <f>C125-Inputs!C303</f>
        <v>216</v>
      </c>
      <c r="D127" s="27">
        <f>D125-Inputs!D303</f>
        <v>232</v>
      </c>
      <c r="E127" s="27">
        <f>E125-Inputs!E303</f>
        <v>707</v>
      </c>
      <c r="F127" s="27">
        <f>F125-Inputs!F303</f>
        <v>239</v>
      </c>
      <c r="G127" s="27">
        <f>G125-Inputs!G303</f>
        <v>231</v>
      </c>
      <c r="H127" s="38">
        <f t="shared" si="9"/>
        <v>186.8399999999997</v>
      </c>
      <c r="I127" s="1"/>
      <c r="J127" s="1"/>
      <c r="K127" s="1"/>
      <c r="L127" s="1"/>
      <c r="M127" s="1"/>
    </row>
    <row r="128" ht="15" customHeight="1">
      <c r="A128" s="1"/>
      <c r="B128" s="35" t="s">
        <v>73</v>
      </c>
      <c r="C128" s="27">
        <f>C125-Inputs!G303</f>
        <v>60</v>
      </c>
      <c r="D128" s="40">
        <f t="shared" si="3"/>
        <v>162</v>
      </c>
      <c r="E128" s="1"/>
      <c r="F128" s="40">
        <f t="shared" si="10"/>
        <v>-123</v>
      </c>
      <c r="G128" s="40">
        <f t="shared" si="3"/>
        <v>132</v>
      </c>
      <c r="H128" s="38">
        <f t="shared" si="3"/>
        <v>15.83999999999969</v>
      </c>
      <c r="I128" s="1"/>
      <c r="J128" s="1"/>
      <c r="K128" s="1"/>
      <c r="L128" s="1"/>
      <c r="M128" s="1"/>
    </row>
    <row r="129" ht="15" customHeight="1">
      <c r="A129" s="1"/>
      <c r="B129" s="1" t="s">
        <v>152</v>
      </c>
      <c r="C129" s="53">
        <v>350</v>
      </c>
      <c r="D129" s="53">
        <v>347</v>
      </c>
      <c r="E129" s="53">
        <v>1319</v>
      </c>
      <c r="F129" s="53">
        <v>332</v>
      </c>
      <c r="G129" s="53">
        <v>352</v>
      </c>
      <c r="H129" s="32">
        <v>385</v>
      </c>
      <c r="I129" s="1"/>
      <c r="J129" s="4" t="s">
        <v>261</v>
      </c>
      <c r="K129" s="1"/>
      <c r="L129" s="1"/>
      <c r="M129" s="1"/>
    </row>
    <row r="130" ht="15" customHeight="1">
      <c r="A130" s="1"/>
      <c r="B130" s="35" t="s">
        <v>70</v>
      </c>
      <c r="C130" s="36">
        <f>C129/Inputs!C304-1</f>
        <v>0.2195121951219512</v>
      </c>
      <c r="D130" s="36">
        <f>D129/Inputs!D304-1</f>
        <v>0.13398692810457513</v>
      </c>
      <c r="E130" s="36">
        <f>E129/Inputs!E304-1</f>
        <v>0.06801619433198391</v>
      </c>
      <c r="F130" s="36">
        <f>F129/Inputs!F304-1</f>
        <v>0.10666666666666669</v>
      </c>
      <c r="G130" s="36">
        <f>G129/Inputs!G304-1</f>
        <v>0.0931677018633541</v>
      </c>
      <c r="H130" s="37">
        <f t="shared" si="5"/>
        <v>0.10000000000000009</v>
      </c>
      <c r="I130" s="1"/>
      <c r="J130" s="1"/>
      <c r="K130" s="1"/>
      <c r="L130" s="1"/>
      <c r="M130" s="1"/>
    </row>
    <row r="131" ht="15" customHeight="1">
      <c r="A131" s="1"/>
      <c r="B131" s="35" t="s">
        <v>71</v>
      </c>
      <c r="C131" s="27">
        <f>C129-Inputs!C304</f>
        <v>63</v>
      </c>
      <c r="D131" s="27">
        <f>D129-Inputs!D304</f>
        <v>41</v>
      </c>
      <c r="E131" s="27">
        <f>E129-Inputs!E304</f>
        <v>84</v>
      </c>
      <c r="F131" s="27">
        <f>F129-Inputs!F304</f>
        <v>32</v>
      </c>
      <c r="G131" s="27">
        <f>G129-Inputs!G304</f>
        <v>30</v>
      </c>
      <c r="H131" s="38">
        <f t="shared" si="9"/>
        <v>35</v>
      </c>
      <c r="I131" s="1"/>
      <c r="J131" s="1"/>
      <c r="K131" s="1"/>
      <c r="L131" s="1"/>
      <c r="M131" s="1"/>
    </row>
    <row r="132" ht="15" customHeight="1">
      <c r="A132" s="1"/>
      <c r="B132" s="35" t="s">
        <v>73</v>
      </c>
      <c r="C132" s="27">
        <f>C129-Inputs!G304</f>
        <v>28</v>
      </c>
      <c r="D132" s="40">
        <f t="shared" si="3"/>
        <v>-3</v>
      </c>
      <c r="E132" s="1"/>
      <c r="F132" s="40">
        <f t="shared" si="10"/>
        <v>-15</v>
      </c>
      <c r="G132" s="40">
        <f t="shared" si="3"/>
        <v>20</v>
      </c>
      <c r="H132" s="38">
        <f t="shared" si="3"/>
        <v>33</v>
      </c>
      <c r="I132" s="1"/>
      <c r="J132" s="1"/>
      <c r="K132" s="1"/>
      <c r="L132" s="1"/>
      <c r="M132" s="1"/>
    </row>
    <row r="133" ht="15" customHeight="1">
      <c r="A133" s="1"/>
      <c r="B133" s="1" t="s">
        <v>223</v>
      </c>
      <c r="C133" s="53">
        <v>815</v>
      </c>
      <c r="D133" s="53">
        <v>948</v>
      </c>
      <c r="E133" s="53">
        <v>3297</v>
      </c>
      <c r="F133" s="53">
        <v>630</v>
      </c>
      <c r="G133" s="53">
        <v>884</v>
      </c>
      <c r="H133" s="32">
        <v>880</v>
      </c>
      <c r="I133" s="1"/>
      <c r="J133" s="4" t="s">
        <v>262</v>
      </c>
      <c r="K133" s="1"/>
      <c r="L133" s="1"/>
      <c r="M133" s="1"/>
    </row>
    <row r="134" ht="15" customHeight="1">
      <c r="A134" s="1"/>
      <c r="B134" s="35" t="s">
        <v>70</v>
      </c>
      <c r="C134" s="36">
        <f>C133/Inputs!C305-1</f>
        <v>0.10135135135135132</v>
      </c>
      <c r="D134" s="36">
        <f>D133/Inputs!D305-1</f>
        <v>-0.0650887573964497</v>
      </c>
      <c r="E134" s="36">
        <f>E133/Inputs!E305-1</f>
        <v>0.022008679479231352</v>
      </c>
      <c r="F134" s="36">
        <f>F133/Inputs!F305-1</f>
        <v>-0.16111850865512645</v>
      </c>
      <c r="G134" s="36">
        <f>G133/Inputs!G305-1</f>
        <v>0.12899106002554284</v>
      </c>
      <c r="H134" s="37">
        <f t="shared" si="5"/>
        <v>0.07975460122699385</v>
      </c>
      <c r="I134" s="1"/>
      <c r="J134" s="1"/>
      <c r="K134" s="1"/>
      <c r="L134" s="1"/>
      <c r="M134" s="1"/>
    </row>
    <row r="135" ht="15" customHeight="1">
      <c r="A135" s="1"/>
      <c r="B135" s="35" t="s">
        <v>71</v>
      </c>
      <c r="C135" s="27">
        <f>C133-Inputs!C305</f>
        <v>75</v>
      </c>
      <c r="D135" s="27">
        <f>D133-Inputs!D305</f>
        <v>-66</v>
      </c>
      <c r="E135" s="27">
        <f>E133-Inputs!E305</f>
        <v>71</v>
      </c>
      <c r="F135" s="27">
        <f>F133-Inputs!F305</f>
        <v>-121</v>
      </c>
      <c r="G135" s="27">
        <f>G133-Inputs!G305</f>
        <v>101</v>
      </c>
      <c r="H135" s="38">
        <f t="shared" si="9"/>
        <v>65</v>
      </c>
      <c r="I135" s="1"/>
      <c r="J135" s="1"/>
      <c r="K135" s="1"/>
      <c r="L135" s="1"/>
      <c r="M135" s="1"/>
    </row>
    <row r="136" ht="15" customHeight="1">
      <c r="A136" s="1"/>
      <c r="B136" s="35" t="s">
        <v>73</v>
      </c>
      <c r="C136" s="27">
        <f>C133-Inputs!G305</f>
        <v>32</v>
      </c>
      <c r="D136" s="40">
        <f t="shared" si="3"/>
        <v>133</v>
      </c>
      <c r="E136" s="1"/>
      <c r="F136" s="40">
        <f t="shared" si="10"/>
        <v>-318</v>
      </c>
      <c r="G136" s="40">
        <f t="shared" si="3"/>
        <v>254</v>
      </c>
      <c r="H136" s="38">
        <f t="shared" si="3"/>
        <v>-4</v>
      </c>
      <c r="I136" s="1"/>
      <c r="J136" s="1"/>
      <c r="K136" s="1"/>
      <c r="L136" s="1"/>
      <c r="M136" s="1"/>
    </row>
    <row r="137" ht="15" customHeight="1">
      <c r="A137" s="1"/>
      <c r="B137" s="3" t="s">
        <v>225</v>
      </c>
      <c r="C137" s="63">
        <f t="shared" si="38" ref="C137:H137">C125+C129+C133</f>
        <v>2677</v>
      </c>
      <c r="D137" s="63">
        <f t="shared" si="38"/>
        <v>2969</v>
      </c>
      <c r="E137" s="63">
        <f t="shared" si="38"/>
        <v>10566</v>
      </c>
      <c r="F137" s="63">
        <f t="shared" si="38"/>
        <v>2513</v>
      </c>
      <c r="G137" s="63">
        <f t="shared" si="38"/>
        <v>2919</v>
      </c>
      <c r="H137" s="34">
        <f t="shared" si="38"/>
        <v>2963.8399999999997</v>
      </c>
      <c r="I137" s="1"/>
      <c r="J137" s="1"/>
      <c r="K137" s="1"/>
      <c r="L137" s="1"/>
      <c r="M137" s="1"/>
    </row>
    <row r="138" ht="15" customHeight="1">
      <c r="A138" s="1"/>
      <c r="B138" s="35" t="s">
        <v>70</v>
      </c>
      <c r="C138" s="36">
        <f>C137/Inputs!C316-1</f>
        <v>0.1523891519586742</v>
      </c>
      <c r="D138" s="36">
        <f>D137/Inputs!D316-1</f>
        <v>0.07494569152787833</v>
      </c>
      <c r="E138" s="36">
        <f>E137/Inputs!E316-1</f>
        <v>0.08882934872217652</v>
      </c>
      <c r="F138" s="36">
        <f>F137/Inputs!F316-1</f>
        <v>0.06347862886161648</v>
      </c>
      <c r="G138" s="36">
        <f>G137/Inputs!G316-1</f>
        <v>0.141572154868987</v>
      </c>
      <c r="H138" s="37">
        <f t="shared" si="5"/>
        <v>0.10714979454613371</v>
      </c>
      <c r="I138" s="1"/>
      <c r="J138" s="1"/>
      <c r="K138" s="1"/>
      <c r="L138" s="1"/>
      <c r="M138" s="1"/>
    </row>
    <row r="139" ht="15" customHeight="1">
      <c r="A139" s="1"/>
      <c r="B139" s="1"/>
      <c r="C139" s="1"/>
      <c r="D139" s="1"/>
      <c r="E139" s="1"/>
      <c r="F139" s="1"/>
      <c r="G139" s="1"/>
      <c r="H139" s="29"/>
      <c r="I139" s="1"/>
      <c r="J139" s="1"/>
      <c r="K139" s="1"/>
      <c r="L139" s="1"/>
      <c r="M139" s="1"/>
    </row>
    <row r="140" ht="15" customHeight="1">
      <c r="A140" s="1"/>
      <c r="B140" s="30" t="s">
        <v>226</v>
      </c>
      <c r="C140" s="1"/>
      <c r="D140" s="1"/>
      <c r="E140" s="1"/>
      <c r="F140" s="1"/>
      <c r="G140" s="1"/>
      <c r="H140" s="29"/>
      <c r="I140" s="1"/>
      <c r="J140" s="1"/>
      <c r="K140" s="1"/>
      <c r="L140" s="1"/>
      <c r="M140" s="1"/>
    </row>
    <row r="141" ht="15" customHeight="1">
      <c r="A141" s="1"/>
      <c r="B141" s="3" t="s">
        <v>227</v>
      </c>
      <c r="C141" s="63">
        <f t="shared" si="39" ref="C141:H141">C119-C137</f>
        <v>441</v>
      </c>
      <c r="D141" s="63">
        <f t="shared" si="39"/>
        <v>316</v>
      </c>
      <c r="E141" s="63">
        <f t="shared" si="39"/>
        <v>1603</v>
      </c>
      <c r="F141" s="63">
        <f t="shared" si="39"/>
        <v>781</v>
      </c>
      <c r="G141" s="63">
        <f t="shared" si="39"/>
        <v>477</v>
      </c>
      <c r="H141" s="34">
        <f t="shared" si="39"/>
        <v>468.14810958904036</v>
      </c>
      <c r="I141" s="1"/>
      <c r="J141" s="1"/>
      <c r="K141" s="1"/>
      <c r="L141" s="1"/>
      <c r="M141" s="1"/>
    </row>
    <row r="142" ht="15" customHeight="1">
      <c r="A142" s="1"/>
      <c r="B142" s="35" t="s">
        <v>70</v>
      </c>
      <c r="C142" s="36">
        <f>C141/Inputs!C317-1</f>
        <v>-0.03076923076923077</v>
      </c>
      <c r="D142" s="36">
        <f>D141/Inputs!D317-1</f>
        <v>8.294117647058824</v>
      </c>
      <c r="E142" s="36">
        <f>E141/Inputs!E317-1</f>
        <v>0.5548011639185257</v>
      </c>
      <c r="F142" s="36">
        <f>F141/Inputs!F317-1</f>
        <v>1.0498687664041997</v>
      </c>
      <c r="G142" s="36">
        <f>G141/Inputs!G317-1</f>
        <v>0.02580645161290329</v>
      </c>
      <c r="H142" s="37">
        <f t="shared" si="5"/>
        <v>0.06156033920417325</v>
      </c>
      <c r="I142" s="1"/>
      <c r="J142" s="1"/>
      <c r="K142" s="1"/>
      <c r="L142" s="1"/>
      <c r="M142" s="1"/>
    </row>
    <row r="143" ht="15" customHeight="1">
      <c r="A143" s="1"/>
      <c r="B143" s="4" t="s">
        <v>228</v>
      </c>
      <c r="C143" s="39">
        <f t="shared" si="40" ref="C143:H143">C141/C99</f>
        <v>0.13219424460431656</v>
      </c>
      <c r="D143" s="39">
        <f t="shared" si="40"/>
        <v>0.09038901601830664</v>
      </c>
      <c r="E143" s="39">
        <f t="shared" si="40"/>
        <v>0.12330769230769231</v>
      </c>
      <c r="F143" s="39">
        <f t="shared" si="40"/>
        <v>0.22112117780294452</v>
      </c>
      <c r="G143" s="39">
        <f t="shared" si="40"/>
        <v>0.13180436584691904</v>
      </c>
      <c r="H143" s="37">
        <f t="shared" si="40"/>
        <v>0.1274519218125091</v>
      </c>
      <c r="I143" s="1"/>
      <c r="J143" s="1"/>
      <c r="K143" s="1"/>
      <c r="L143" s="1"/>
      <c r="M143" s="1"/>
    </row>
    <row r="144" ht="15" customHeight="1">
      <c r="A144" s="1"/>
      <c r="B144" s="35" t="s">
        <v>81</v>
      </c>
      <c r="C144" s="47">
        <f>(C143-Inputs!C318)*10000</f>
        <v>-227.7850743928017</v>
      </c>
      <c r="D144" s="47">
        <f>(D143-Inputs!D318)*10000</f>
        <v>790.1777856011266</v>
      </c>
      <c r="E144" s="47">
        <f>(E143-Inputs!E318)*10000</f>
        <v>333.5044599410711</v>
      </c>
      <c r="F144" s="47">
        <f>(F143-Inputs!F318)*10000</f>
        <v>913.5278543237232</v>
      </c>
      <c r="G144" s="47">
        <f>(G143-Inputs!G318)*10000</f>
        <v>-120.69396529318571</v>
      </c>
      <c r="H144" s="48">
        <f t="shared" si="21"/>
        <v>-47.42322791807446</v>
      </c>
      <c r="I144" s="1"/>
      <c r="J144" s="1"/>
      <c r="K144" s="1"/>
      <c r="L144" s="1"/>
      <c r="M144" s="1"/>
    </row>
    <row r="145" ht="15" customHeight="1">
      <c r="A145" s="1"/>
      <c r="B145" s="35" t="s">
        <v>82</v>
      </c>
      <c r="C145" s="47">
        <f>(C143-Inputs!G318)*10000</f>
        <v>-116.79517771921056</v>
      </c>
      <c r="D145" s="49">
        <f t="shared" si="14"/>
        <v>-418.05228586009923</v>
      </c>
      <c r="E145" s="1"/>
      <c r="F145" s="49">
        <f t="shared" si="22"/>
        <v>1307.3216178463788</v>
      </c>
      <c r="G145" s="49">
        <f t="shared" si="14"/>
        <v>-893.1681195602548</v>
      </c>
      <c r="H145" s="48">
        <f t="shared" si="14"/>
        <v>-43.524440344099304</v>
      </c>
      <c r="I145" s="1"/>
      <c r="J145" s="1"/>
      <c r="K145" s="1"/>
      <c r="L145" s="1"/>
      <c r="M145" s="1"/>
    </row>
    <row r="146" ht="15" customHeight="1">
      <c r="A146" s="1"/>
      <c r="B146" s="1" t="s">
        <v>229</v>
      </c>
      <c r="C146" s="53">
        <v>441</v>
      </c>
      <c r="D146" s="53">
        <v>316</v>
      </c>
      <c r="E146" s="53">
        <v>1603</v>
      </c>
      <c r="F146" s="53">
        <v>781</v>
      </c>
      <c r="G146" s="53">
        <v>477</v>
      </c>
      <c r="H146" s="67" t="s">
        <v>35</v>
      </c>
      <c r="I146" s="1"/>
      <c r="J146" s="4" t="s">
        <v>69</v>
      </c>
      <c r="K146" s="1"/>
      <c r="L146" s="1"/>
      <c r="M146" s="1"/>
    </row>
    <row r="147" ht="15" customHeight="1">
      <c r="A147" s="1"/>
      <c r="B147" s="4" t="s">
        <v>230</v>
      </c>
      <c r="C147" s="40">
        <f t="shared" si="41" ref="C147:G147">C141-C146</f>
        <v>0</v>
      </c>
      <c r="D147" s="40">
        <f t="shared" si="41"/>
        <v>0</v>
      </c>
      <c r="E147" s="40">
        <f t="shared" si="41"/>
        <v>0</v>
      </c>
      <c r="F147" s="40">
        <f t="shared" si="41"/>
        <v>0</v>
      </c>
      <c r="G147" s="40">
        <f t="shared" si="41"/>
        <v>0</v>
      </c>
      <c r="H147" s="29"/>
      <c r="I147" s="1"/>
      <c r="J147" s="1"/>
      <c r="K147" s="1"/>
      <c r="L147" s="1"/>
      <c r="M147" s="1"/>
    </row>
    <row r="148" ht="1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ht="1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6D7B367-0E58-D74F-3B59-177A1BFE011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263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264</v>
      </c>
      <c r="C9" s="1"/>
      <c r="D9" s="1"/>
      <c r="E9" s="1"/>
      <c r="F9" s="1"/>
      <c r="G9" s="1"/>
      <c r="H9" s="29"/>
      <c r="I9" s="1"/>
      <c r="J9" s="1"/>
      <c r="K9" s="1"/>
      <c r="L9" s="1"/>
      <c r="M9" s="1"/>
    </row>
    <row r="10" ht="15" customHeight="1">
      <c r="A10" s="1"/>
      <c r="B10" s="1" t="s">
        <v>265</v>
      </c>
      <c r="C10" s="16">
        <f>'Revenue summary'!C14</f>
        <v>421</v>
      </c>
      <c r="D10" s="16">
        <f>'Revenue summary'!D14</f>
        <v>445.1</v>
      </c>
      <c r="E10" s="16">
        <f>'Revenue summary'!E14</f>
        <v>1669.8</v>
      </c>
      <c r="F10" s="16">
        <f>'Revenue summary'!F14</f>
        <v>428</v>
      </c>
      <c r="G10" s="16">
        <f>'Revenue summary'!G14</f>
        <v>455.8</v>
      </c>
      <c r="H10" s="15">
        <f>'Revenue summary'!H14</f>
        <v>457.10499999999996</v>
      </c>
      <c r="I10" s="1"/>
      <c r="J10" s="1"/>
      <c r="K10" s="1"/>
      <c r="L10" s="1"/>
      <c r="M10" s="1"/>
    </row>
    <row r="11" ht="15" customHeight="1">
      <c r="A11" s="1"/>
      <c r="B11" s="1" t="s">
        <v>94</v>
      </c>
      <c r="C11" s="16">
        <f>'Revenue summary'!C38</f>
        <v>58.19999999999999</v>
      </c>
      <c r="D11" s="16">
        <f>'Revenue summary'!D38</f>
        <v>61.099999999999966</v>
      </c>
      <c r="E11" s="16">
        <f>'Revenue summary'!E38</f>
        <v>227.20000000000005</v>
      </c>
      <c r="F11" s="16">
        <f>'Revenue summary'!F38</f>
        <v>58.30000000000001</v>
      </c>
      <c r="G11" s="16">
        <f>'Revenue summary'!G38</f>
        <v>60.99999999999994</v>
      </c>
      <c r="H11" s="15">
        <f>'Revenue summary'!H38</f>
        <v>61.8</v>
      </c>
      <c r="I11" s="1"/>
      <c r="J11" s="1"/>
      <c r="K11" s="1"/>
      <c r="L11" s="1"/>
      <c r="M11" s="1"/>
    </row>
    <row r="12" ht="15" customHeight="1">
      <c r="A12" s="1"/>
      <c r="B12" s="3" t="s">
        <v>266</v>
      </c>
      <c r="C12" s="51">
        <f>'Revenue summary'!C42</f>
        <v>479.2</v>
      </c>
      <c r="D12" s="51">
        <f>'Revenue summary'!D42</f>
        <v>506.2</v>
      </c>
      <c r="E12" s="51">
        <f>'Revenue summary'!E42</f>
        <v>1897</v>
      </c>
      <c r="F12" s="51">
        <f>'Revenue summary'!F42</f>
        <v>486.3</v>
      </c>
      <c r="G12" s="51">
        <f>'Revenue summary'!G42</f>
        <v>516.8</v>
      </c>
      <c r="H12" s="54">
        <f>'Revenue summary'!H42</f>
        <v>518.905</v>
      </c>
      <c r="I12" s="1"/>
      <c r="J12" s="1"/>
      <c r="K12" s="1"/>
      <c r="L12" s="1"/>
      <c r="M12" s="1"/>
    </row>
    <row r="13" ht="15" customHeight="1">
      <c r="A13" s="1"/>
      <c r="B13" s="35" t="s">
        <v>70</v>
      </c>
      <c r="C13" s="36">
        <f>C12/Inputs!C231-1</f>
        <v>0.08662131519274374</v>
      </c>
      <c r="D13" s="36">
        <f>D12/Inputs!D231-1</f>
        <v>0.090948275862069</v>
      </c>
      <c r="E13" s="36">
        <f>E12/Inputs!E231-1</f>
        <v>0.07490933816863099</v>
      </c>
      <c r="F13" s="36">
        <f>F12/Inputs!F231-1</f>
        <v>0.1062329390354868</v>
      </c>
      <c r="G13" s="36">
        <f>G12/Inputs!G231-1</f>
        <v>0.09491525423728797</v>
      </c>
      <c r="H13" s="37">
        <f t="shared" si="8" ref="H13:H82">H12/C12-1</f>
        <v>0.08285684474123545</v>
      </c>
      <c r="I13" s="1"/>
      <c r="J13" s="1"/>
      <c r="K13" s="1"/>
      <c r="L13" s="1"/>
      <c r="M13" s="1"/>
    </row>
    <row r="14" ht="15" customHeight="1">
      <c r="A14" s="1"/>
      <c r="B14" s="35" t="s">
        <v>71</v>
      </c>
      <c r="C14" s="27">
        <f>C12-Inputs!C231</f>
        <v>38.19999999999999</v>
      </c>
      <c r="D14" s="27">
        <f>D12-Inputs!D231</f>
        <v>42.19999999999999</v>
      </c>
      <c r="E14" s="27">
        <f>E12-Inputs!E231</f>
        <v>132.20000000000005</v>
      </c>
      <c r="F14" s="27">
        <f>F12-Inputs!F231</f>
        <v>46.69999999999999</v>
      </c>
      <c r="G14" s="27">
        <f>G12-Inputs!G231</f>
        <v>44.799999999999955</v>
      </c>
      <c r="H14" s="38">
        <f t="shared" si="14" ref="H14:H75">H12-C12</f>
        <v>39.704999999999984</v>
      </c>
      <c r="I14" s="1"/>
      <c r="J14" s="1"/>
      <c r="K14" s="1"/>
      <c r="L14" s="1"/>
      <c r="M14" s="1"/>
    </row>
    <row r="15" ht="15" customHeight="1">
      <c r="A15" s="1"/>
      <c r="B15" s="35" t="s">
        <v>72</v>
      </c>
      <c r="C15" s="36">
        <f>C12/Inputs!G231-1</f>
        <v>0.015254237288135464</v>
      </c>
      <c r="D15" s="39">
        <f t="shared" si="1" ref="D15:H15">D12/C12-1</f>
        <v>0.05634390651085153</v>
      </c>
      <c r="E15" s="1"/>
      <c r="F15" s="39">
        <f>F12/D12-1</f>
        <v>-0.03931252469379687</v>
      </c>
      <c r="G15" s="39">
        <f t="shared" si="1"/>
        <v>0.0627184865309478</v>
      </c>
      <c r="H15" s="37">
        <f t="shared" si="1"/>
        <v>0.004073142414860786</v>
      </c>
      <c r="I15" s="1"/>
      <c r="J15" s="1"/>
      <c r="K15" s="1"/>
      <c r="L15" s="1"/>
      <c r="M15" s="1"/>
    </row>
    <row r="16" ht="15" customHeight="1">
      <c r="A16" s="1"/>
      <c r="B16" s="35" t="s">
        <v>73</v>
      </c>
      <c r="C16" s="27">
        <f>C12-Inputs!G231</f>
        <v>7.199999999999989</v>
      </c>
      <c r="D16" s="40">
        <f t="shared" si="2" ref="D16:H16">D12-C12</f>
        <v>27</v>
      </c>
      <c r="E16" s="1"/>
      <c r="F16" s="40">
        <f>F12-D12</f>
        <v>-19.899999999999977</v>
      </c>
      <c r="G16" s="40">
        <f t="shared" si="2"/>
        <v>30.499999999999943</v>
      </c>
      <c r="H16" s="38">
        <f t="shared" si="2"/>
        <v>2.105000000000018</v>
      </c>
      <c r="I16" s="1"/>
      <c r="J16" s="1"/>
      <c r="K16" s="1"/>
      <c r="L16" s="1"/>
      <c r="M16" s="1"/>
    </row>
    <row r="17" ht="15" customHeight="1">
      <c r="A17" s="1"/>
      <c r="B17" s="41" t="s">
        <v>267</v>
      </c>
      <c r="C17" s="50">
        <v>0.09</v>
      </c>
      <c r="D17" s="50">
        <v>0.09</v>
      </c>
      <c r="E17" s="50">
        <v>0.07</v>
      </c>
      <c r="F17" s="50">
        <v>0.11</v>
      </c>
      <c r="G17" s="50">
        <v>0.09</v>
      </c>
      <c r="H17" s="37">
        <f>H13</f>
        <v>0.08285684474123545</v>
      </c>
      <c r="I17" s="1"/>
      <c r="J17" s="4" t="s">
        <v>235</v>
      </c>
      <c r="K17" s="1"/>
      <c r="L17" s="1"/>
      <c r="M17" s="1"/>
    </row>
    <row r="18" ht="15" customHeight="1">
      <c r="A18" s="1"/>
      <c r="B18" s="41" t="s">
        <v>268</v>
      </c>
      <c r="C18" s="50">
        <v>0.08</v>
      </c>
      <c r="D18" s="50">
        <v>0.08</v>
      </c>
      <c r="E18" s="50">
        <v>0.07</v>
      </c>
      <c r="F18" s="50">
        <v>0.09</v>
      </c>
      <c r="G18" s="50">
        <v>0.09</v>
      </c>
      <c r="H18" s="37">
        <f>(1+H17)/(1+H20)-1</f>
        <v>0.0870652824095699</v>
      </c>
      <c r="I18" s="1"/>
      <c r="J18" s="4" t="s">
        <v>235</v>
      </c>
      <c r="K18" s="1"/>
      <c r="L18" s="1"/>
      <c r="M18" s="1"/>
    </row>
    <row r="19" ht="15" customHeight="1">
      <c r="A19" s="1"/>
      <c r="B19" s="41" t="s">
        <v>74</v>
      </c>
      <c r="C19" s="39">
        <f t="shared" si="3" ref="C19:H19">C13</f>
        <v>0.08662131519274374</v>
      </c>
      <c r="D19" s="39">
        <f t="shared" si="3"/>
        <v>0.090948275862069</v>
      </c>
      <c r="E19" s="39">
        <f t="shared" si="3"/>
        <v>0.07490933816863099</v>
      </c>
      <c r="F19" s="39">
        <f t="shared" si="3"/>
        <v>0.1062329390354868</v>
      </c>
      <c r="G19" s="39">
        <f t="shared" si="3"/>
        <v>0.09491525423728797</v>
      </c>
      <c r="H19" s="37">
        <f t="shared" si="3"/>
        <v>0.08285684474123545</v>
      </c>
      <c r="I19" s="1"/>
      <c r="J19" s="1"/>
      <c r="K19" s="1"/>
      <c r="L19" s="1"/>
      <c r="M19" s="1"/>
    </row>
    <row r="20" ht="15" customHeight="1">
      <c r="A20" s="1"/>
      <c r="B20" s="41" t="s">
        <v>75</v>
      </c>
      <c r="C20" s="39">
        <f t="shared" si="4" ref="C20:G20">(1+C17)/(1+C18)-1</f>
        <v>0.0092592592592593</v>
      </c>
      <c r="D20" s="39">
        <f t="shared" si="4"/>
        <v>0.0092592592592593</v>
      </c>
      <c r="E20" s="39">
        <f t="shared" si="4"/>
        <v>0</v>
      </c>
      <c r="F20" s="39">
        <f t="shared" si="4"/>
        <v>0.01834862385321112</v>
      </c>
      <c r="G20" s="39">
        <f t="shared" si="4"/>
        <v>0</v>
      </c>
      <c r="H20" s="42">
        <f>'Revenue summary'!H163</f>
        <v>-0.0038713752857658518</v>
      </c>
      <c r="I20" s="1"/>
      <c r="J20" s="4" t="s">
        <v>269</v>
      </c>
      <c r="K20" s="1"/>
      <c r="L20" s="1"/>
      <c r="M20" s="1"/>
    </row>
    <row r="21" ht="15" customHeight="1">
      <c r="A21" s="1"/>
      <c r="B21" s="41" t="s">
        <v>77</v>
      </c>
      <c r="C21" s="43" t="s">
        <v>35</v>
      </c>
      <c r="D21" s="43" t="s">
        <v>35</v>
      </c>
      <c r="E21" s="43" t="s">
        <v>35</v>
      </c>
      <c r="F21" s="43" t="s">
        <v>35</v>
      </c>
      <c r="G21" s="43" t="s">
        <v>35</v>
      </c>
      <c r="H21" s="44" t="s">
        <v>35</v>
      </c>
      <c r="I21" s="1"/>
      <c r="J21" s="1"/>
      <c r="K21" s="1"/>
      <c r="L21" s="1"/>
      <c r="M21" s="1"/>
    </row>
    <row r="22" ht="15" customHeight="1">
      <c r="A22" s="1"/>
      <c r="B22" s="41" t="s">
        <v>78</v>
      </c>
      <c r="C22" s="45" t="str">
        <f t="shared" si="5" ref="C22:H54">IF(AND(ISNUMBER(C19),ISNUMBER(C20),ISNUMBER(C21)),(1+C19)/((1+C21)*(1+C20))-1,"unavailable")</f>
        <v>unavailable</v>
      </c>
      <c r="D22" s="45" t="str">
        <f t="shared" si="5"/>
        <v>unavailable</v>
      </c>
      <c r="E22" s="45" t="str">
        <f t="shared" si="5"/>
        <v>unavailable</v>
      </c>
      <c r="F22" s="45" t="str">
        <f t="shared" si="5"/>
        <v>unavailable</v>
      </c>
      <c r="G22" s="45" t="str">
        <f t="shared" si="5"/>
        <v>unavailable</v>
      </c>
      <c r="H22" s="46" t="str">
        <f t="shared" si="5"/>
        <v>unavailable</v>
      </c>
      <c r="I22" s="1"/>
      <c r="J22" s="1"/>
      <c r="K22" s="1"/>
      <c r="L22" s="1"/>
      <c r="M22" s="1"/>
    </row>
    <row r="23" ht="15" customHeight="1">
      <c r="A23" s="1"/>
      <c r="B23" s="1"/>
      <c r="C23" s="1"/>
      <c r="D23" s="1"/>
      <c r="E23" s="1"/>
      <c r="F23" s="1"/>
      <c r="G23" s="1"/>
      <c r="H23" s="29"/>
      <c r="I23" s="1"/>
      <c r="J23" s="1"/>
      <c r="K23" s="1"/>
      <c r="L23" s="1"/>
      <c r="M23" s="1"/>
    </row>
    <row r="24" ht="15" customHeight="1">
      <c r="A24" s="1"/>
      <c r="B24" s="30" t="s">
        <v>207</v>
      </c>
      <c r="C24" s="1"/>
      <c r="D24" s="1"/>
      <c r="E24" s="1"/>
      <c r="F24" s="1"/>
      <c r="G24" s="1"/>
      <c r="H24" s="29"/>
      <c r="I24" s="1"/>
      <c r="J24" s="1"/>
      <c r="K24" s="1"/>
      <c r="L24" s="1"/>
      <c r="M24" s="1"/>
    </row>
    <row r="25" ht="15" customHeight="1">
      <c r="A25" s="1"/>
      <c r="B25" s="1" t="s">
        <v>270</v>
      </c>
      <c r="C25" s="17">
        <f t="shared" si="6" ref="C25:G25">C28/C12*10</f>
        <v>37.186978297161936</v>
      </c>
      <c r="D25" s="17">
        <f t="shared" si="6"/>
        <v>36.704859739233505</v>
      </c>
      <c r="E25" s="17">
        <f t="shared" si="6"/>
        <v>37.20611491829204</v>
      </c>
      <c r="F25" s="17">
        <f t="shared" si="6"/>
        <v>37.528274727534445</v>
      </c>
      <c r="G25" s="17">
        <f t="shared" si="6"/>
        <v>37.13235294117647</v>
      </c>
      <c r="H25" s="32">
        <v>37.2</v>
      </c>
      <c r="I25" s="1"/>
      <c r="J25" s="4" t="s">
        <v>271</v>
      </c>
      <c r="K25" s="1"/>
      <c r="L25" s="1"/>
      <c r="M25" s="1"/>
    </row>
    <row r="26" ht="15" customHeight="1">
      <c r="A26" s="1"/>
      <c r="B26" s="35" t="s">
        <v>81</v>
      </c>
      <c r="C26" s="27">
        <f>(C25-Inputs!C335)*1</f>
        <v>-0.6134752175772888</v>
      </c>
      <c r="D26" s="27">
        <f>(D25-Inputs!D335)*1</f>
        <v>-0.42876095042166895</v>
      </c>
      <c r="E26" s="27">
        <f>(E25-Inputs!E335)*1</f>
        <v>-0.9228515368303576</v>
      </c>
      <c r="F26" s="27">
        <f>(F25-Inputs!F335)*1</f>
        <v>-0.23332672833452506</v>
      </c>
      <c r="G26" s="27">
        <f>(G25-Inputs!G335)*1</f>
        <v>-0.11340977068793734</v>
      </c>
      <c r="H26" s="38">
        <f t="shared" si="18" ref="H26:H63">(H25-C25)*1</f>
        <v>0.013021702838067029</v>
      </c>
      <c r="I26" s="1"/>
      <c r="J26" s="1"/>
      <c r="K26" s="1"/>
      <c r="L26" s="1"/>
      <c r="M26" s="1"/>
    </row>
    <row r="27" ht="15" customHeight="1">
      <c r="A27" s="1"/>
      <c r="B27" s="35" t="s">
        <v>82</v>
      </c>
      <c r="C27" s="27">
        <f>(C25-Inputs!G335)*1</f>
        <v>-0.05878441470247253</v>
      </c>
      <c r="D27" s="40">
        <f t="shared" si="7" ref="D27:H64">(D25-C25)*1</f>
        <v>-0.4821185579284304</v>
      </c>
      <c r="E27" s="1"/>
      <c r="F27" s="40">
        <f t="shared" si="19" ref="F27:F64">(F25-D25)*1</f>
        <v>0.8234149883009394</v>
      </c>
      <c r="G27" s="40">
        <f t="shared" si="7"/>
        <v>-0.3959217863579738</v>
      </c>
      <c r="H27" s="38">
        <f t="shared" si="7"/>
        <v>0.06764705882353184</v>
      </c>
      <c r="I27" s="1"/>
      <c r="J27" s="1"/>
      <c r="K27" s="1"/>
      <c r="L27" s="1"/>
      <c r="M27" s="1"/>
    </row>
    <row r="28" ht="15" customHeight="1">
      <c r="A28" s="1"/>
      <c r="B28" s="1" t="s">
        <v>144</v>
      </c>
      <c r="C28" s="53">
        <v>1782</v>
      </c>
      <c r="D28" s="53">
        <v>1858</v>
      </c>
      <c r="E28" s="53">
        <v>7058</v>
      </c>
      <c r="F28" s="53">
        <v>1825</v>
      </c>
      <c r="G28" s="53">
        <v>1919</v>
      </c>
      <c r="H28" s="52">
        <f>H12*H25/10</f>
        <v>1930.3265999999999</v>
      </c>
      <c r="I28" s="1"/>
      <c r="J28" s="4" t="s">
        <v>69</v>
      </c>
      <c r="K28" s="1"/>
      <c r="L28" s="1"/>
      <c r="M28" s="1"/>
    </row>
    <row r="29" ht="15" customHeight="1">
      <c r="A29" s="1"/>
      <c r="B29" s="35" t="s">
        <v>70</v>
      </c>
      <c r="C29" s="36">
        <f>C28/Inputs!C323-1</f>
        <v>0.06898620275944811</v>
      </c>
      <c r="D29" s="36">
        <f>D28/Inputs!D323-1</f>
        <v>0.07835171213000591</v>
      </c>
      <c r="E29" s="36">
        <f>E28/Inputs!E323-1</f>
        <v>0.048892851835339535</v>
      </c>
      <c r="F29" s="36">
        <f>F28/Inputs!F323-1</f>
        <v>0.09939759036144569</v>
      </c>
      <c r="G29" s="36">
        <f>G28/Inputs!G323-1</f>
        <v>0.09158134243458482</v>
      </c>
      <c r="H29" s="37">
        <f t="shared" si="8"/>
        <v>0.08323602693602683</v>
      </c>
      <c r="I29" s="1"/>
      <c r="J29" s="1"/>
      <c r="K29" s="1"/>
      <c r="L29" s="1"/>
      <c r="M29" s="1"/>
    </row>
    <row r="30" ht="15" customHeight="1">
      <c r="A30" s="1"/>
      <c r="B30" s="35" t="s">
        <v>72</v>
      </c>
      <c r="C30" s="36">
        <f>C28/Inputs!G323-1</f>
        <v>0.013651877133105783</v>
      </c>
      <c r="D30" s="39">
        <f t="shared" si="9" ref="D30:H50">D28/C28-1</f>
        <v>0.04264870931537601</v>
      </c>
      <c r="E30" s="1"/>
      <c r="F30" s="39">
        <f t="shared" si="11" ref="F30:F50">F28/D28-1</f>
        <v>-0.017761033369214196</v>
      </c>
      <c r="G30" s="39">
        <f t="shared" si="9"/>
        <v>0.05150684931506855</v>
      </c>
      <c r="H30" s="37">
        <f t="shared" si="9"/>
        <v>0.005902344971339124</v>
      </c>
      <c r="I30" s="1"/>
      <c r="J30" s="1"/>
      <c r="K30" s="1"/>
      <c r="L30" s="1"/>
      <c r="M30" s="1"/>
    </row>
    <row r="31" ht="15" customHeight="1">
      <c r="A31" s="1"/>
      <c r="B31" s="41" t="s">
        <v>74</v>
      </c>
      <c r="C31" s="39">
        <f t="shared" si="10" ref="C31:H51">C29</f>
        <v>0.06898620275944811</v>
      </c>
      <c r="D31" s="39">
        <f t="shared" si="10"/>
        <v>0.07835171213000591</v>
      </c>
      <c r="E31" s="39">
        <f t="shared" si="10"/>
        <v>0.048892851835339535</v>
      </c>
      <c r="F31" s="39">
        <f t="shared" si="10"/>
        <v>0.09939759036144569</v>
      </c>
      <c r="G31" s="39">
        <f t="shared" si="10"/>
        <v>0.09158134243458482</v>
      </c>
      <c r="H31" s="37">
        <f t="shared" si="10"/>
        <v>0.08323602693602683</v>
      </c>
      <c r="I31" s="1"/>
      <c r="J31" s="1"/>
      <c r="K31" s="1"/>
      <c r="L31" s="1"/>
      <c r="M31" s="1"/>
    </row>
    <row r="32" ht="15" customHeight="1">
      <c r="A32" s="1"/>
      <c r="B32" s="41" t="s">
        <v>75</v>
      </c>
      <c r="C32" s="43" t="s">
        <v>35</v>
      </c>
      <c r="D32" s="43" t="s">
        <v>35</v>
      </c>
      <c r="E32" s="43" t="s">
        <v>35</v>
      </c>
      <c r="F32" s="43" t="s">
        <v>35</v>
      </c>
      <c r="G32" s="43" t="s">
        <v>35</v>
      </c>
      <c r="H32" s="37">
        <f>H20</f>
        <v>-0.0038713752857658518</v>
      </c>
      <c r="I32" s="1"/>
      <c r="J32" s="1"/>
      <c r="K32" s="1"/>
      <c r="L32" s="1"/>
      <c r="M32" s="1"/>
    </row>
    <row r="33" ht="15" customHeight="1">
      <c r="A33" s="1"/>
      <c r="B33" s="41" t="s">
        <v>77</v>
      </c>
      <c r="C33" s="43" t="s">
        <v>35</v>
      </c>
      <c r="D33" s="43" t="s">
        <v>35</v>
      </c>
      <c r="E33" s="43" t="s">
        <v>35</v>
      </c>
      <c r="F33" s="43" t="s">
        <v>35</v>
      </c>
      <c r="G33" s="43" t="s">
        <v>35</v>
      </c>
      <c r="H33" s="44" t="s">
        <v>35</v>
      </c>
      <c r="I33" s="1"/>
      <c r="J33" s="1"/>
      <c r="K33" s="1"/>
      <c r="L33" s="1"/>
      <c r="M33" s="1"/>
    </row>
    <row r="34" ht="15" customHeight="1">
      <c r="A34" s="1"/>
      <c r="B34" s="41" t="s">
        <v>78</v>
      </c>
      <c r="C34" s="45" t="str">
        <f t="shared" si="5"/>
        <v>unavailable</v>
      </c>
      <c r="D34" s="45" t="str">
        <f t="shared" si="5"/>
        <v>unavailable</v>
      </c>
      <c r="E34" s="45" t="str">
        <f t="shared" si="5"/>
        <v>unavailable</v>
      </c>
      <c r="F34" s="45" t="str">
        <f t="shared" si="5"/>
        <v>unavailable</v>
      </c>
      <c r="G34" s="45" t="str">
        <f t="shared" si="5"/>
        <v>unavailable</v>
      </c>
      <c r="H34" s="46" t="str">
        <f t="shared" si="5"/>
        <v>unavailable</v>
      </c>
      <c r="I34" s="1"/>
      <c r="J34" s="1"/>
      <c r="K34" s="1"/>
      <c r="L34" s="1"/>
      <c r="M34" s="1"/>
    </row>
    <row r="35" ht="15" customHeight="1">
      <c r="A35" s="1"/>
      <c r="B35" s="1" t="s">
        <v>210</v>
      </c>
      <c r="C35" s="53">
        <v>9</v>
      </c>
      <c r="D35" s="53">
        <v>9</v>
      </c>
      <c r="E35" s="53">
        <v>40</v>
      </c>
      <c r="F35" s="53">
        <v>10</v>
      </c>
      <c r="G35" s="53">
        <v>8</v>
      </c>
      <c r="H35" s="32">
        <v>8</v>
      </c>
      <c r="I35" s="1"/>
      <c r="J35" s="4" t="s">
        <v>272</v>
      </c>
      <c r="K35" s="1"/>
      <c r="L35" s="1"/>
      <c r="M35" s="1"/>
    </row>
    <row r="36" ht="15" customHeight="1">
      <c r="A36" s="1"/>
      <c r="B36" s="35" t="s">
        <v>70</v>
      </c>
      <c r="C36" s="36">
        <f>C35/Inputs!C324-1</f>
        <v>-0.18181818181818177</v>
      </c>
      <c r="D36" s="36">
        <f>D35/Inputs!D324-1</f>
        <v>-0.18181818181818177</v>
      </c>
      <c r="E36" s="36">
        <f>E35/Inputs!E324-1</f>
        <v>-0.23076923076923073</v>
      </c>
      <c r="F36" s="36">
        <f>F35/Inputs!F324-1</f>
        <v>-0.16666666666666663</v>
      </c>
      <c r="G36" s="36">
        <f>G35/Inputs!G324-1</f>
        <v>-0.19999999999999996</v>
      </c>
      <c r="H36" s="37">
        <f t="shared" si="8"/>
        <v>-0.11111111111111116</v>
      </c>
      <c r="I36" s="1"/>
      <c r="J36" s="1"/>
      <c r="K36" s="1"/>
      <c r="L36" s="1"/>
      <c r="M36" s="1"/>
    </row>
    <row r="37" ht="15" customHeight="1">
      <c r="A37" s="1"/>
      <c r="B37" s="35" t="s">
        <v>72</v>
      </c>
      <c r="C37" s="36">
        <f>C35/Inputs!G324-1</f>
        <v>-0.09999999999999998</v>
      </c>
      <c r="D37" s="39">
        <f t="shared" si="9"/>
        <v>0</v>
      </c>
      <c r="E37" s="1"/>
      <c r="F37" s="39">
        <f t="shared" si="11"/>
        <v>0.11111111111111116</v>
      </c>
      <c r="G37" s="39">
        <f t="shared" si="9"/>
        <v>-0.19999999999999996</v>
      </c>
      <c r="H37" s="37">
        <f t="shared" si="9"/>
        <v>0</v>
      </c>
      <c r="I37" s="1"/>
      <c r="J37" s="1"/>
      <c r="K37" s="1"/>
      <c r="L37" s="1"/>
      <c r="M37" s="1"/>
    </row>
    <row r="38" ht="15" customHeight="1">
      <c r="A38" s="1"/>
      <c r="B38" s="1" t="s">
        <v>273</v>
      </c>
      <c r="C38" s="53">
        <v>-181</v>
      </c>
      <c r="D38" s="53">
        <v>-172</v>
      </c>
      <c r="E38" s="53">
        <v>-661</v>
      </c>
      <c r="F38" s="53">
        <v>-169</v>
      </c>
      <c r="G38" s="53">
        <v>-169</v>
      </c>
      <c r="H38" s="52">
        <f>H35-H41</f>
        <v>-172</v>
      </c>
      <c r="I38" s="1"/>
      <c r="J38" s="4" t="s">
        <v>274</v>
      </c>
      <c r="K38" s="1"/>
      <c r="L38" s="1"/>
      <c r="M38" s="1"/>
    </row>
    <row r="39" ht="15" customHeight="1">
      <c r="A39" s="1"/>
      <c r="B39" s="35" t="s">
        <v>70</v>
      </c>
      <c r="C39" s="36">
        <f>C38/Inputs!C325-1</f>
        <v>0.07100591715976323</v>
      </c>
      <c r="D39" s="36">
        <f>D38/Inputs!D325-1</f>
        <v>0.07499999999999996</v>
      </c>
      <c r="E39" s="36">
        <f>E38/Inputs!E325-1</f>
        <v>-0.05974395448079661</v>
      </c>
      <c r="F39" s="36">
        <f>F38/Inputs!F325-1</f>
        <v>0.18181818181818188</v>
      </c>
      <c r="G39" s="36">
        <f>G38/Inputs!G325-1</f>
        <v>0.024242424242424176</v>
      </c>
      <c r="H39" s="37">
        <f t="shared" si="8"/>
        <v>-0.04972375690607733</v>
      </c>
      <c r="I39" s="1"/>
      <c r="J39" s="1"/>
      <c r="K39" s="1"/>
      <c r="L39" s="1"/>
      <c r="M39" s="1"/>
    </row>
    <row r="40" ht="15" customHeight="1">
      <c r="A40" s="1"/>
      <c r="B40" s="35" t="s">
        <v>72</v>
      </c>
      <c r="C40" s="36">
        <f>C38/Inputs!G325-1</f>
        <v>0.09696969696969693</v>
      </c>
      <c r="D40" s="39">
        <f t="shared" si="9"/>
        <v>-0.04972375690607733</v>
      </c>
      <c r="E40" s="1"/>
      <c r="F40" s="39">
        <f t="shared" si="11"/>
        <v>-0.01744186046511631</v>
      </c>
      <c r="G40" s="39">
        <f t="shared" si="9"/>
        <v>0</v>
      </c>
      <c r="H40" s="37">
        <f t="shared" si="9"/>
        <v>0.01775147928994092</v>
      </c>
      <c r="I40" s="1"/>
      <c r="J40" s="1"/>
      <c r="K40" s="1"/>
      <c r="L40" s="1"/>
      <c r="M40" s="1"/>
    </row>
    <row r="41" ht="15" customHeight="1">
      <c r="A41" s="1"/>
      <c r="B41" s="3" t="s">
        <v>146</v>
      </c>
      <c r="C41" s="63">
        <f t="shared" si="12" ref="C41:G41">C35-C38</f>
        <v>190</v>
      </c>
      <c r="D41" s="63">
        <f t="shared" si="12"/>
        <v>181</v>
      </c>
      <c r="E41" s="63">
        <f t="shared" si="12"/>
        <v>701</v>
      </c>
      <c r="F41" s="63">
        <f t="shared" si="12"/>
        <v>179</v>
      </c>
      <c r="G41" s="63">
        <f t="shared" si="12"/>
        <v>177</v>
      </c>
      <c r="H41" s="65">
        <v>180</v>
      </c>
      <c r="I41" s="1"/>
      <c r="J41" s="4" t="s">
        <v>275</v>
      </c>
      <c r="K41" s="1"/>
      <c r="L41" s="1"/>
      <c r="M41" s="1"/>
    </row>
    <row r="42" ht="15" customHeight="1">
      <c r="A42" s="1"/>
      <c r="B42" s="35" t="s">
        <v>70</v>
      </c>
      <c r="C42" s="36">
        <f>C41/Inputs!C330-1</f>
        <v>0.05555555555555558</v>
      </c>
      <c r="D42" s="36">
        <f>D41/Inputs!D330-1</f>
        <v>0.0584795321637428</v>
      </c>
      <c r="E42" s="36">
        <f>E41/Inputs!E330-1</f>
        <v>-0.07152317880794701</v>
      </c>
      <c r="F42" s="36">
        <f>F41/Inputs!F330-1</f>
        <v>0.1548387096774193</v>
      </c>
      <c r="G42" s="36">
        <f>G41/Inputs!G330-1</f>
        <v>0.011428571428571344</v>
      </c>
      <c r="H42" s="37">
        <f t="shared" si="8"/>
        <v>-0.052631578947368474</v>
      </c>
      <c r="I42" s="1"/>
      <c r="J42" s="1"/>
      <c r="K42" s="1"/>
      <c r="L42" s="1"/>
      <c r="M42" s="1"/>
    </row>
    <row r="43" ht="15" customHeight="1">
      <c r="A43" s="1"/>
      <c r="B43" s="35" t="s">
        <v>72</v>
      </c>
      <c r="C43" s="36">
        <f>C41/Inputs!G330-1</f>
        <v>0.08571428571428563</v>
      </c>
      <c r="D43" s="39">
        <f t="shared" si="9"/>
        <v>-0.047368421052631615</v>
      </c>
      <c r="E43" s="1"/>
      <c r="F43" s="39">
        <f t="shared" si="11"/>
        <v>-0.011049723756906049</v>
      </c>
      <c r="G43" s="39">
        <f t="shared" si="9"/>
        <v>-0.011173184357541888</v>
      </c>
      <c r="H43" s="37">
        <f t="shared" si="9"/>
        <v>0.016949152542372836</v>
      </c>
      <c r="I43" s="1"/>
      <c r="J43" s="1"/>
      <c r="K43" s="1"/>
      <c r="L43" s="1"/>
      <c r="M43" s="1"/>
    </row>
    <row r="44" ht="15" customHeight="1">
      <c r="A44" s="1"/>
      <c r="B44" s="41" t="s">
        <v>74</v>
      </c>
      <c r="C44" s="39">
        <f t="shared" si="10"/>
        <v>0.05555555555555558</v>
      </c>
      <c r="D44" s="39">
        <f t="shared" si="10"/>
        <v>0.0584795321637428</v>
      </c>
      <c r="E44" s="39">
        <f t="shared" si="10"/>
        <v>-0.07152317880794701</v>
      </c>
      <c r="F44" s="39">
        <f t="shared" si="10"/>
        <v>0.1548387096774193</v>
      </c>
      <c r="G44" s="39">
        <f t="shared" si="10"/>
        <v>0.011428571428571344</v>
      </c>
      <c r="H44" s="37">
        <f t="shared" si="10"/>
        <v>-0.052631578947368474</v>
      </c>
      <c r="I44" s="1"/>
      <c r="J44" s="1"/>
      <c r="K44" s="1"/>
      <c r="L44" s="1"/>
      <c r="M44" s="1"/>
    </row>
    <row r="45" ht="15" customHeight="1">
      <c r="A45" s="1"/>
      <c r="B45" s="41" t="s">
        <v>75</v>
      </c>
      <c r="C45" s="43" t="s">
        <v>35</v>
      </c>
      <c r="D45" s="43" t="s">
        <v>35</v>
      </c>
      <c r="E45" s="43" t="s">
        <v>35</v>
      </c>
      <c r="F45" s="43" t="s">
        <v>35</v>
      </c>
      <c r="G45" s="43" t="s">
        <v>35</v>
      </c>
      <c r="H45" s="44" t="s">
        <v>35</v>
      </c>
      <c r="I45" s="1"/>
      <c r="J45" s="1"/>
      <c r="K45" s="1"/>
      <c r="L45" s="1"/>
      <c r="M45" s="1"/>
    </row>
    <row r="46" ht="15" customHeight="1">
      <c r="A46" s="1"/>
      <c r="B46" s="41" t="s">
        <v>77</v>
      </c>
      <c r="C46" s="43" t="s">
        <v>35</v>
      </c>
      <c r="D46" s="43" t="s">
        <v>35</v>
      </c>
      <c r="E46" s="43" t="s">
        <v>35</v>
      </c>
      <c r="F46" s="43" t="s">
        <v>35</v>
      </c>
      <c r="G46" s="43" t="s">
        <v>35</v>
      </c>
      <c r="H46" s="44" t="s">
        <v>35</v>
      </c>
      <c r="I46" s="1"/>
      <c r="J46" s="1"/>
      <c r="K46" s="1"/>
      <c r="L46" s="1"/>
      <c r="M46" s="1"/>
    </row>
    <row r="47" ht="15" customHeight="1">
      <c r="A47" s="1"/>
      <c r="B47" s="41" t="s">
        <v>78</v>
      </c>
      <c r="C47" s="45" t="str">
        <f t="shared" si="5"/>
        <v>unavailable</v>
      </c>
      <c r="D47" s="45" t="str">
        <f t="shared" si="5"/>
        <v>unavailable</v>
      </c>
      <c r="E47" s="45" t="str">
        <f t="shared" si="5"/>
        <v>unavailable</v>
      </c>
      <c r="F47" s="45" t="str">
        <f t="shared" si="5"/>
        <v>unavailable</v>
      </c>
      <c r="G47" s="45" t="str">
        <f t="shared" si="5"/>
        <v>unavailable</v>
      </c>
      <c r="H47" s="46" t="str">
        <f t="shared" si="5"/>
        <v>unavailable</v>
      </c>
      <c r="I47" s="1"/>
      <c r="J47" s="1"/>
      <c r="K47" s="1"/>
      <c r="L47" s="1"/>
      <c r="M47" s="1"/>
    </row>
    <row r="48" ht="15" customHeight="1">
      <c r="A48" s="1"/>
      <c r="B48" s="3" t="s">
        <v>136</v>
      </c>
      <c r="C48" s="63">
        <f t="shared" si="13" ref="C48:H48">C28+C41</f>
        <v>1972</v>
      </c>
      <c r="D48" s="63">
        <f t="shared" si="13"/>
        <v>2039</v>
      </c>
      <c r="E48" s="63">
        <f t="shared" si="13"/>
        <v>7759</v>
      </c>
      <c r="F48" s="63">
        <f t="shared" si="13"/>
        <v>2004</v>
      </c>
      <c r="G48" s="63">
        <f t="shared" si="13"/>
        <v>2096</v>
      </c>
      <c r="H48" s="34">
        <f t="shared" si="13"/>
        <v>2110.3266</v>
      </c>
      <c r="I48" s="1"/>
      <c r="J48" s="1"/>
      <c r="K48" s="1"/>
      <c r="L48" s="1"/>
      <c r="M48" s="1"/>
    </row>
    <row r="49" ht="15" customHeight="1">
      <c r="A49" s="1"/>
      <c r="B49" s="35" t="s">
        <v>70</v>
      </c>
      <c r="C49" s="36">
        <f>C48/Inputs!C331-1</f>
        <v>0.06767731456415804</v>
      </c>
      <c r="D49" s="36">
        <f>D48/Inputs!D331-1</f>
        <v>0.07655755015839483</v>
      </c>
      <c r="E49" s="36">
        <f>E48/Inputs!E331-1</f>
        <v>0.03674505611972201</v>
      </c>
      <c r="F49" s="36">
        <f>F48/Inputs!F331-1</f>
        <v>0.10413223140495864</v>
      </c>
      <c r="G49" s="36">
        <f>G48/Inputs!G331-1</f>
        <v>0.08432488360062074</v>
      </c>
      <c r="H49" s="37">
        <f t="shared" si="8"/>
        <v>0.07014533468559825</v>
      </c>
      <c r="I49" s="1"/>
      <c r="J49" s="1"/>
      <c r="K49" s="1"/>
      <c r="L49" s="1"/>
      <c r="M49" s="1"/>
    </row>
    <row r="50" ht="15" customHeight="1">
      <c r="A50" s="1"/>
      <c r="B50" s="35" t="s">
        <v>72</v>
      </c>
      <c r="C50" s="36">
        <f>C48/Inputs!G331-1</f>
        <v>0.020175892395240647</v>
      </c>
      <c r="D50" s="39">
        <f t="shared" si="9"/>
        <v>0.033975659229208865</v>
      </c>
      <c r="E50" s="1"/>
      <c r="F50" s="39">
        <f t="shared" si="11"/>
        <v>-0.017165277096615972</v>
      </c>
      <c r="G50" s="39">
        <f t="shared" si="9"/>
        <v>0.045908183632734634</v>
      </c>
      <c r="H50" s="37">
        <f t="shared" si="9"/>
        <v>0.006835209923664154</v>
      </c>
      <c r="I50" s="1"/>
      <c r="J50" s="1"/>
      <c r="K50" s="1"/>
      <c r="L50" s="1"/>
      <c r="M50" s="1"/>
    </row>
    <row r="51" ht="15" customHeight="1">
      <c r="A51" s="1"/>
      <c r="B51" s="41" t="s">
        <v>74</v>
      </c>
      <c r="C51" s="39">
        <f t="shared" si="10"/>
        <v>0.06767731456415804</v>
      </c>
      <c r="D51" s="39">
        <f t="shared" si="10"/>
        <v>0.07655755015839483</v>
      </c>
      <c r="E51" s="39">
        <f t="shared" si="10"/>
        <v>0.03674505611972201</v>
      </c>
      <c r="F51" s="39">
        <f t="shared" si="10"/>
        <v>0.10413223140495864</v>
      </c>
      <c r="G51" s="39">
        <f t="shared" si="10"/>
        <v>0.08432488360062074</v>
      </c>
      <c r="H51" s="37">
        <f t="shared" si="10"/>
        <v>0.07014533468559825</v>
      </c>
      <c r="I51" s="1"/>
      <c r="J51" s="1"/>
      <c r="K51" s="1"/>
      <c r="L51" s="1"/>
      <c r="M51" s="1"/>
    </row>
    <row r="52" ht="15" customHeight="1">
      <c r="A52" s="1"/>
      <c r="B52" s="41" t="s">
        <v>75</v>
      </c>
      <c r="C52" s="43" t="s">
        <v>35</v>
      </c>
      <c r="D52" s="43" t="s">
        <v>35</v>
      </c>
      <c r="E52" s="43" t="s">
        <v>35</v>
      </c>
      <c r="F52" s="43" t="s">
        <v>35</v>
      </c>
      <c r="G52" s="43" t="s">
        <v>35</v>
      </c>
      <c r="H52" s="37">
        <f>H20</f>
        <v>-0.0038713752857658518</v>
      </c>
      <c r="I52" s="1"/>
      <c r="J52" s="1"/>
      <c r="K52" s="1"/>
      <c r="L52" s="1"/>
      <c r="M52" s="1"/>
    </row>
    <row r="53" ht="15" customHeight="1">
      <c r="A53" s="1"/>
      <c r="B53" s="41" t="s">
        <v>77</v>
      </c>
      <c r="C53" s="43" t="s">
        <v>35</v>
      </c>
      <c r="D53" s="43" t="s">
        <v>35</v>
      </c>
      <c r="E53" s="43" t="s">
        <v>35</v>
      </c>
      <c r="F53" s="43" t="s">
        <v>35</v>
      </c>
      <c r="G53" s="43" t="s">
        <v>35</v>
      </c>
      <c r="H53" s="44" t="s">
        <v>35</v>
      </c>
      <c r="I53" s="1"/>
      <c r="J53" s="1"/>
      <c r="K53" s="1"/>
      <c r="L53" s="1"/>
      <c r="M53" s="1"/>
    </row>
    <row r="54" ht="15" customHeight="1">
      <c r="A54" s="1"/>
      <c r="B54" s="41" t="s">
        <v>78</v>
      </c>
      <c r="C54" s="45" t="str">
        <f t="shared" si="5"/>
        <v>unavailable</v>
      </c>
      <c r="D54" s="45" t="str">
        <f t="shared" si="5"/>
        <v>unavailable</v>
      </c>
      <c r="E54" s="45" t="str">
        <f t="shared" si="5"/>
        <v>unavailable</v>
      </c>
      <c r="F54" s="45" t="str">
        <f t="shared" si="5"/>
        <v>unavailable</v>
      </c>
      <c r="G54" s="45" t="str">
        <f t="shared" si="5"/>
        <v>unavailable</v>
      </c>
      <c r="H54" s="46" t="str">
        <f t="shared" si="5"/>
        <v>unavailable</v>
      </c>
      <c r="I54" s="1"/>
      <c r="J54" s="1"/>
      <c r="K54" s="1"/>
      <c r="L54" s="1"/>
      <c r="M54" s="1"/>
    </row>
    <row r="55" ht="15" customHeight="1">
      <c r="A55" s="1"/>
      <c r="B55" s="1"/>
      <c r="C55" s="1"/>
      <c r="D55" s="1"/>
      <c r="E55" s="1"/>
      <c r="F55" s="1"/>
      <c r="G55" s="1"/>
      <c r="H55" s="29"/>
      <c r="I55" s="1"/>
      <c r="J55" s="1"/>
      <c r="K55" s="1"/>
      <c r="L55" s="1"/>
      <c r="M55" s="1"/>
    </row>
    <row r="56" ht="15" customHeight="1">
      <c r="A56" s="1"/>
      <c r="B56" s="30" t="s">
        <v>276</v>
      </c>
      <c r="C56" s="1"/>
      <c r="D56" s="1"/>
      <c r="E56" s="1"/>
      <c r="F56" s="1"/>
      <c r="G56" s="1"/>
      <c r="H56" s="29"/>
      <c r="I56" s="1"/>
      <c r="J56" s="1"/>
      <c r="K56" s="1"/>
      <c r="L56" s="1"/>
      <c r="M56" s="1"/>
    </row>
    <row r="57" ht="15" customHeight="1">
      <c r="A57" s="1"/>
      <c r="B57" s="1" t="s">
        <v>158</v>
      </c>
      <c r="C57" s="53">
        <v>5</v>
      </c>
      <c r="D57" s="53">
        <v>70</v>
      </c>
      <c r="E57" s="53">
        <v>78</v>
      </c>
      <c r="F57" s="53">
        <v>4</v>
      </c>
      <c r="G57" s="53">
        <v>10</v>
      </c>
      <c r="H57" s="32">
        <v>8</v>
      </c>
      <c r="I57" s="1"/>
      <c r="J57" s="4" t="s">
        <v>277</v>
      </c>
      <c r="K57" s="1"/>
      <c r="L57" s="1"/>
      <c r="M57" s="1"/>
    </row>
    <row r="58" ht="15" customHeight="1">
      <c r="A58" s="1"/>
      <c r="B58" s="35" t="s">
        <v>70</v>
      </c>
      <c r="C58" s="36">
        <f>C57/Inputs!C326-1</f>
        <v>-0.5</v>
      </c>
      <c r="D58" s="36">
        <f>D57/Inputs!D326-1</f>
        <v>10.666666666666666</v>
      </c>
      <c r="E58" s="36">
        <f>E57/Inputs!E326-1</f>
        <v>0.8571428571428572</v>
      </c>
      <c r="F58" s="36">
        <f>F57/Inputs!F326-1</f>
        <v>-3</v>
      </c>
      <c r="G58" s="36">
        <f>G57/Inputs!G326-1</f>
        <v>1</v>
      </c>
      <c r="H58" s="37">
        <f t="shared" si="8"/>
        <v>0.6000000000000001</v>
      </c>
      <c r="I58" s="1"/>
      <c r="J58" s="1"/>
      <c r="K58" s="1"/>
      <c r="L58" s="1"/>
      <c r="M58" s="1"/>
    </row>
    <row r="59" ht="15" customHeight="1">
      <c r="A59" s="1"/>
      <c r="B59" s="35" t="s">
        <v>71</v>
      </c>
      <c r="C59" s="27">
        <f>C57-Inputs!C326</f>
        <v>-5</v>
      </c>
      <c r="D59" s="27">
        <f>D57-Inputs!D326</f>
        <v>64</v>
      </c>
      <c r="E59" s="27">
        <f>E57-Inputs!E326</f>
        <v>36</v>
      </c>
      <c r="F59" s="27">
        <f>F57-Inputs!F326</f>
        <v>6</v>
      </c>
      <c r="G59" s="27">
        <f>G57-Inputs!G326</f>
        <v>5</v>
      </c>
      <c r="H59" s="38">
        <f t="shared" si="14"/>
        <v>3</v>
      </c>
      <c r="I59" s="1"/>
      <c r="J59" s="1"/>
      <c r="K59" s="1"/>
      <c r="L59" s="1"/>
      <c r="M59" s="1"/>
    </row>
    <row r="60" ht="15" customHeight="1">
      <c r="A60" s="1"/>
      <c r="B60" s="35" t="s">
        <v>73</v>
      </c>
      <c r="C60" s="27">
        <f>C57-Inputs!G326</f>
        <v>0</v>
      </c>
      <c r="D60" s="40">
        <f t="shared" si="15" ref="D60:H76">D57-C57</f>
        <v>65</v>
      </c>
      <c r="E60" s="1"/>
      <c r="F60" s="40">
        <f t="shared" si="20" ref="F60:F76">F57-D57</f>
        <v>-66</v>
      </c>
      <c r="G60" s="40">
        <f t="shared" si="15"/>
        <v>6</v>
      </c>
      <c r="H60" s="38">
        <f t="shared" si="15"/>
        <v>-2</v>
      </c>
      <c r="I60" s="1"/>
      <c r="J60" s="1"/>
      <c r="K60" s="1"/>
      <c r="L60" s="1"/>
      <c r="M60" s="1"/>
    </row>
    <row r="61" ht="15" customHeight="1">
      <c r="A61" s="1"/>
      <c r="B61" s="3" t="s">
        <v>217</v>
      </c>
      <c r="C61" s="63">
        <f t="shared" si="16" ref="C61:H61">C48-C57</f>
        <v>1967</v>
      </c>
      <c r="D61" s="63">
        <f t="shared" si="16"/>
        <v>1969</v>
      </c>
      <c r="E61" s="63">
        <f t="shared" si="16"/>
        <v>7681</v>
      </c>
      <c r="F61" s="63">
        <f t="shared" si="16"/>
        <v>2000</v>
      </c>
      <c r="G61" s="63">
        <f t="shared" si="16"/>
        <v>2086</v>
      </c>
      <c r="H61" s="34">
        <f t="shared" si="16"/>
        <v>2102.3266</v>
      </c>
      <c r="I61" s="1"/>
      <c r="J61" s="1"/>
      <c r="K61" s="1"/>
      <c r="L61" s="1"/>
      <c r="M61" s="1"/>
    </row>
    <row r="62" ht="15" customHeight="1">
      <c r="A62" s="1"/>
      <c r="B62" s="1" t="s">
        <v>278</v>
      </c>
      <c r="C62" s="17">
        <f t="shared" si="17" ref="C62:G62">C65/C12*10</f>
        <v>6.218697829716194</v>
      </c>
      <c r="D62" s="17">
        <f t="shared" si="17"/>
        <v>6.736467799288819</v>
      </c>
      <c r="E62" s="17">
        <f t="shared" si="17"/>
        <v>6.378492356352135</v>
      </c>
      <c r="F62" s="17">
        <f t="shared" si="17"/>
        <v>6.2924120913016655</v>
      </c>
      <c r="G62" s="17">
        <f t="shared" si="17"/>
        <v>6.346749226006192</v>
      </c>
      <c r="H62" s="32">
        <v>6.4</v>
      </c>
      <c r="I62" s="1"/>
      <c r="J62" s="4" t="s">
        <v>279</v>
      </c>
      <c r="K62" s="1"/>
      <c r="L62" s="1"/>
      <c r="M62" s="1"/>
    </row>
    <row r="63" ht="15" customHeight="1">
      <c r="A63" s="1"/>
      <c r="B63" s="35" t="s">
        <v>81</v>
      </c>
      <c r="C63" s="27">
        <f>(C62-Inputs!C336)*1</f>
        <v>0.11892458708580911</v>
      </c>
      <c r="D63" s="27">
        <f>(D62-Inputs!D336)*1</f>
        <v>-0.20318737312497426</v>
      </c>
      <c r="E63" s="27">
        <f>(E62-Inputs!E336)*1</f>
        <v>-0.12649404437315948</v>
      </c>
      <c r="F63" s="27">
        <f>(F62-Inputs!F336)*1</f>
        <v>-0.14525851834346604</v>
      </c>
      <c r="G63" s="27">
        <f>(G62-Inputs!G336)*1</f>
        <v>0.2450543107519545</v>
      </c>
      <c r="H63" s="38">
        <f t="shared" si="18"/>
        <v>0.18130217028380624</v>
      </c>
      <c r="I63" s="1"/>
      <c r="J63" s="1"/>
      <c r="K63" s="1"/>
      <c r="L63" s="1"/>
      <c r="M63" s="1"/>
    </row>
    <row r="64" ht="15" customHeight="1">
      <c r="A64" s="1"/>
      <c r="B64" s="35" t="s">
        <v>82</v>
      </c>
      <c r="C64" s="27">
        <f>(C62-Inputs!G336)*1</f>
        <v>0.11700291446195621</v>
      </c>
      <c r="D64" s="40">
        <f t="shared" si="7"/>
        <v>0.5177699695726252</v>
      </c>
      <c r="E64" s="1"/>
      <c r="F64" s="40">
        <f t="shared" si="19"/>
        <v>-0.4440557079871539</v>
      </c>
      <c r="G64" s="40">
        <f t="shared" si="7"/>
        <v>0.054337134704526946</v>
      </c>
      <c r="H64" s="38">
        <f t="shared" si="7"/>
        <v>0.053250773993807954</v>
      </c>
      <c r="I64" s="1"/>
      <c r="J64" s="1"/>
      <c r="K64" s="1"/>
      <c r="L64" s="1"/>
      <c r="M64" s="1"/>
    </row>
    <row r="65" ht="15" customHeight="1">
      <c r="A65" s="1"/>
      <c r="B65" s="1" t="s">
        <v>280</v>
      </c>
      <c r="C65" s="53">
        <v>298</v>
      </c>
      <c r="D65" s="53">
        <v>341</v>
      </c>
      <c r="E65" s="53">
        <v>1210</v>
      </c>
      <c r="F65" s="53">
        <v>306</v>
      </c>
      <c r="G65" s="53">
        <v>328</v>
      </c>
      <c r="H65" s="52">
        <f>H12*H62/10</f>
        <v>332.0992</v>
      </c>
      <c r="I65" s="1"/>
      <c r="J65" s="4" t="s">
        <v>69</v>
      </c>
      <c r="K65" s="1"/>
      <c r="L65" s="1"/>
      <c r="M65" s="1"/>
    </row>
    <row r="66" ht="15" customHeight="1">
      <c r="A66" s="1"/>
      <c r="B66" s="35" t="s">
        <v>70</v>
      </c>
      <c r="C66" s="36">
        <f>C65/Inputs!C327-1</f>
        <v>0.10780669144981414</v>
      </c>
      <c r="D66" s="36">
        <f>D65/Inputs!D327-1</f>
        <v>0.05900621118012417</v>
      </c>
      <c r="E66" s="36">
        <f>E65/Inputs!E327-1</f>
        <v>0.05400696864111487</v>
      </c>
      <c r="F66" s="36">
        <f>F65/Inputs!F327-1</f>
        <v>0.08127208480565362</v>
      </c>
      <c r="G66" s="36">
        <f>G65/Inputs!G327-1</f>
        <v>0.13888888888888884</v>
      </c>
      <c r="H66" s="37">
        <f t="shared" si="8"/>
        <v>0.11442684563758387</v>
      </c>
      <c r="I66" s="1"/>
      <c r="J66" s="1"/>
      <c r="K66" s="1"/>
      <c r="L66" s="1"/>
      <c r="M66" s="1"/>
    </row>
    <row r="67" ht="15" customHeight="1">
      <c r="A67" s="1"/>
      <c r="B67" s="35" t="s">
        <v>71</v>
      </c>
      <c r="C67" s="27">
        <f>C65-Inputs!C327</f>
        <v>29</v>
      </c>
      <c r="D67" s="27">
        <f>D65-Inputs!D327</f>
        <v>19</v>
      </c>
      <c r="E67" s="27">
        <f>E65-Inputs!E327</f>
        <v>62</v>
      </c>
      <c r="F67" s="27">
        <f>F65-Inputs!F327</f>
        <v>23</v>
      </c>
      <c r="G67" s="27">
        <f>G65-Inputs!G327</f>
        <v>40</v>
      </c>
      <c r="H67" s="38">
        <f t="shared" si="14"/>
        <v>34.099199999999996</v>
      </c>
      <c r="I67" s="1"/>
      <c r="J67" s="1"/>
      <c r="K67" s="1"/>
      <c r="L67" s="1"/>
      <c r="M67" s="1"/>
    </row>
    <row r="68" ht="15" customHeight="1">
      <c r="A68" s="1"/>
      <c r="B68" s="35" t="s">
        <v>73</v>
      </c>
      <c r="C68" s="27">
        <f>C65-Inputs!G327</f>
        <v>10</v>
      </c>
      <c r="D68" s="40">
        <f t="shared" si="15"/>
        <v>43</v>
      </c>
      <c r="E68" s="1"/>
      <c r="F68" s="40">
        <f t="shared" si="20"/>
        <v>-35</v>
      </c>
      <c r="G68" s="40">
        <f t="shared" si="15"/>
        <v>22</v>
      </c>
      <c r="H68" s="38">
        <f t="shared" si="15"/>
        <v>4.099199999999996</v>
      </c>
      <c r="I68" s="1"/>
      <c r="J68" s="1"/>
      <c r="K68" s="1"/>
      <c r="L68" s="1"/>
      <c r="M68" s="1"/>
    </row>
    <row r="69" ht="15" customHeight="1">
      <c r="A69" s="1"/>
      <c r="B69" s="1" t="s">
        <v>152</v>
      </c>
      <c r="C69" s="53">
        <v>105</v>
      </c>
      <c r="D69" s="53">
        <v>116</v>
      </c>
      <c r="E69" s="53">
        <v>393</v>
      </c>
      <c r="F69" s="53">
        <v>65</v>
      </c>
      <c r="G69" s="53">
        <v>100</v>
      </c>
      <c r="H69" s="32">
        <v>115</v>
      </c>
      <c r="I69" s="1"/>
      <c r="J69" s="4" t="s">
        <v>281</v>
      </c>
      <c r="K69" s="1"/>
      <c r="L69" s="1"/>
      <c r="M69" s="1"/>
    </row>
    <row r="70" ht="15" customHeight="1">
      <c r="A70" s="1"/>
      <c r="B70" s="35" t="s">
        <v>70</v>
      </c>
      <c r="C70" s="36">
        <f>C69/Inputs!C328-1</f>
        <v>-0.0625</v>
      </c>
      <c r="D70" s="36">
        <f>D69/Inputs!D328-1</f>
        <v>-0.10769230769230764</v>
      </c>
      <c r="E70" s="36">
        <f>E69/Inputs!E328-1</f>
        <v>-0.04379562043795615</v>
      </c>
      <c r="F70" s="36">
        <f>F69/Inputs!F328-1</f>
        <v>-0.14473684210526316</v>
      </c>
      <c r="G70" s="36">
        <f>G69/Inputs!G328-1</f>
        <v>0.04166666666666674</v>
      </c>
      <c r="H70" s="37">
        <f t="shared" si="8"/>
        <v>0.09523809523809534</v>
      </c>
      <c r="I70" s="1"/>
      <c r="J70" s="1"/>
      <c r="K70" s="1"/>
      <c r="L70" s="1"/>
      <c r="M70" s="1"/>
    </row>
    <row r="71" ht="15" customHeight="1">
      <c r="A71" s="1"/>
      <c r="B71" s="35" t="s">
        <v>71</v>
      </c>
      <c r="C71" s="27">
        <f>C69-Inputs!C328</f>
        <v>-7</v>
      </c>
      <c r="D71" s="27">
        <f>D69-Inputs!D328</f>
        <v>-14</v>
      </c>
      <c r="E71" s="27">
        <f>E69-Inputs!E328</f>
        <v>-18</v>
      </c>
      <c r="F71" s="27">
        <f>F69-Inputs!F328</f>
        <v>-11</v>
      </c>
      <c r="G71" s="27">
        <f>G69-Inputs!G328</f>
        <v>4</v>
      </c>
      <c r="H71" s="38">
        <f t="shared" si="14"/>
        <v>10</v>
      </c>
      <c r="I71" s="1"/>
      <c r="J71" s="1"/>
      <c r="K71" s="1"/>
      <c r="L71" s="1"/>
      <c r="M71" s="1"/>
    </row>
    <row r="72" ht="15" customHeight="1">
      <c r="A72" s="1"/>
      <c r="B72" s="35" t="s">
        <v>73</v>
      </c>
      <c r="C72" s="27">
        <f>C69-Inputs!G328</f>
        <v>9</v>
      </c>
      <c r="D72" s="40">
        <f t="shared" si="15"/>
        <v>11</v>
      </c>
      <c r="E72" s="1"/>
      <c r="F72" s="40">
        <f t="shared" si="20"/>
        <v>-51</v>
      </c>
      <c r="G72" s="40">
        <f t="shared" si="15"/>
        <v>35</v>
      </c>
      <c r="H72" s="38">
        <f t="shared" si="15"/>
        <v>15</v>
      </c>
      <c r="I72" s="1"/>
      <c r="J72" s="1"/>
      <c r="K72" s="1"/>
      <c r="L72" s="1"/>
      <c r="M72" s="1"/>
    </row>
    <row r="73" ht="15" customHeight="1">
      <c r="A73" s="1"/>
      <c r="B73" s="1" t="s">
        <v>223</v>
      </c>
      <c r="C73" s="53">
        <v>524</v>
      </c>
      <c r="D73" s="53">
        <v>628</v>
      </c>
      <c r="E73" s="53">
        <v>2110</v>
      </c>
      <c r="F73" s="53">
        <v>514</v>
      </c>
      <c r="G73" s="53">
        <v>530</v>
      </c>
      <c r="H73" s="32">
        <v>540</v>
      </c>
      <c r="I73" s="1"/>
      <c r="J73" s="4" t="s">
        <v>282</v>
      </c>
      <c r="K73" s="1"/>
      <c r="L73" s="1"/>
      <c r="M73" s="1"/>
    </row>
    <row r="74" ht="15" customHeight="1">
      <c r="A74" s="1"/>
      <c r="B74" s="35" t="s">
        <v>70</v>
      </c>
      <c r="C74" s="36">
        <f>C73/Inputs!C329-1</f>
        <v>0.1268817204301076</v>
      </c>
      <c r="D74" s="36">
        <f>D73/Inputs!D329-1</f>
        <v>0.07718696397941671</v>
      </c>
      <c r="E74" s="36">
        <f>E73/Inputs!E329-1</f>
        <v>0.42087542087542085</v>
      </c>
      <c r="F74" s="36">
        <f>F73/Inputs!F329-1</f>
        <v>0.09829059829059839</v>
      </c>
      <c r="G74" s="36">
        <f>G73/Inputs!G329-1</f>
        <v>0.08163265306122458</v>
      </c>
      <c r="H74" s="37">
        <f t="shared" si="8"/>
        <v>0.03053435114503822</v>
      </c>
      <c r="I74" s="1"/>
      <c r="J74" s="1"/>
      <c r="K74" s="1"/>
      <c r="L74" s="1"/>
      <c r="M74" s="1"/>
    </row>
    <row r="75" ht="15" customHeight="1">
      <c r="A75" s="1"/>
      <c r="B75" s="35" t="s">
        <v>71</v>
      </c>
      <c r="C75" s="27">
        <f>C73-Inputs!C329</f>
        <v>59</v>
      </c>
      <c r="D75" s="27">
        <f>D73-Inputs!D329</f>
        <v>45</v>
      </c>
      <c r="E75" s="27">
        <f>E73-Inputs!E329</f>
        <v>625</v>
      </c>
      <c r="F75" s="27">
        <f>F73-Inputs!F329</f>
        <v>46</v>
      </c>
      <c r="G75" s="27">
        <f>G73-Inputs!G329</f>
        <v>40</v>
      </c>
      <c r="H75" s="38">
        <f t="shared" si="14"/>
        <v>16</v>
      </c>
      <c r="I75" s="1"/>
      <c r="J75" s="1"/>
      <c r="K75" s="1"/>
      <c r="L75" s="1"/>
      <c r="M75" s="1"/>
    </row>
    <row r="76" ht="15" customHeight="1">
      <c r="A76" s="1"/>
      <c r="B76" s="35" t="s">
        <v>73</v>
      </c>
      <c r="C76" s="27">
        <f>C73-Inputs!G329</f>
        <v>34</v>
      </c>
      <c r="D76" s="40">
        <f t="shared" si="15"/>
        <v>104</v>
      </c>
      <c r="E76" s="1"/>
      <c r="F76" s="40">
        <f t="shared" si="20"/>
        <v>-114</v>
      </c>
      <c r="G76" s="40">
        <f t="shared" si="15"/>
        <v>16</v>
      </c>
      <c r="H76" s="38">
        <f t="shared" si="15"/>
        <v>10</v>
      </c>
      <c r="I76" s="1"/>
      <c r="J76" s="1"/>
      <c r="K76" s="1"/>
      <c r="L76" s="1"/>
      <c r="M76" s="1"/>
    </row>
    <row r="77" ht="15" customHeight="1">
      <c r="A77" s="1"/>
      <c r="B77" s="3" t="s">
        <v>225</v>
      </c>
      <c r="C77" s="63">
        <f t="shared" si="21" ref="C77:H77">C65+C69+C73</f>
        <v>927</v>
      </c>
      <c r="D77" s="63">
        <f t="shared" si="21"/>
        <v>1085</v>
      </c>
      <c r="E77" s="63">
        <f t="shared" si="21"/>
        <v>3713</v>
      </c>
      <c r="F77" s="63">
        <f t="shared" si="21"/>
        <v>885</v>
      </c>
      <c r="G77" s="63">
        <f t="shared" si="21"/>
        <v>958</v>
      </c>
      <c r="H77" s="34">
        <f t="shared" si="21"/>
        <v>987.0992</v>
      </c>
      <c r="I77" s="1"/>
      <c r="J77" s="1"/>
      <c r="K77" s="1"/>
      <c r="L77" s="1"/>
      <c r="M77" s="1"/>
    </row>
    <row r="78" ht="15" customHeight="1">
      <c r="A78" s="1"/>
      <c r="B78" s="35" t="s">
        <v>70</v>
      </c>
      <c r="C78" s="36">
        <f>C77/Inputs!C332-1</f>
        <v>0.0957446808510638</v>
      </c>
      <c r="D78" s="36">
        <f>D77/Inputs!D332-1</f>
        <v>0.048309178743961345</v>
      </c>
      <c r="E78" s="36">
        <f>E77/Inputs!E332-1</f>
        <v>0.21977660972404722</v>
      </c>
      <c r="F78" s="36">
        <f>F77/Inputs!F332-1</f>
        <v>0.07013301088270851</v>
      </c>
      <c r="G78" s="36">
        <f>G77/Inputs!G332-1</f>
        <v>0.09610983981693355</v>
      </c>
      <c r="H78" s="37">
        <f t="shared" si="8"/>
        <v>0.06483193096008621</v>
      </c>
      <c r="I78" s="1"/>
      <c r="J78" s="1"/>
      <c r="K78" s="1"/>
      <c r="L78" s="1"/>
      <c r="M78" s="1"/>
    </row>
    <row r="79" ht="15" customHeight="1">
      <c r="A79" s="1"/>
      <c r="B79" s="1"/>
      <c r="C79" s="1"/>
      <c r="D79" s="1"/>
      <c r="E79" s="1"/>
      <c r="F79" s="1"/>
      <c r="G79" s="1"/>
      <c r="H79" s="29"/>
      <c r="I79" s="1"/>
      <c r="J79" s="1"/>
      <c r="K79" s="1"/>
      <c r="L79" s="1"/>
      <c r="M79" s="1"/>
    </row>
    <row r="80" ht="15" customHeight="1">
      <c r="A80" s="1"/>
      <c r="B80" s="30" t="s">
        <v>226</v>
      </c>
      <c r="C80" s="1"/>
      <c r="D80" s="1"/>
      <c r="E80" s="1"/>
      <c r="F80" s="1"/>
      <c r="G80" s="1"/>
      <c r="H80" s="29"/>
      <c r="I80" s="1"/>
      <c r="J80" s="1"/>
      <c r="K80" s="1"/>
      <c r="L80" s="1"/>
      <c r="M80" s="1"/>
    </row>
    <row r="81" ht="15" customHeight="1">
      <c r="A81" s="1"/>
      <c r="B81" s="3" t="s">
        <v>227</v>
      </c>
      <c r="C81" s="63">
        <f t="shared" si="22" ref="C81:H81">C61-C77</f>
        <v>1040</v>
      </c>
      <c r="D81" s="63">
        <f t="shared" si="22"/>
        <v>884</v>
      </c>
      <c r="E81" s="63">
        <f t="shared" si="22"/>
        <v>3968</v>
      </c>
      <c r="F81" s="63">
        <f t="shared" si="22"/>
        <v>1115</v>
      </c>
      <c r="G81" s="63">
        <f t="shared" si="22"/>
        <v>1128</v>
      </c>
      <c r="H81" s="34">
        <f t="shared" si="22"/>
        <v>1115.2273999999998</v>
      </c>
      <c r="I81" s="1"/>
      <c r="J81" s="1"/>
      <c r="K81" s="1"/>
      <c r="L81" s="1"/>
      <c r="M81" s="1"/>
    </row>
    <row r="82" ht="15" customHeight="1">
      <c r="A82" s="1"/>
      <c r="B82" s="35" t="s">
        <v>70</v>
      </c>
      <c r="C82" s="36">
        <f>C81/Inputs!C333-1</f>
        <v>0.04944500504540872</v>
      </c>
      <c r="D82" s="36">
        <f>D81/Inputs!D333-1</f>
        <v>0.036342321219226204</v>
      </c>
      <c r="E82" s="36">
        <f>E81/Inputs!E333-1</f>
        <v>-0.09777171441564347</v>
      </c>
      <c r="F82" s="36">
        <f>F81/Inputs!F333-1</f>
        <v>0.1262626262626263</v>
      </c>
      <c r="G82" s="36">
        <f>G81/Inputs!G333-1</f>
        <v>0.07020872865275152</v>
      </c>
      <c r="H82" s="37">
        <f t="shared" si="8"/>
        <v>0.0723340384615383</v>
      </c>
      <c r="I82" s="1"/>
      <c r="J82" s="1"/>
      <c r="K82" s="1"/>
      <c r="L82" s="1"/>
      <c r="M82" s="1"/>
    </row>
    <row r="83" ht="15" customHeight="1">
      <c r="A83" s="1"/>
      <c r="B83" s="4" t="s">
        <v>228</v>
      </c>
      <c r="C83" s="39">
        <f t="shared" si="23" ref="C83:H83">C81/C48</f>
        <v>0.5273833671399595</v>
      </c>
      <c r="D83" s="39">
        <f t="shared" si="23"/>
        <v>0.4335458558116724</v>
      </c>
      <c r="E83" s="39">
        <f t="shared" si="23"/>
        <v>0.5114061090346694</v>
      </c>
      <c r="F83" s="39">
        <f t="shared" si="23"/>
        <v>0.5563872255489022</v>
      </c>
      <c r="G83" s="39">
        <f t="shared" si="23"/>
        <v>0.5381679389312977</v>
      </c>
      <c r="H83" s="37">
        <f t="shared" si="23"/>
        <v>0.5284619925655109</v>
      </c>
      <c r="I83" s="1"/>
      <c r="J83" s="1"/>
      <c r="K83" s="1"/>
      <c r="L83" s="1"/>
      <c r="M83" s="1"/>
    </row>
    <row r="84" ht="15" customHeight="1">
      <c r="A84" s="1"/>
      <c r="B84" s="35" t="s">
        <v>81</v>
      </c>
      <c r="C84" s="47">
        <f>(C83-Inputs!C334)*10000</f>
        <v>-91.62382724685835</v>
      </c>
      <c r="D84" s="47">
        <f>(D83-Inputs!D334)*10000</f>
        <v>-168.23732361506083</v>
      </c>
      <c r="E84" s="47">
        <f>(E83-Inputs!E334)*10000</f>
        <v>-762.4755210910395</v>
      </c>
      <c r="F84" s="47">
        <f>(F83-Inputs!F334)*10000</f>
        <v>109.32680094356772</v>
      </c>
      <c r="G84" s="47">
        <f>(G83-Inputs!G334)*10000</f>
        <v>-70.98486314434327</v>
      </c>
      <c r="H84" s="48">
        <f>(H83-C83)*10000</f>
        <v>10.786254255513716</v>
      </c>
      <c r="I84" s="1"/>
      <c r="J84" s="1"/>
      <c r="K84" s="1"/>
      <c r="L84" s="1"/>
      <c r="M84" s="1"/>
    </row>
    <row r="85" ht="15" customHeight="1">
      <c r="A85" s="1"/>
      <c r="B85" s="35" t="s">
        <v>82</v>
      </c>
      <c r="C85" s="47">
        <f>(C83-Inputs!G334)*10000</f>
        <v>-178.83058105772508</v>
      </c>
      <c r="D85" s="49">
        <f t="shared" si="24" ref="D85:H85">(D83-C83)*10000</f>
        <v>-938.3751132828711</v>
      </c>
      <c r="E85" s="1"/>
      <c r="F85" s="49">
        <f>(F83-D83)*10000</f>
        <v>1228.4136973722982</v>
      </c>
      <c r="G85" s="49">
        <f t="shared" si="24"/>
        <v>-182.19286617604524</v>
      </c>
      <c r="H85" s="48">
        <f t="shared" si="24"/>
        <v>-97.05946365786811</v>
      </c>
      <c r="I85" s="1"/>
      <c r="J85" s="1"/>
      <c r="K85" s="1"/>
      <c r="L85" s="1"/>
      <c r="M85" s="1"/>
    </row>
    <row r="86" ht="15" customHeight="1">
      <c r="A86" s="1"/>
      <c r="B86" s="1" t="s">
        <v>229</v>
      </c>
      <c r="C86" s="53">
        <v>1040</v>
      </c>
      <c r="D86" s="53">
        <v>884</v>
      </c>
      <c r="E86" s="53">
        <v>3968</v>
      </c>
      <c r="F86" s="53">
        <v>1115</v>
      </c>
      <c r="G86" s="53">
        <v>1128</v>
      </c>
      <c r="H86" s="67" t="s">
        <v>35</v>
      </c>
      <c r="I86" s="1"/>
      <c r="J86" s="4" t="s">
        <v>69</v>
      </c>
      <c r="K86" s="1"/>
      <c r="L86" s="1"/>
      <c r="M86" s="1"/>
    </row>
    <row r="87" ht="15" customHeight="1">
      <c r="A87" s="1"/>
      <c r="B87" s="4" t="s">
        <v>230</v>
      </c>
      <c r="C87" s="40">
        <f t="shared" si="25" ref="C87:G87">C81-C86</f>
        <v>0</v>
      </c>
      <c r="D87" s="40">
        <f t="shared" si="25"/>
        <v>0</v>
      </c>
      <c r="E87" s="40">
        <f t="shared" si="25"/>
        <v>0</v>
      </c>
      <c r="F87" s="40">
        <f t="shared" si="25"/>
        <v>0</v>
      </c>
      <c r="G87" s="40">
        <f t="shared" si="25"/>
        <v>0</v>
      </c>
      <c r="H87" s="29"/>
      <c r="I87" s="1"/>
      <c r="J87" s="1"/>
      <c r="K87" s="1"/>
      <c r="L87" s="1"/>
      <c r="M87" s="1"/>
    </row>
    <row r="88" ht="1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ht="1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9D97FDE-7BBA-3E11-C1DF-589DCC7FD82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283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284</v>
      </c>
      <c r="C9" s="1"/>
      <c r="D9" s="1"/>
      <c r="E9" s="1"/>
      <c r="F9" s="1"/>
      <c r="G9" s="1"/>
      <c r="H9" s="29"/>
      <c r="I9" s="1"/>
      <c r="J9" s="1"/>
      <c r="K9" s="1"/>
      <c r="L9" s="1"/>
      <c r="M9" s="1"/>
    </row>
    <row r="10" ht="15" customHeight="1">
      <c r="A10" s="1"/>
      <c r="B10" s="1" t="s">
        <v>100</v>
      </c>
      <c r="C10" s="53">
        <v>9413</v>
      </c>
      <c r="D10" s="53">
        <v>9884</v>
      </c>
      <c r="E10" s="53">
        <v>37401</v>
      </c>
      <c r="F10" s="53">
        <v>9512</v>
      </c>
      <c r="G10" s="53">
        <v>10163</v>
      </c>
      <c r="H10" s="15">
        <f>'Revenue summary'!H52</f>
        <v>10138.588899999999</v>
      </c>
      <c r="I10" s="1"/>
      <c r="J10" s="4" t="s">
        <v>69</v>
      </c>
      <c r="K10" s="1"/>
      <c r="L10" s="1"/>
      <c r="M10" s="1"/>
    </row>
    <row r="11" ht="15" customHeight="1">
      <c r="A11" s="1"/>
      <c r="B11" s="1" t="s">
        <v>125</v>
      </c>
      <c r="C11" s="53">
        <v>2551</v>
      </c>
      <c r="D11" s="53">
        <v>2629</v>
      </c>
      <c r="E11" s="53">
        <v>9993</v>
      </c>
      <c r="F11" s="53">
        <v>2752</v>
      </c>
      <c r="G11" s="53">
        <v>2862</v>
      </c>
      <c r="H11" s="15">
        <f>'Revenue summary'!H108</f>
        <v>2990.2999999999997</v>
      </c>
      <c r="I11" s="1"/>
      <c r="J11" s="4" t="s">
        <v>69</v>
      </c>
      <c r="K11" s="1"/>
      <c r="L11" s="1"/>
      <c r="M11" s="1"/>
    </row>
    <row r="12" ht="15" customHeight="1">
      <c r="A12" s="1"/>
      <c r="B12" s="1" t="s">
        <v>127</v>
      </c>
      <c r="C12" s="53">
        <v>1976</v>
      </c>
      <c r="D12" s="53">
        <v>1945</v>
      </c>
      <c r="E12" s="53">
        <v>7471</v>
      </c>
      <c r="F12" s="53">
        <v>1951</v>
      </c>
      <c r="G12" s="53">
        <v>1963</v>
      </c>
      <c r="H12" s="15">
        <f>'Revenue summary'!H167-H10-H11</f>
        <v>2075.832200000002</v>
      </c>
      <c r="I12" s="1"/>
      <c r="J12" s="4" t="s">
        <v>285</v>
      </c>
      <c r="K12" s="1"/>
      <c r="L12" s="1"/>
      <c r="M12" s="1"/>
    </row>
    <row r="13" ht="15" customHeight="1">
      <c r="A13" s="1"/>
      <c r="B13" s="3" t="s">
        <v>286</v>
      </c>
      <c r="C13" s="63">
        <f t="shared" si="1" ref="C13:H23">SUM(C10:C12)</f>
        <v>13940</v>
      </c>
      <c r="D13" s="63">
        <f t="shared" si="1"/>
        <v>14458</v>
      </c>
      <c r="E13" s="63">
        <f t="shared" si="1"/>
        <v>54865</v>
      </c>
      <c r="F13" s="63">
        <f t="shared" si="1"/>
        <v>14215</v>
      </c>
      <c r="G13" s="63">
        <f t="shared" si="1"/>
        <v>14988</v>
      </c>
      <c r="H13" s="34">
        <f t="shared" si="1"/>
        <v>15204.7211</v>
      </c>
      <c r="I13" s="1"/>
      <c r="J13" s="1"/>
      <c r="K13" s="1"/>
      <c r="L13" s="1"/>
      <c r="M13" s="1"/>
    </row>
    <row r="14" ht="15" customHeight="1">
      <c r="A14" s="1"/>
      <c r="B14" s="35" t="s">
        <v>70</v>
      </c>
      <c r="C14" s="36">
        <f>C13/Inputs!C209-1</f>
        <v>0.10372129849564526</v>
      </c>
      <c r="D14" s="36">
        <f>D13/Inputs!D209-1</f>
        <v>0.10022068335743084</v>
      </c>
      <c r="E14" s="36">
        <f>E13/Inputs!E209-1</f>
        <v>0.08846169106852364</v>
      </c>
      <c r="F14" s="36">
        <f>F13/Inputs!F209-1</f>
        <v>0.11072042506641666</v>
      </c>
      <c r="G14" s="36">
        <f>G13/Inputs!G209-1</f>
        <v>0.09649572024288533</v>
      </c>
      <c r="H14" s="37">
        <f t="shared" si="7" ref="H14:H174">H13/C13-1</f>
        <v>0.09072604734576761</v>
      </c>
      <c r="I14" s="1"/>
      <c r="J14" s="1"/>
      <c r="K14" s="1"/>
      <c r="L14" s="1"/>
      <c r="M14" s="1"/>
    </row>
    <row r="15" ht="15" customHeight="1">
      <c r="A15" s="1"/>
      <c r="B15" s="35" t="s">
        <v>72</v>
      </c>
      <c r="C15" s="36">
        <f>C13/Inputs!G209-1</f>
        <v>0.01982588338576341</v>
      </c>
      <c r="D15" s="39">
        <f t="shared" si="2" ref="D15:H72">D13/C13-1</f>
        <v>0.037159253945480586</v>
      </c>
      <c r="E15" s="1"/>
      <c r="F15" s="39">
        <f t="shared" si="8" ref="F15:F72">F13/D13-1</f>
        <v>-0.016807303914787686</v>
      </c>
      <c r="G15" s="39">
        <f t="shared" si="2"/>
        <v>0.054379176925782646</v>
      </c>
      <c r="H15" s="37">
        <f t="shared" si="2"/>
        <v>0.014459641046170368</v>
      </c>
      <c r="I15" s="1"/>
      <c r="J15" s="1"/>
      <c r="K15" s="1"/>
      <c r="L15" s="1"/>
      <c r="M15" s="1"/>
    </row>
    <row r="16" ht="15" customHeight="1">
      <c r="A16" s="1"/>
      <c r="B16" s="41" t="s">
        <v>74</v>
      </c>
      <c r="C16" s="39">
        <f t="shared" si="3" ref="C16:H30">C14</f>
        <v>0.10372129849564526</v>
      </c>
      <c r="D16" s="39">
        <f t="shared" si="3"/>
        <v>0.10022068335743084</v>
      </c>
      <c r="E16" s="39">
        <f t="shared" si="3"/>
        <v>0.08846169106852364</v>
      </c>
      <c r="F16" s="39">
        <f t="shared" si="3"/>
        <v>0.11072042506641666</v>
      </c>
      <c r="G16" s="39">
        <f t="shared" si="3"/>
        <v>0.09649572024288533</v>
      </c>
      <c r="H16" s="37">
        <f t="shared" si="3"/>
        <v>0.09072604734576761</v>
      </c>
      <c r="I16" s="1"/>
      <c r="J16" s="1"/>
      <c r="K16" s="1"/>
      <c r="L16" s="1"/>
      <c r="M16" s="1"/>
    </row>
    <row r="17" ht="15" customHeight="1">
      <c r="A17" s="1"/>
      <c r="B17" s="41" t="s">
        <v>75</v>
      </c>
      <c r="C17" s="43" t="s">
        <v>35</v>
      </c>
      <c r="D17" s="43" t="s">
        <v>35</v>
      </c>
      <c r="E17" s="43" t="s">
        <v>35</v>
      </c>
      <c r="F17" s="43" t="s">
        <v>35</v>
      </c>
      <c r="G17" s="43" t="s">
        <v>35</v>
      </c>
      <c r="H17" s="42">
        <f>'Revenue summary'!H20</f>
        <v>-0.0038713752857658518</v>
      </c>
      <c r="I17" s="1"/>
      <c r="J17" s="1"/>
      <c r="K17" s="1"/>
      <c r="L17" s="1"/>
      <c r="M17" s="1"/>
    </row>
    <row r="18" ht="15" customHeight="1">
      <c r="A18" s="1"/>
      <c r="B18" s="41" t="s">
        <v>77</v>
      </c>
      <c r="C18" s="43" t="s">
        <v>35</v>
      </c>
      <c r="D18" s="43" t="s">
        <v>35</v>
      </c>
      <c r="E18" s="43" t="s">
        <v>35</v>
      </c>
      <c r="F18" s="43" t="s">
        <v>35</v>
      </c>
      <c r="G18" s="43" t="s">
        <v>35</v>
      </c>
      <c r="H18" s="44" t="s">
        <v>35</v>
      </c>
      <c r="I18" s="1"/>
      <c r="J18" s="1"/>
      <c r="K18" s="1"/>
      <c r="L18" s="1"/>
      <c r="M18" s="1"/>
    </row>
    <row r="19" ht="15" customHeight="1">
      <c r="A19" s="1"/>
      <c r="B19" s="41" t="s">
        <v>78</v>
      </c>
      <c r="C19" s="45" t="str">
        <f t="shared" si="4" ref="C19:H41">IF(AND(ISNUMBER(C16),ISNUMBER(C17),ISNUMBER(C18)),(1+C16)/((1+C18)*(1+C17))-1,"unavailable")</f>
        <v>unavailable</v>
      </c>
      <c r="D19" s="45" t="str">
        <f t="shared" si="4"/>
        <v>unavailable</v>
      </c>
      <c r="E19" s="45" t="str">
        <f t="shared" si="4"/>
        <v>unavailable</v>
      </c>
      <c r="F19" s="45" t="str">
        <f t="shared" si="4"/>
        <v>unavailable</v>
      </c>
      <c r="G19" s="45" t="str">
        <f t="shared" si="4"/>
        <v>unavailable</v>
      </c>
      <c r="H19" s="46" t="str">
        <f t="shared" si="4"/>
        <v>unavailable</v>
      </c>
      <c r="I19" s="1"/>
      <c r="J19" s="1"/>
      <c r="K19" s="1"/>
      <c r="L19" s="1"/>
      <c r="M19" s="1"/>
    </row>
    <row r="20" ht="15" customHeight="1">
      <c r="A20" s="1"/>
      <c r="B20" s="1" t="s">
        <v>287</v>
      </c>
      <c r="C20" s="53">
        <v>5970</v>
      </c>
      <c r="D20" s="53">
        <v>6064</v>
      </c>
      <c r="E20" s="53">
        <v>23234</v>
      </c>
      <c r="F20" s="53">
        <v>6136</v>
      </c>
      <c r="G20" s="53">
        <v>6119</v>
      </c>
      <c r="H20" s="15">
        <f>'Revenue summary'!H168+H26-H21-H22</f>
        <v>6355.426874520548</v>
      </c>
      <c r="I20" s="1"/>
      <c r="J20" s="4" t="s">
        <v>288</v>
      </c>
      <c r="K20" s="1"/>
      <c r="L20" s="1"/>
      <c r="M20" s="1"/>
    </row>
    <row r="21" ht="15" customHeight="1">
      <c r="A21" s="1"/>
      <c r="B21" s="1" t="s">
        <v>289</v>
      </c>
      <c r="C21" s="53">
        <v>15</v>
      </c>
      <c r="D21" s="53">
        <v>17</v>
      </c>
      <c r="E21" s="53">
        <v>63</v>
      </c>
      <c r="F21" s="53">
        <v>17</v>
      </c>
      <c r="G21" s="53">
        <v>36</v>
      </c>
      <c r="H21" s="15">
        <f>AVERAGE('Balance Sheet'!G28,'Balance Sheet'!H28)*H52*H$7/365</f>
        <v>44.144624657534244</v>
      </c>
      <c r="I21" s="1"/>
      <c r="J21" s="4" t="s">
        <v>69</v>
      </c>
      <c r="K21" s="1"/>
      <c r="L21" s="1"/>
      <c r="M21" s="1"/>
    </row>
    <row r="22" ht="15" customHeight="1">
      <c r="A22" s="1"/>
      <c r="B22" s="1" t="s">
        <v>290</v>
      </c>
      <c r="C22" s="53">
        <v>632</v>
      </c>
      <c r="D22" s="53">
        <v>501</v>
      </c>
      <c r="E22" s="53">
        <v>2301</v>
      </c>
      <c r="F22" s="53">
        <v>512</v>
      </c>
      <c r="G22" s="53">
        <v>452</v>
      </c>
      <c r="H22" s="15">
        <f>'Balance Sheet'!G13*H55*H$7/365</f>
        <v>416.2355999999999</v>
      </c>
      <c r="I22" s="1"/>
      <c r="J22" s="4" t="s">
        <v>291</v>
      </c>
      <c r="K22" s="1"/>
      <c r="L22" s="1"/>
      <c r="M22" s="1"/>
    </row>
    <row r="23" ht="15" customHeight="1">
      <c r="A23" s="1"/>
      <c r="B23" s="3" t="s">
        <v>292</v>
      </c>
      <c r="C23" s="63">
        <f t="shared" si="1"/>
        <v>6617</v>
      </c>
      <c r="D23" s="63">
        <f t="shared" si="1"/>
        <v>6582</v>
      </c>
      <c r="E23" s="63">
        <f t="shared" si="1"/>
        <v>25598</v>
      </c>
      <c r="F23" s="63">
        <f t="shared" si="1"/>
        <v>6665</v>
      </c>
      <c r="G23" s="63">
        <f t="shared" si="1"/>
        <v>6607</v>
      </c>
      <c r="H23" s="34">
        <f t="shared" si="1"/>
        <v>6815.807099178082</v>
      </c>
      <c r="I23" s="1"/>
      <c r="J23" s="1"/>
      <c r="K23" s="1"/>
      <c r="L23" s="1"/>
      <c r="M23" s="1"/>
    </row>
    <row r="24" ht="15" customHeight="1">
      <c r="A24" s="1"/>
      <c r="B24" s="1" t="s">
        <v>293</v>
      </c>
      <c r="C24" s="53">
        <v>1371</v>
      </c>
      <c r="D24" s="53">
        <v>1343</v>
      </c>
      <c r="E24" s="53">
        <v>5425</v>
      </c>
      <c r="F24" s="53">
        <v>1287</v>
      </c>
      <c r="G24" s="53">
        <v>1276</v>
      </c>
      <c r="H24" s="15">
        <f>AVERAGE('Balance Sheet'!G34,'Balance Sheet'!H34)*H58*H$7/365</f>
        <v>1280.105795068493</v>
      </c>
      <c r="I24" s="1"/>
      <c r="J24" s="4" t="s">
        <v>294</v>
      </c>
      <c r="K24" s="1"/>
      <c r="L24" s="1"/>
      <c r="M24" s="1"/>
    </row>
    <row r="25" ht="15" customHeight="1">
      <c r="A25" s="1"/>
      <c r="B25" s="1" t="s">
        <v>295</v>
      </c>
      <c r="C25" s="53">
        <v>760</v>
      </c>
      <c r="D25" s="53">
        <v>717</v>
      </c>
      <c r="E25" s="53">
        <v>2809</v>
      </c>
      <c r="F25" s="53">
        <v>686</v>
      </c>
      <c r="G25" s="53">
        <v>682</v>
      </c>
      <c r="H25" s="15">
        <f>AVERAGE('Balance Sheet'!G40+'Balance Sheet'!G39,'Balance Sheet'!H40+'Balance Sheet'!H39)*H61*H$7/365</f>
        <v>684.6448438356164</v>
      </c>
      <c r="I25" s="1"/>
      <c r="J25" s="4" t="s">
        <v>69</v>
      </c>
      <c r="K25" s="1"/>
      <c r="L25" s="1"/>
      <c r="M25" s="1"/>
    </row>
    <row r="26" ht="15" customHeight="1">
      <c r="A26" s="1"/>
      <c r="B26" s="3" t="s">
        <v>296</v>
      </c>
      <c r="C26" s="63">
        <f t="shared" si="5" ref="C26:H26">C24+C25</f>
        <v>2131</v>
      </c>
      <c r="D26" s="63">
        <f t="shared" si="5"/>
        <v>2060</v>
      </c>
      <c r="E26" s="63">
        <f t="shared" si="5"/>
        <v>8234</v>
      </c>
      <c r="F26" s="63">
        <f t="shared" si="5"/>
        <v>1973</v>
      </c>
      <c r="G26" s="63">
        <f t="shared" si="5"/>
        <v>1958</v>
      </c>
      <c r="H26" s="34">
        <f t="shared" si="5"/>
        <v>1964.7506389041096</v>
      </c>
      <c r="I26" s="1"/>
      <c r="J26" s="1"/>
      <c r="K26" s="1"/>
      <c r="L26" s="1"/>
      <c r="M26" s="1"/>
    </row>
    <row r="27" ht="15" customHeight="1">
      <c r="A27" s="1"/>
      <c r="B27" s="3" t="s">
        <v>146</v>
      </c>
      <c r="C27" s="63">
        <f t="shared" si="6" ref="C27:H27">C23-C26</f>
        <v>4486</v>
      </c>
      <c r="D27" s="63">
        <f t="shared" si="6"/>
        <v>4522</v>
      </c>
      <c r="E27" s="63">
        <f t="shared" si="6"/>
        <v>17364</v>
      </c>
      <c r="F27" s="63">
        <f t="shared" si="6"/>
        <v>4692</v>
      </c>
      <c r="G27" s="63">
        <f t="shared" si="6"/>
        <v>4649</v>
      </c>
      <c r="H27" s="34">
        <f t="shared" si="6"/>
        <v>4851.056460273972</v>
      </c>
      <c r="I27" s="1"/>
      <c r="J27" s="1"/>
      <c r="K27" s="1"/>
      <c r="L27" s="1"/>
      <c r="M27" s="1"/>
    </row>
    <row r="28" ht="15" customHeight="1">
      <c r="A28" s="1"/>
      <c r="B28" s="35" t="s">
        <v>70</v>
      </c>
      <c r="C28" s="36">
        <f>C27/Inputs!C215-1</f>
        <v>0.11982026959560654</v>
      </c>
      <c r="D28" s="36">
        <f>D27/Inputs!D215-1</f>
        <v>0.11986131748390294</v>
      </c>
      <c r="E28" s="36">
        <f>E27/Inputs!E215-1</f>
        <v>0.11715884964292611</v>
      </c>
      <c r="F28" s="36">
        <f>F27/Inputs!F215-1</f>
        <v>0.12544974814104104</v>
      </c>
      <c r="G28" s="36">
        <f>G27/Inputs!G215-1</f>
        <v>0.11034153331741114</v>
      </c>
      <c r="H28" s="37">
        <f t="shared" si="7"/>
        <v>0.08137683019928055</v>
      </c>
      <c r="I28" s="1"/>
      <c r="J28" s="1"/>
      <c r="K28" s="1"/>
      <c r="L28" s="1"/>
      <c r="M28" s="1"/>
    </row>
    <row r="29" ht="15" customHeight="1">
      <c r="A29" s="1"/>
      <c r="B29" s="35" t="s">
        <v>72</v>
      </c>
      <c r="C29" s="36">
        <f>C27/Inputs!G215-1</f>
        <v>0.0714115118223071</v>
      </c>
      <c r="D29" s="39">
        <f t="shared" si="2"/>
        <v>0.00802496656263929</v>
      </c>
      <c r="E29" s="1"/>
      <c r="F29" s="39">
        <f t="shared" si="8"/>
        <v>0.03759398496240607</v>
      </c>
      <c r="G29" s="39">
        <f t="shared" si="2"/>
        <v>-0.009164535379369121</v>
      </c>
      <c r="H29" s="37">
        <f t="shared" si="2"/>
        <v>0.043462348951166296</v>
      </c>
      <c r="I29" s="1"/>
      <c r="J29" s="1"/>
      <c r="K29" s="1"/>
      <c r="L29" s="1"/>
      <c r="M29" s="1"/>
    </row>
    <row r="30" ht="15" customHeight="1">
      <c r="A30" s="1"/>
      <c r="B30" s="41" t="s">
        <v>74</v>
      </c>
      <c r="C30" s="39">
        <f t="shared" si="3"/>
        <v>0.11982026959560654</v>
      </c>
      <c r="D30" s="39">
        <f t="shared" si="3"/>
        <v>0.11986131748390294</v>
      </c>
      <c r="E30" s="39">
        <f t="shared" si="3"/>
        <v>0.11715884964292611</v>
      </c>
      <c r="F30" s="39">
        <f t="shared" si="3"/>
        <v>0.12544974814104104</v>
      </c>
      <c r="G30" s="39">
        <f t="shared" si="3"/>
        <v>0.11034153331741114</v>
      </c>
      <c r="H30" s="37">
        <f t="shared" si="3"/>
        <v>0.08137683019928055</v>
      </c>
      <c r="I30" s="1"/>
      <c r="J30" s="1"/>
      <c r="K30" s="1"/>
      <c r="L30" s="1"/>
      <c r="M30" s="1"/>
    </row>
    <row r="31" ht="15" customHeight="1">
      <c r="A31" s="1"/>
      <c r="B31" s="41" t="s">
        <v>75</v>
      </c>
      <c r="C31" s="43" t="s">
        <v>35</v>
      </c>
      <c r="D31" s="43" t="s">
        <v>35</v>
      </c>
      <c r="E31" s="43" t="s">
        <v>35</v>
      </c>
      <c r="F31" s="43" t="s">
        <v>35</v>
      </c>
      <c r="G31" s="43" t="s">
        <v>35</v>
      </c>
      <c r="H31" s="44" t="s">
        <v>35</v>
      </c>
      <c r="I31" s="1"/>
      <c r="J31" s="1"/>
      <c r="K31" s="1"/>
      <c r="L31" s="1"/>
      <c r="M31" s="1"/>
    </row>
    <row r="32" ht="15" customHeight="1">
      <c r="A32" s="1"/>
      <c r="B32" s="41" t="s">
        <v>77</v>
      </c>
      <c r="C32" s="43" t="s">
        <v>35</v>
      </c>
      <c r="D32" s="43" t="s">
        <v>35</v>
      </c>
      <c r="E32" s="43" t="s">
        <v>35</v>
      </c>
      <c r="F32" s="43" t="s">
        <v>35</v>
      </c>
      <c r="G32" s="43" t="s">
        <v>35</v>
      </c>
      <c r="H32" s="44" t="s">
        <v>35</v>
      </c>
      <c r="I32" s="1"/>
      <c r="J32" s="1"/>
      <c r="K32" s="1"/>
      <c r="L32" s="1"/>
      <c r="M32" s="1"/>
    </row>
    <row r="33" ht="15" customHeight="1">
      <c r="A33" s="1"/>
      <c r="B33" s="41" t="s">
        <v>78</v>
      </c>
      <c r="C33" s="45" t="str">
        <f t="shared" si="4"/>
        <v>unavailable</v>
      </c>
      <c r="D33" s="45" t="str">
        <f t="shared" si="4"/>
        <v>unavailable</v>
      </c>
      <c r="E33" s="45" t="str">
        <f t="shared" si="4"/>
        <v>unavailable</v>
      </c>
      <c r="F33" s="45" t="str">
        <f t="shared" si="4"/>
        <v>unavailable</v>
      </c>
      <c r="G33" s="45" t="str">
        <f t="shared" si="4"/>
        <v>unavailable</v>
      </c>
      <c r="H33" s="46" t="str">
        <f t="shared" si="4"/>
        <v>unavailable</v>
      </c>
      <c r="I33" s="1"/>
      <c r="J33" s="1"/>
      <c r="K33" s="1"/>
      <c r="L33" s="1"/>
      <c r="M33" s="1"/>
    </row>
    <row r="34" ht="15" customHeight="1">
      <c r="A34" s="1"/>
      <c r="B34" s="3" t="s">
        <v>136</v>
      </c>
      <c r="C34" s="63">
        <f t="shared" si="9" ref="C34:H34">C13+C27</f>
        <v>18426</v>
      </c>
      <c r="D34" s="63">
        <f t="shared" si="9"/>
        <v>18980</v>
      </c>
      <c r="E34" s="63">
        <f t="shared" si="9"/>
        <v>72229</v>
      </c>
      <c r="F34" s="63">
        <f t="shared" si="9"/>
        <v>18907</v>
      </c>
      <c r="G34" s="63">
        <f t="shared" si="9"/>
        <v>19637</v>
      </c>
      <c r="H34" s="34">
        <f t="shared" si="9"/>
        <v>20055.77756027397</v>
      </c>
      <c r="I34" s="1"/>
      <c r="J34" s="1"/>
      <c r="K34" s="1"/>
      <c r="L34" s="1"/>
      <c r="M34" s="1"/>
    </row>
    <row r="35" ht="15" customHeight="1">
      <c r="A35" s="1"/>
      <c r="B35" s="35" t="s">
        <v>70</v>
      </c>
      <c r="C35" s="36">
        <f>C34/Inputs!C216-1</f>
        <v>0.10759798028372214</v>
      </c>
      <c r="D35" s="36">
        <f>D34/Inputs!D216-1</f>
        <v>0.10483730135630709</v>
      </c>
      <c r="E35" s="36">
        <f>E34/Inputs!E216-1</f>
        <v>0.09522509818192848</v>
      </c>
      <c r="F35" s="36">
        <f>F34/Inputs!F216-1</f>
        <v>0.11433960040077795</v>
      </c>
      <c r="G35" s="36">
        <f>G34/Inputs!G216-1</f>
        <v>0.09974238351254483</v>
      </c>
      <c r="H35" s="37">
        <f t="shared" si="7"/>
        <v>0.08844988387463215</v>
      </c>
      <c r="I35" s="1"/>
      <c r="J35" s="1"/>
      <c r="K35" s="1"/>
      <c r="L35" s="1"/>
      <c r="M35" s="1"/>
    </row>
    <row r="36" ht="15" customHeight="1">
      <c r="A36" s="1"/>
      <c r="B36" s="35" t="s">
        <v>72</v>
      </c>
      <c r="C36" s="36">
        <f>C34/Inputs!G216-1</f>
        <v>0.03192204301075274</v>
      </c>
      <c r="D36" s="39">
        <f t="shared" si="2"/>
        <v>0.03006621078910232</v>
      </c>
      <c r="E36" s="1"/>
      <c r="F36" s="39">
        <f t="shared" si="8"/>
        <v>-0.0038461538461538325</v>
      </c>
      <c r="G36" s="39">
        <f t="shared" si="2"/>
        <v>0.03861003861003853</v>
      </c>
      <c r="H36" s="37">
        <f t="shared" si="2"/>
        <v>0.0213259438954001</v>
      </c>
      <c r="I36" s="1"/>
      <c r="J36" s="1"/>
      <c r="K36" s="1"/>
      <c r="L36" s="1"/>
      <c r="M36" s="1"/>
    </row>
    <row r="37" ht="15" customHeight="1">
      <c r="A37" s="1"/>
      <c r="B37" s="35" t="s">
        <v>297</v>
      </c>
      <c r="C37" s="39">
        <f t="shared" si="10" ref="C37:H37">(1+C35)/(1+C39)-1</f>
        <v>0.10507376754228148</v>
      </c>
      <c r="D37" s="39">
        <f t="shared" si="10"/>
        <v>0.09401118220070326</v>
      </c>
      <c r="E37" s="39">
        <f t="shared" si="10"/>
        <v>0.09300425222825859</v>
      </c>
      <c r="F37" s="39">
        <f t="shared" si="10"/>
        <v>0.09860546194073216</v>
      </c>
      <c r="G37" s="39">
        <f t="shared" si="10"/>
        <v>0.09826621923937351</v>
      </c>
      <c r="H37" s="37">
        <f t="shared" si="10"/>
        <v>0.09268005844815752</v>
      </c>
      <c r="I37" s="1"/>
      <c r="J37" s="1"/>
      <c r="K37" s="1"/>
      <c r="L37" s="1"/>
      <c r="M37" s="1"/>
    </row>
    <row r="38" ht="15" customHeight="1">
      <c r="A38" s="1"/>
      <c r="B38" s="41" t="s">
        <v>74</v>
      </c>
      <c r="C38" s="39">
        <f t="shared" si="11" ref="C38:H38">C35</f>
        <v>0.10759798028372214</v>
      </c>
      <c r="D38" s="39">
        <f t="shared" si="11"/>
        <v>0.10483730135630709</v>
      </c>
      <c r="E38" s="39">
        <f t="shared" si="11"/>
        <v>0.09522509818192848</v>
      </c>
      <c r="F38" s="39">
        <f t="shared" si="11"/>
        <v>0.11433960040077795</v>
      </c>
      <c r="G38" s="39">
        <f t="shared" si="11"/>
        <v>0.09974238351254483</v>
      </c>
      <c r="H38" s="37">
        <f t="shared" si="11"/>
        <v>0.08844988387463215</v>
      </c>
      <c r="I38" s="1"/>
      <c r="J38" s="1"/>
      <c r="K38" s="1"/>
      <c r="L38" s="1"/>
      <c r="M38" s="1"/>
    </row>
    <row r="39" ht="15" customHeight="1">
      <c r="A39" s="1"/>
      <c r="B39" s="41" t="s">
        <v>75</v>
      </c>
      <c r="C39" s="36">
        <f>'Revenue summary'!C163</f>
        <v>0.0022842029333973723</v>
      </c>
      <c r="D39" s="36">
        <f>'Revenue summary'!D163</f>
        <v>0.009895803015309346</v>
      </c>
      <c r="E39" s="36">
        <f>'Revenue summary'!E163</f>
        <v>0.002031873114072935</v>
      </c>
      <c r="F39" s="36">
        <f>'Revenue summary'!F163</f>
        <v>0.01432191901927271</v>
      </c>
      <c r="G39" s="36">
        <f>'Revenue summary'!G163</f>
        <v>0.0013440860215054862</v>
      </c>
      <c r="H39" s="42">
        <f>'Revenue summary'!H163</f>
        <v>-0.0038713752857658518</v>
      </c>
      <c r="I39" s="1"/>
      <c r="J39" s="1"/>
      <c r="K39" s="1"/>
      <c r="L39" s="1"/>
      <c r="M39" s="1"/>
    </row>
    <row r="40" ht="15" customHeight="1">
      <c r="A40" s="1"/>
      <c r="B40" s="41" t="s">
        <v>77</v>
      </c>
      <c r="C40" s="43" t="s">
        <v>35</v>
      </c>
      <c r="D40" s="43" t="s">
        <v>35</v>
      </c>
      <c r="E40" s="43" t="s">
        <v>35</v>
      </c>
      <c r="F40" s="43" t="s">
        <v>35</v>
      </c>
      <c r="G40" s="43" t="s">
        <v>35</v>
      </c>
      <c r="H40" s="44" t="s">
        <v>35</v>
      </c>
      <c r="I40" s="1"/>
      <c r="J40" s="1"/>
      <c r="K40" s="1"/>
      <c r="L40" s="1"/>
      <c r="M40" s="1"/>
    </row>
    <row r="41" ht="15" customHeight="1">
      <c r="A41" s="1"/>
      <c r="B41" s="41" t="s">
        <v>78</v>
      </c>
      <c r="C41" s="45" t="str">
        <f t="shared" si="4"/>
        <v>unavailable</v>
      </c>
      <c r="D41" s="45" t="str">
        <f t="shared" si="4"/>
        <v>unavailable</v>
      </c>
      <c r="E41" s="45" t="str">
        <f t="shared" si="4"/>
        <v>unavailable</v>
      </c>
      <c r="F41" s="45" t="str">
        <f t="shared" si="4"/>
        <v>unavailable</v>
      </c>
      <c r="G41" s="45" t="str">
        <f t="shared" si="4"/>
        <v>unavailable</v>
      </c>
      <c r="H41" s="46" t="str">
        <f t="shared" si="4"/>
        <v>unavailable</v>
      </c>
      <c r="I41" s="1"/>
      <c r="J41" s="1"/>
      <c r="K41" s="1"/>
      <c r="L41" s="1"/>
      <c r="M41" s="1"/>
    </row>
    <row r="42" ht="15" customHeight="1">
      <c r="A42" s="1"/>
      <c r="B42" s="1"/>
      <c r="C42" s="1"/>
      <c r="D42" s="1"/>
      <c r="E42" s="1"/>
      <c r="F42" s="1"/>
      <c r="G42" s="1"/>
      <c r="H42" s="29"/>
      <c r="I42" s="1"/>
      <c r="J42" s="1"/>
      <c r="K42" s="1"/>
      <c r="L42" s="1"/>
      <c r="M42" s="1"/>
    </row>
    <row r="43" ht="15" customHeight="1">
      <c r="A43" s="1"/>
      <c r="B43" s="30" t="s">
        <v>298</v>
      </c>
      <c r="C43" s="1"/>
      <c r="D43" s="1"/>
      <c r="E43" s="1"/>
      <c r="F43" s="1"/>
      <c r="G43" s="1"/>
      <c r="H43" s="29"/>
      <c r="I43" s="1"/>
      <c r="J43" s="1"/>
      <c r="K43" s="1"/>
      <c r="L43" s="1"/>
      <c r="M43" s="1"/>
    </row>
    <row r="44" ht="15" customHeight="1">
      <c r="A44" s="1"/>
      <c r="B44" s="1" t="s">
        <v>299</v>
      </c>
      <c r="C44" s="53">
        <v>214470</v>
      </c>
      <c r="D44" s="53">
        <v>221187</v>
      </c>
      <c r="E44" s="53">
        <v>213105</v>
      </c>
      <c r="F44" s="53">
        <v>222813</v>
      </c>
      <c r="G44" s="53">
        <v>227814</v>
      </c>
      <c r="H44" s="15">
        <f>'Segment - USCS'!H55+'Segment - CS'!H42+'Segment - ICS'!H57+AVERAGE('Balance Sheet'!G21,'Balance Sheet'!H21)</f>
        <v>230740.5</v>
      </c>
      <c r="I44" s="1"/>
      <c r="J44" s="4" t="s">
        <v>300</v>
      </c>
      <c r="K44" s="1"/>
      <c r="L44" s="1"/>
      <c r="M44" s="1"/>
    </row>
    <row r="45" ht="15" customHeight="1">
      <c r="A45" s="1"/>
      <c r="B45" s="4" t="s">
        <v>301</v>
      </c>
      <c r="C45" s="39">
        <f t="shared" si="12" ref="C45:H45">C20/C44*365/C$7</f>
        <v>0.11043654630930444</v>
      </c>
      <c r="D45" s="39">
        <f t="shared" si="12"/>
        <v>0.10876887371122723</v>
      </c>
      <c r="E45" s="39">
        <f t="shared" si="12"/>
        <v>0.10902606696229558</v>
      </c>
      <c r="F45" s="39">
        <f t="shared" si="12"/>
        <v>0.11168508520099317</v>
      </c>
      <c r="G45" s="39">
        <f t="shared" si="12"/>
        <v>0.10773368519161139</v>
      </c>
      <c r="H45" s="37">
        <f t="shared" si="12"/>
        <v>0.10927628793987751</v>
      </c>
      <c r="I45" s="1"/>
      <c r="J45" s="4" t="s">
        <v>302</v>
      </c>
      <c r="K45" s="1"/>
      <c r="L45" s="1"/>
      <c r="M45" s="1"/>
    </row>
    <row r="46" ht="15" customHeight="1">
      <c r="A46" s="1"/>
      <c r="B46" s="35" t="s">
        <v>81</v>
      </c>
      <c r="C46" s="43" t="s">
        <v>35</v>
      </c>
      <c r="D46" s="43" t="s">
        <v>35</v>
      </c>
      <c r="E46" s="43" t="s">
        <v>35</v>
      </c>
      <c r="F46" s="43" t="s">
        <v>35</v>
      </c>
      <c r="G46" s="43" t="s">
        <v>35</v>
      </c>
      <c r="H46" s="48">
        <f t="shared" si="15" ref="H46:H151">(H45-C45)*10000</f>
        <v>-11.602583694269308</v>
      </c>
      <c r="I46" s="1"/>
      <c r="J46" s="1"/>
      <c r="K46" s="1"/>
      <c r="L46" s="1"/>
      <c r="M46" s="1"/>
    </row>
    <row r="47" ht="15" customHeight="1">
      <c r="A47" s="1"/>
      <c r="B47" s="35" t="s">
        <v>82</v>
      </c>
      <c r="C47" s="43" t="s">
        <v>35</v>
      </c>
      <c r="D47" s="49">
        <f t="shared" si="13" ref="D47:H152">(D45-C45)*10000</f>
        <v>-16.676725980772076</v>
      </c>
      <c r="E47" s="1"/>
      <c r="F47" s="49">
        <f t="shared" si="16" ref="F47:F152">(F45-D45)*10000</f>
        <v>29.16211489765938</v>
      </c>
      <c r="G47" s="49">
        <f t="shared" si="13"/>
        <v>-39.514000093817806</v>
      </c>
      <c r="H47" s="48">
        <f t="shared" si="13"/>
        <v>15.426027482661198</v>
      </c>
      <c r="I47" s="1"/>
      <c r="J47" s="1"/>
      <c r="K47" s="1"/>
      <c r="L47" s="1"/>
      <c r="M47" s="1"/>
    </row>
    <row r="48" ht="15" customHeight="1">
      <c r="A48" s="1"/>
      <c r="B48" s="4" t="s">
        <v>303</v>
      </c>
      <c r="C48" s="39">
        <f t="shared" si="14" ref="C48:H48">C27/C44*365/C$7</f>
        <v>0.0829846476957353</v>
      </c>
      <c r="D48" s="39">
        <f t="shared" si="14"/>
        <v>0.08111029797529182</v>
      </c>
      <c r="E48" s="39">
        <f t="shared" si="14"/>
        <v>0.08148096009009644</v>
      </c>
      <c r="F48" s="39">
        <f t="shared" si="14"/>
        <v>0.08540195889228487</v>
      </c>
      <c r="G48" s="39">
        <f t="shared" si="14"/>
        <v>0.08185224750053953</v>
      </c>
      <c r="H48" s="37">
        <f t="shared" si="14"/>
        <v>0.08340988780639422</v>
      </c>
      <c r="I48" s="1"/>
      <c r="J48" s="4" t="s">
        <v>304</v>
      </c>
      <c r="K48" s="1"/>
      <c r="L48" s="1"/>
      <c r="M48" s="1"/>
    </row>
    <row r="49" ht="15" customHeight="1">
      <c r="A49" s="1"/>
      <c r="B49" s="35" t="s">
        <v>81</v>
      </c>
      <c r="C49" s="43" t="s">
        <v>35</v>
      </c>
      <c r="D49" s="43" t="s">
        <v>35</v>
      </c>
      <c r="E49" s="43" t="s">
        <v>35</v>
      </c>
      <c r="F49" s="43" t="s">
        <v>35</v>
      </c>
      <c r="G49" s="43" t="s">
        <v>35</v>
      </c>
      <c r="H49" s="48">
        <f t="shared" si="15"/>
        <v>4.252401106589199</v>
      </c>
      <c r="I49" s="1"/>
      <c r="J49" s="1"/>
      <c r="K49" s="1"/>
      <c r="L49" s="1"/>
      <c r="M49" s="1"/>
    </row>
    <row r="50" ht="15" customHeight="1">
      <c r="A50" s="1"/>
      <c r="B50" s="35" t="s">
        <v>82</v>
      </c>
      <c r="C50" s="43" t="s">
        <v>35</v>
      </c>
      <c r="D50" s="49">
        <f t="shared" si="13"/>
        <v>-18.7434972044348</v>
      </c>
      <c r="E50" s="1"/>
      <c r="F50" s="49">
        <f t="shared" si="16"/>
        <v>42.91660916993054</v>
      </c>
      <c r="G50" s="49">
        <f t="shared" si="13"/>
        <v>-35.49711391745342</v>
      </c>
      <c r="H50" s="48">
        <f t="shared" si="13"/>
        <v>15.576403058546878</v>
      </c>
      <c r="I50" s="1"/>
      <c r="J50" s="1"/>
      <c r="K50" s="1"/>
      <c r="L50" s="1"/>
      <c r="M50" s="1"/>
    </row>
    <row r="51" ht="15" customHeight="1">
      <c r="A51" s="1"/>
      <c r="B51" s="4" t="s">
        <v>305</v>
      </c>
      <c r="C51" s="50">
        <v>0.082</v>
      </c>
      <c r="D51" s="50">
        <v>0.08</v>
      </c>
      <c r="E51" s="50">
        <v>0.081</v>
      </c>
      <c r="F51" s="50">
        <v>0.084</v>
      </c>
      <c r="G51" s="50">
        <v>0.081</v>
      </c>
      <c r="H51" s="44" t="s">
        <v>35</v>
      </c>
      <c r="I51" s="1"/>
      <c r="J51" s="4" t="s">
        <v>69</v>
      </c>
      <c r="K51" s="1"/>
      <c r="L51" s="1"/>
      <c r="M51" s="1"/>
    </row>
    <row r="52" ht="15" customHeight="1">
      <c r="A52" s="1"/>
      <c r="B52" s="4" t="s">
        <v>306</v>
      </c>
      <c r="C52" s="36">
        <f>C21/AVERAGE(Inputs!G344,'Balance Sheet'!C28)*365/C$7</f>
        <v>0.04522102550548434</v>
      </c>
      <c r="D52" s="36">
        <f>D21/AVERAGE('Balance Sheet'!C28,'Balance Sheet'!D28)*365/D$7</f>
        <v>0.05580939360687881</v>
      </c>
      <c r="E52" s="36">
        <f>E21/AVERAGE(Inputs!E344,'Balance Sheet'!E28)*365/E$7</f>
        <v>0.05519053876478318</v>
      </c>
      <c r="F52" s="36">
        <f>F21/AVERAGE('Balance Sheet'!D28,'Balance Sheet'!F28)*365/F$7</f>
        <v>0.037592390645825764</v>
      </c>
      <c r="G52" s="36">
        <f>G21/AVERAGE('Balance Sheet'!F28,'Balance Sheet'!G28)*365/G$7</f>
        <v>0.04311603594971764</v>
      </c>
      <c r="H52" s="66">
        <v>0.043</v>
      </c>
      <c r="I52" s="1"/>
      <c r="J52" s="4" t="s">
        <v>307</v>
      </c>
      <c r="K52" s="1"/>
      <c r="L52" s="1"/>
      <c r="M52" s="1"/>
    </row>
    <row r="53" ht="15" customHeight="1">
      <c r="A53" s="1"/>
      <c r="B53" s="35" t="s">
        <v>81</v>
      </c>
      <c r="C53" s="43" t="s">
        <v>35</v>
      </c>
      <c r="D53" s="43" t="s">
        <v>35</v>
      </c>
      <c r="E53" s="43" t="s">
        <v>35</v>
      </c>
      <c r="F53" s="43" t="s">
        <v>35</v>
      </c>
      <c r="G53" s="43" t="s">
        <v>35</v>
      </c>
      <c r="H53" s="48">
        <f t="shared" si="15"/>
        <v>-22.210255054843433</v>
      </c>
      <c r="I53" s="1"/>
      <c r="J53" s="1"/>
      <c r="K53" s="1"/>
      <c r="L53" s="1"/>
      <c r="M53" s="1"/>
    </row>
    <row r="54" ht="15" customHeight="1">
      <c r="A54" s="1"/>
      <c r="B54" s="35" t="s">
        <v>82</v>
      </c>
      <c r="C54" s="43" t="s">
        <v>35</v>
      </c>
      <c r="D54" s="49">
        <f t="shared" si="13"/>
        <v>105.8836810139447</v>
      </c>
      <c r="E54" s="1"/>
      <c r="F54" s="49">
        <f t="shared" si="16"/>
        <v>-182.17002961053046</v>
      </c>
      <c r="G54" s="49">
        <f t="shared" si="13"/>
        <v>55.236453038918775</v>
      </c>
      <c r="H54" s="48">
        <f t="shared" si="13"/>
        <v>-1.1603594971764526</v>
      </c>
      <c r="I54" s="1"/>
      <c r="J54" s="1"/>
      <c r="K54" s="1"/>
      <c r="L54" s="1"/>
      <c r="M54" s="1"/>
    </row>
    <row r="55" ht="15" customHeight="1">
      <c r="A55" s="1"/>
      <c r="B55" s="4" t="s">
        <v>308</v>
      </c>
      <c r="C55" s="36">
        <f>C22/Inputs!G238*365/C$7</f>
        <v>0.04327789330389606</v>
      </c>
      <c r="D55" s="36">
        <f>D22/'Balance Sheet'!C13*365/D$7</f>
        <v>0.03633354738928565</v>
      </c>
      <c r="E55" s="36">
        <f>E22/AVERAGE(Inputs!E238,'Balance Sheet'!E13)*365/E$7</f>
        <v>0.052039985525601594</v>
      </c>
      <c r="F55" s="36">
        <f>F22/'Balance Sheet'!D13*365/F$7</f>
        <v>0.043447531897481684</v>
      </c>
      <c r="G55" s="36">
        <f>G22/'Balance Sheet'!F13*365/G$7</f>
        <v>0.03372522709539284</v>
      </c>
      <c r="H55" s="66">
        <v>0.0365</v>
      </c>
      <c r="I55" s="1"/>
      <c r="J55" s="4" t="s">
        <v>309</v>
      </c>
      <c r="K55" s="1"/>
      <c r="L55" s="1"/>
      <c r="M55" s="1"/>
    </row>
    <row r="56" ht="15" customHeight="1">
      <c r="A56" s="1"/>
      <c r="B56" s="35" t="s">
        <v>81</v>
      </c>
      <c r="C56" s="43" t="s">
        <v>35</v>
      </c>
      <c r="D56" s="43" t="s">
        <v>35</v>
      </c>
      <c r="E56" s="43" t="s">
        <v>35</v>
      </c>
      <c r="F56" s="43" t="s">
        <v>35</v>
      </c>
      <c r="G56" s="43" t="s">
        <v>35</v>
      </c>
      <c r="H56" s="48">
        <f t="shared" si="15"/>
        <v>-67.77893303896062</v>
      </c>
      <c r="I56" s="1"/>
      <c r="J56" s="1"/>
      <c r="K56" s="1"/>
      <c r="L56" s="1"/>
      <c r="M56" s="1"/>
    </row>
    <row r="57" ht="15" customHeight="1">
      <c r="A57" s="1"/>
      <c r="B57" s="35" t="s">
        <v>82</v>
      </c>
      <c r="C57" s="43" t="s">
        <v>35</v>
      </c>
      <c r="D57" s="49">
        <f t="shared" si="13"/>
        <v>-69.44345914610406</v>
      </c>
      <c r="E57" s="1"/>
      <c r="F57" s="49">
        <f t="shared" si="16"/>
        <v>71.1398450819603</v>
      </c>
      <c r="G57" s="49">
        <f t="shared" si="13"/>
        <v>-97.22304802088841</v>
      </c>
      <c r="H57" s="48">
        <f t="shared" si="13"/>
        <v>27.747729046071548</v>
      </c>
      <c r="I57" s="1"/>
      <c r="J57" s="1"/>
      <c r="K57" s="1"/>
      <c r="L57" s="1"/>
      <c r="M57" s="1"/>
    </row>
    <row r="58" ht="15" customHeight="1">
      <c r="A58" s="1"/>
      <c r="B58" s="4" t="s">
        <v>310</v>
      </c>
      <c r="C58" s="36">
        <f>C24/AVERAGE(Inputs!G237,'Balance Sheet'!C34)*365/C$7</f>
        <v>0.03635053064808497</v>
      </c>
      <c r="D58" s="36">
        <f>D24/AVERAGE('Balance Sheet'!C34,'Balance Sheet'!D34)*365/D$7</f>
        <v>0.035242840892407874</v>
      </c>
      <c r="E58" s="36">
        <f>E24/AVERAGE(Inputs!E237,'Balance Sheet'!E34)*365/E$7</f>
        <v>0.03717013645037187</v>
      </c>
      <c r="F58" s="36">
        <f>F24/AVERAGE('Balance Sheet'!D34,'Balance Sheet'!F34)*365/F$7</f>
        <v>0.033626898942133</v>
      </c>
      <c r="G58" s="36">
        <f>G24/AVERAGE('Balance Sheet'!F34,'Balance Sheet'!G34)*365/G$7</f>
        <v>0.032503529317015875</v>
      </c>
      <c r="H58" s="66">
        <v>0.0322</v>
      </c>
      <c r="I58" s="1"/>
      <c r="J58" s="4" t="s">
        <v>311</v>
      </c>
      <c r="K58" s="1"/>
      <c r="L58" s="1"/>
      <c r="M58" s="1"/>
    </row>
    <row r="59" ht="15" customHeight="1">
      <c r="A59" s="1"/>
      <c r="B59" s="35" t="s">
        <v>81</v>
      </c>
      <c r="C59" s="43" t="s">
        <v>35</v>
      </c>
      <c r="D59" s="43" t="s">
        <v>35</v>
      </c>
      <c r="E59" s="43" t="s">
        <v>35</v>
      </c>
      <c r="F59" s="43" t="s">
        <v>35</v>
      </c>
      <c r="G59" s="43" t="s">
        <v>35</v>
      </c>
      <c r="H59" s="48">
        <f t="shared" si="15"/>
        <v>-41.50530648084967</v>
      </c>
      <c r="I59" s="1"/>
      <c r="J59" s="1"/>
      <c r="K59" s="1"/>
      <c r="L59" s="1"/>
      <c r="M59" s="1"/>
    </row>
    <row r="60" ht="15" customHeight="1">
      <c r="A60" s="1"/>
      <c r="B60" s="35" t="s">
        <v>82</v>
      </c>
      <c r="C60" s="43" t="s">
        <v>35</v>
      </c>
      <c r="D60" s="49">
        <f t="shared" si="13"/>
        <v>-11.076897556770923</v>
      </c>
      <c r="E60" s="1"/>
      <c r="F60" s="49">
        <f t="shared" si="16"/>
        <v>-16.159419502748754</v>
      </c>
      <c r="G60" s="49">
        <f t="shared" si="13"/>
        <v>-11.233696251171239</v>
      </c>
      <c r="H60" s="48">
        <f t="shared" si="13"/>
        <v>-3.0352931701587567</v>
      </c>
      <c r="I60" s="1"/>
      <c r="J60" s="1"/>
      <c r="K60" s="1"/>
      <c r="L60" s="1"/>
      <c r="M60" s="1"/>
    </row>
    <row r="61" ht="15" customHeight="1">
      <c r="A61" s="1"/>
      <c r="B61" s="4" t="s">
        <v>312</v>
      </c>
      <c r="C61" s="36">
        <f>C25/AVERAGE(Inputs!G345+Inputs!G346,'Balance Sheet'!C40+'Balance Sheet'!C39)*365/C$7</f>
        <v>0.05070660216777122</v>
      </c>
      <c r="D61" s="36">
        <f>D25/AVERAGE('Balance Sheet'!C40+'Balance Sheet'!C39,'Balance Sheet'!D40+'Balance Sheet'!D39)*365/D$7</f>
        <v>0.04862971622120319</v>
      </c>
      <c r="E61" s="36">
        <f>E25/AVERAGE(Inputs!E345+Inputs!E346,'Balance Sheet'!E40+'Balance Sheet'!E39)*365/E$7</f>
        <v>0.051613733038117726</v>
      </c>
      <c r="F61" s="36">
        <f>F25/AVERAGE('Balance Sheet'!D40+'Balance Sheet'!D39,'Balance Sheet'!F40+'Balance Sheet'!F39)*365/F$7</f>
        <v>0.04707463808986652</v>
      </c>
      <c r="G61" s="36">
        <f>G25/AVERAGE('Balance Sheet'!F40+'Balance Sheet'!F39,'Balance Sheet'!G40+'Balance Sheet'!G39)*365/G$7</f>
        <v>0.04578578312164942</v>
      </c>
      <c r="H61" s="66">
        <v>0.046</v>
      </c>
      <c r="I61" s="1"/>
      <c r="J61" s="4" t="s">
        <v>313</v>
      </c>
      <c r="K61" s="1"/>
      <c r="L61" s="1"/>
      <c r="M61" s="1"/>
    </row>
    <row r="62" ht="15" customHeight="1">
      <c r="A62" s="1"/>
      <c r="B62" s="35" t="s">
        <v>81</v>
      </c>
      <c r="C62" s="43" t="s">
        <v>35</v>
      </c>
      <c r="D62" s="43" t="s">
        <v>35</v>
      </c>
      <c r="E62" s="43" t="s">
        <v>35</v>
      </c>
      <c r="F62" s="43" t="s">
        <v>35</v>
      </c>
      <c r="G62" s="43" t="s">
        <v>35</v>
      </c>
      <c r="H62" s="48">
        <f t="shared" si="15"/>
        <v>-47.06602167771218</v>
      </c>
      <c r="I62" s="1"/>
      <c r="J62" s="1"/>
      <c r="K62" s="1"/>
      <c r="L62" s="1"/>
      <c r="M62" s="1"/>
    </row>
    <row r="63" ht="15" customHeight="1">
      <c r="A63" s="1"/>
      <c r="B63" s="35" t="s">
        <v>82</v>
      </c>
      <c r="C63" s="43" t="s">
        <v>35</v>
      </c>
      <c r="D63" s="49">
        <f t="shared" si="13"/>
        <v>-20.768859465680258</v>
      </c>
      <c r="E63" s="1"/>
      <c r="F63" s="49">
        <f t="shared" si="16"/>
        <v>-15.550781313366722</v>
      </c>
      <c r="G63" s="49">
        <f t="shared" si="13"/>
        <v>-12.888549682170957</v>
      </c>
      <c r="H63" s="48">
        <f t="shared" si="13"/>
        <v>2.14216878350576</v>
      </c>
      <c r="I63" s="1"/>
      <c r="J63" s="1"/>
      <c r="K63" s="1"/>
      <c r="L63" s="1"/>
      <c r="M63" s="1"/>
    </row>
    <row r="64" ht="15" customHeight="1">
      <c r="A64" s="1"/>
      <c r="B64" s="1"/>
      <c r="C64" s="1"/>
      <c r="D64" s="1"/>
      <c r="E64" s="1"/>
      <c r="F64" s="1"/>
      <c r="G64" s="1"/>
      <c r="H64" s="29"/>
      <c r="I64" s="1"/>
      <c r="J64" s="1"/>
      <c r="K64" s="1"/>
      <c r="L64" s="1"/>
      <c r="M64" s="1"/>
    </row>
    <row r="65" ht="15" customHeight="1">
      <c r="A65" s="1"/>
      <c r="B65" s="30" t="s">
        <v>148</v>
      </c>
      <c r="C65" s="1"/>
      <c r="D65" s="1"/>
      <c r="E65" s="1"/>
      <c r="F65" s="1"/>
      <c r="G65" s="1"/>
      <c r="H65" s="29"/>
      <c r="I65" s="1"/>
      <c r="J65" s="1"/>
      <c r="K65" s="1"/>
      <c r="L65" s="1"/>
      <c r="M65" s="1"/>
    </row>
    <row r="66" ht="15" customHeight="1">
      <c r="A66" s="1"/>
      <c r="B66" s="1" t="s">
        <v>314</v>
      </c>
      <c r="C66" s="53">
        <v>1220</v>
      </c>
      <c r="D66" s="53">
        <v>1231</v>
      </c>
      <c r="E66" s="53">
        <v>4818</v>
      </c>
      <c r="F66" s="53">
        <v>1187</v>
      </c>
      <c r="G66" s="53">
        <v>1017</v>
      </c>
      <c r="H66" s="52">
        <f>H70-H67</f>
        <v>1221.7231561643837</v>
      </c>
      <c r="I66" s="1"/>
      <c r="J66" s="4" t="s">
        <v>315</v>
      </c>
      <c r="K66" s="1"/>
      <c r="L66" s="1"/>
      <c r="M66" s="1"/>
    </row>
    <row r="67" ht="15" customHeight="1">
      <c r="A67" s="1"/>
      <c r="B67" s="1" t="s">
        <v>316</v>
      </c>
      <c r="C67" s="53">
        <v>67</v>
      </c>
      <c r="D67" s="53">
        <v>183</v>
      </c>
      <c r="E67" s="53">
        <v>438</v>
      </c>
      <c r="F67" s="53">
        <v>64</v>
      </c>
      <c r="G67" s="53">
        <v>67</v>
      </c>
      <c r="H67" s="32">
        <v>65</v>
      </c>
      <c r="I67" s="1"/>
      <c r="J67" s="4" t="s">
        <v>317</v>
      </c>
      <c r="K67" s="1"/>
      <c r="L67" s="1"/>
      <c r="M67" s="1"/>
    </row>
    <row r="68" ht="15" customHeight="1">
      <c r="A68" s="1"/>
      <c r="B68" s="35" t="s">
        <v>70</v>
      </c>
      <c r="C68" s="43" t="s">
        <v>35</v>
      </c>
      <c r="D68" s="43" t="s">
        <v>35</v>
      </c>
      <c r="E68" s="43" t="s">
        <v>35</v>
      </c>
      <c r="F68" s="43" t="s">
        <v>35</v>
      </c>
      <c r="G68" s="43" t="s">
        <v>35</v>
      </c>
      <c r="H68" s="37">
        <f t="shared" si="7"/>
        <v>-0.02985074626865669</v>
      </c>
      <c r="I68" s="1"/>
      <c r="J68" s="1"/>
      <c r="K68" s="1"/>
      <c r="L68" s="1"/>
      <c r="M68" s="1"/>
    </row>
    <row r="69" ht="15" customHeight="1">
      <c r="A69" s="1"/>
      <c r="B69" s="35" t="s">
        <v>73</v>
      </c>
      <c r="C69" s="43" t="s">
        <v>35</v>
      </c>
      <c r="D69" s="40">
        <f t="shared" si="17" ref="D69:H69">D67-C67</f>
        <v>116</v>
      </c>
      <c r="E69" s="1"/>
      <c r="F69" s="40">
        <f>F67-D67</f>
        <v>-119</v>
      </c>
      <c r="G69" s="40">
        <f t="shared" si="17"/>
        <v>3</v>
      </c>
      <c r="H69" s="38">
        <f t="shared" si="17"/>
        <v>-2</v>
      </c>
      <c r="I69" s="1"/>
      <c r="J69" s="1"/>
      <c r="K69" s="1"/>
      <c r="L69" s="1"/>
      <c r="M69" s="1"/>
    </row>
    <row r="70" ht="15" customHeight="1">
      <c r="A70" s="1"/>
      <c r="B70" s="3" t="s">
        <v>158</v>
      </c>
      <c r="C70" s="63">
        <f t="shared" si="18" ref="C70:G70">C66+C67</f>
        <v>1287</v>
      </c>
      <c r="D70" s="63">
        <f t="shared" si="18"/>
        <v>1414</v>
      </c>
      <c r="E70" s="63">
        <f t="shared" si="18"/>
        <v>5256</v>
      </c>
      <c r="F70" s="63">
        <f t="shared" si="18"/>
        <v>1251</v>
      </c>
      <c r="G70" s="63">
        <f t="shared" si="18"/>
        <v>1084</v>
      </c>
      <c r="H70" s="54">
        <f>'Revenue summary'!H192</f>
        <v>1286.7231561643837</v>
      </c>
      <c r="I70" s="1"/>
      <c r="J70" s="4" t="s">
        <v>318</v>
      </c>
      <c r="K70" s="1"/>
      <c r="L70" s="1"/>
      <c r="M70" s="1"/>
    </row>
    <row r="71" ht="15" customHeight="1">
      <c r="A71" s="1"/>
      <c r="B71" s="35" t="s">
        <v>70</v>
      </c>
      <c r="C71" s="36">
        <f>C70/Inputs!C217-1</f>
        <v>-0.05088495575221241</v>
      </c>
      <c r="D71" s="36">
        <f>D70/Inputs!D217-1</f>
        <v>0.09442724458204332</v>
      </c>
      <c r="E71" s="36">
        <f>E70/Inputs!E217-1</f>
        <v>0.01369334619093543</v>
      </c>
      <c r="F71" s="36">
        <f>F70/Inputs!F217-1</f>
        <v>0.08782608695652172</v>
      </c>
      <c r="G71" s="36">
        <f>G70/Inputs!G217-1</f>
        <v>-0.2284697508896797</v>
      </c>
      <c r="H71" s="37">
        <f t="shared" si="7"/>
        <v>-0.00021510787538170373</v>
      </c>
      <c r="I71" s="1"/>
      <c r="J71" s="1"/>
      <c r="K71" s="1"/>
      <c r="L71" s="1"/>
      <c r="M71" s="1"/>
    </row>
    <row r="72" ht="15" customHeight="1">
      <c r="A72" s="1"/>
      <c r="B72" s="35" t="s">
        <v>72</v>
      </c>
      <c r="C72" s="36">
        <f>C70/Inputs!G217-1</f>
        <v>-0.08398576512455513</v>
      </c>
      <c r="D72" s="39">
        <f t="shared" si="2"/>
        <v>0.09867909867909863</v>
      </c>
      <c r="E72" s="1"/>
      <c r="F72" s="39">
        <f t="shared" si="8"/>
        <v>-0.11527581329561531</v>
      </c>
      <c r="G72" s="39">
        <f t="shared" si="2"/>
        <v>-0.13349320543565146</v>
      </c>
      <c r="H72" s="37">
        <f t="shared" si="2"/>
        <v>0.18701398170146089</v>
      </c>
      <c r="I72" s="1"/>
      <c r="J72" s="1"/>
      <c r="K72" s="1"/>
      <c r="L72" s="1"/>
      <c r="M72" s="1"/>
    </row>
    <row r="73" ht="15" customHeight="1">
      <c r="A73" s="1"/>
      <c r="B73" s="3" t="s">
        <v>217</v>
      </c>
      <c r="C73" s="63">
        <f t="shared" si="19" ref="C73:H73">C34-C70</f>
        <v>17139</v>
      </c>
      <c r="D73" s="63">
        <f t="shared" si="19"/>
        <v>17566</v>
      </c>
      <c r="E73" s="63">
        <f t="shared" si="19"/>
        <v>66973</v>
      </c>
      <c r="F73" s="63">
        <f t="shared" si="19"/>
        <v>17656</v>
      </c>
      <c r="G73" s="63">
        <f t="shared" si="19"/>
        <v>18553</v>
      </c>
      <c r="H73" s="34">
        <f t="shared" si="19"/>
        <v>18769.05440410959</v>
      </c>
      <c r="I73" s="1"/>
      <c r="J73" s="1"/>
      <c r="K73" s="1"/>
      <c r="L73" s="1"/>
      <c r="M73" s="1"/>
    </row>
    <row r="74" ht="15" customHeight="1">
      <c r="A74" s="1"/>
      <c r="B74" s="1"/>
      <c r="C74" s="1"/>
      <c r="D74" s="1"/>
      <c r="E74" s="1"/>
      <c r="F74" s="1"/>
      <c r="G74" s="1"/>
      <c r="H74" s="29"/>
      <c r="I74" s="1"/>
      <c r="J74" s="1"/>
      <c r="K74" s="1"/>
      <c r="L74" s="1"/>
      <c r="M74" s="1"/>
    </row>
    <row r="75" ht="15" customHeight="1">
      <c r="A75" s="1"/>
      <c r="B75" s="30" t="s">
        <v>218</v>
      </c>
      <c r="C75" s="1"/>
      <c r="D75" s="1"/>
      <c r="E75" s="1"/>
      <c r="F75" s="1"/>
      <c r="G75" s="1"/>
      <c r="H75" s="29"/>
      <c r="I75" s="1"/>
      <c r="J75" s="1"/>
      <c r="K75" s="1"/>
      <c r="L75" s="1"/>
      <c r="M75" s="1"/>
    </row>
    <row r="76" ht="15" customHeight="1">
      <c r="A76" s="1"/>
      <c r="B76" s="1" t="s">
        <v>319</v>
      </c>
      <c r="C76" s="53">
        <v>4608</v>
      </c>
      <c r="D76" s="53">
        <v>4805</v>
      </c>
      <c r="E76" s="53">
        <v>18409</v>
      </c>
      <c r="F76" s="53">
        <v>4891</v>
      </c>
      <c r="G76" s="53">
        <v>5051</v>
      </c>
      <c r="H76" s="15">
        <f>'Revenue summary'!H14*H77/10</f>
        <v>5028.155</v>
      </c>
      <c r="I76" s="1"/>
      <c r="J76" s="4" t="s">
        <v>69</v>
      </c>
      <c r="K76" s="1"/>
      <c r="L76" s="1"/>
      <c r="M76" s="1"/>
    </row>
    <row r="77" ht="15" customHeight="1">
      <c r="A77" s="1"/>
      <c r="B77" s="31" t="s">
        <v>320</v>
      </c>
      <c r="C77" s="16">
        <f>C76/'Revenue summary'!C14*10</f>
        <v>109.45368171021377</v>
      </c>
      <c r="D77" s="16">
        <f>D76/'Revenue summary'!D14*10</f>
        <v>107.95326892833071</v>
      </c>
      <c r="E77" s="16">
        <f>E76/'Revenue summary'!E14*10</f>
        <v>110.24673613606421</v>
      </c>
      <c r="F77" s="16">
        <f>F76/'Revenue summary'!F14*10</f>
        <v>114.27570093457945</v>
      </c>
      <c r="G77" s="16">
        <f>G76/'Revenue summary'!G14*10</f>
        <v>110.8161474330847</v>
      </c>
      <c r="H77" s="32">
        <v>110</v>
      </c>
      <c r="I77" s="1"/>
      <c r="J77" s="4" t="s">
        <v>321</v>
      </c>
      <c r="K77" s="1"/>
      <c r="L77" s="1"/>
      <c r="M77" s="1"/>
    </row>
    <row r="78" ht="15" customHeight="1">
      <c r="A78" s="1"/>
      <c r="B78" s="35" t="s">
        <v>81</v>
      </c>
      <c r="C78" s="27">
        <f>(C77-Inputs!C244)*1</f>
        <v>1.8368472149904278</v>
      </c>
      <c r="D78" s="27">
        <f>(D77-Inputs!D244)*1</f>
        <v>-0.5188172616790894</v>
      </c>
      <c r="E78" s="27">
        <f>(E77-Inputs!E244)*1</f>
        <v>3.2185589486246613</v>
      </c>
      <c r="F78" s="27">
        <f>(F77-Inputs!F244)*1</f>
        <v>1.2658919516160836</v>
      </c>
      <c r="G78" s="27">
        <f>(G77-Inputs!G244)*1</f>
        <v>-0.11347063081153408</v>
      </c>
      <c r="H78" s="38">
        <f t="shared" si="22" ref="H78:H85">(H77-C77)*1</f>
        <v>0.5463182897862282</v>
      </c>
      <c r="I78" s="1"/>
      <c r="J78" s="1"/>
      <c r="K78" s="1"/>
      <c r="L78" s="1"/>
      <c r="M78" s="1"/>
    </row>
    <row r="79" ht="15" customHeight="1">
      <c r="A79" s="1"/>
      <c r="B79" s="35" t="s">
        <v>82</v>
      </c>
      <c r="C79" s="27">
        <f>(C77-Inputs!G244)*1</f>
        <v>-1.4759363536824566</v>
      </c>
      <c r="D79" s="40">
        <f t="shared" si="20" ref="D79:H86">(D77-C77)*1</f>
        <v>-1.5004127818830568</v>
      </c>
      <c r="E79" s="1"/>
      <c r="F79" s="40">
        <f t="shared" si="23" ref="F79:F86">(F77-D77)*1</f>
        <v>6.322432006248732</v>
      </c>
      <c r="G79" s="40">
        <f t="shared" si="20"/>
        <v>-3.459553501494753</v>
      </c>
      <c r="H79" s="38">
        <f t="shared" si="20"/>
        <v>-0.8161474330846943</v>
      </c>
      <c r="I79" s="1"/>
      <c r="J79" s="1"/>
      <c r="K79" s="1"/>
      <c r="L79" s="1"/>
      <c r="M79" s="1"/>
    </row>
    <row r="80" ht="15" customHeight="1">
      <c r="A80" s="1"/>
      <c r="B80" s="35" t="s">
        <v>70</v>
      </c>
      <c r="C80" s="36">
        <f>C76/Inputs!C218-1</f>
        <v>0.10556621880998085</v>
      </c>
      <c r="D80" s="36">
        <f>D76/Inputs!D218-1</f>
        <v>0.08465011286681712</v>
      </c>
      <c r="E80" s="36">
        <f>E76/Inputs!E218-1</f>
        <v>0.10904271341647087</v>
      </c>
      <c r="F80" s="36">
        <f>F76/Inputs!F218-1</f>
        <v>0.11717679305619</v>
      </c>
      <c r="G80" s="36">
        <f>G76/Inputs!G218-1</f>
        <v>0.09376353399740145</v>
      </c>
      <c r="H80" s="37">
        <f t="shared" si="24" ref="H80:H87">H76/C76-1</f>
        <v>0.09117947048611108</v>
      </c>
      <c r="I80" s="1"/>
      <c r="J80" s="1"/>
      <c r="K80" s="1"/>
      <c r="L80" s="1"/>
      <c r="M80" s="1"/>
    </row>
    <row r="81" ht="15" customHeight="1">
      <c r="A81" s="1"/>
      <c r="B81" s="35" t="s">
        <v>71</v>
      </c>
      <c r="C81" s="27">
        <f>C76-Inputs!C218</f>
        <v>440</v>
      </c>
      <c r="D81" s="27">
        <f>D76-Inputs!D218</f>
        <v>375</v>
      </c>
      <c r="E81" s="27">
        <f>E76-Inputs!E218</f>
        <v>1810</v>
      </c>
      <c r="F81" s="27">
        <f>F76-Inputs!F218</f>
        <v>513</v>
      </c>
      <c r="G81" s="27">
        <f>G76-Inputs!G218</f>
        <v>433</v>
      </c>
      <c r="H81" s="38">
        <f t="shared" si="25" ref="H81:H88">H76-C76</f>
        <v>420.15499999999975</v>
      </c>
      <c r="I81" s="1"/>
      <c r="J81" s="1"/>
      <c r="K81" s="1"/>
      <c r="L81" s="1"/>
      <c r="M81" s="1"/>
    </row>
    <row r="82" ht="15" customHeight="1">
      <c r="A82" s="1"/>
      <c r="B82" s="35" t="s">
        <v>73</v>
      </c>
      <c r="C82" s="27">
        <f>C76-Inputs!G218</f>
        <v>-10</v>
      </c>
      <c r="D82" s="40">
        <f t="shared" si="21" ref="D82:H89">D76-C76</f>
        <v>197</v>
      </c>
      <c r="E82" s="1"/>
      <c r="F82" s="40">
        <f t="shared" si="26" ref="F82:F89">F76-D76</f>
        <v>86</v>
      </c>
      <c r="G82" s="40">
        <f t="shared" si="21"/>
        <v>160</v>
      </c>
      <c r="H82" s="38">
        <f t="shared" si="21"/>
        <v>-22.845000000000255</v>
      </c>
      <c r="I82" s="1"/>
      <c r="J82" s="1"/>
      <c r="K82" s="1"/>
      <c r="L82" s="1"/>
      <c r="M82" s="1"/>
    </row>
    <row r="83" ht="15" customHeight="1">
      <c r="A83" s="1"/>
      <c r="B83" s="1" t="s">
        <v>322</v>
      </c>
      <c r="C83" s="53">
        <v>1611</v>
      </c>
      <c r="D83" s="53">
        <v>1728</v>
      </c>
      <c r="E83" s="53">
        <v>6457</v>
      </c>
      <c r="F83" s="53">
        <v>1591</v>
      </c>
      <c r="G83" s="53">
        <v>1755</v>
      </c>
      <c r="H83" s="15">
        <f>'Revenue summary'!H14*H84/10</f>
        <v>1759.8542499999999</v>
      </c>
      <c r="I83" s="1"/>
      <c r="J83" s="4" t="s">
        <v>69</v>
      </c>
      <c r="K83" s="1"/>
      <c r="L83" s="1"/>
      <c r="M83" s="1"/>
    </row>
    <row r="84" ht="15" customHeight="1">
      <c r="A84" s="1"/>
      <c r="B84" s="31" t="s">
        <v>323</v>
      </c>
      <c r="C84" s="16">
        <f>C83/'Revenue summary'!C14*10</f>
        <v>38.26603325415677</v>
      </c>
      <c r="D84" s="16">
        <f>D83/'Revenue summary'!D14*10</f>
        <v>38.82273646371602</v>
      </c>
      <c r="E84" s="16">
        <f>E83/'Revenue summary'!E14*10</f>
        <v>38.669301712779976</v>
      </c>
      <c r="F84" s="16">
        <f>F83/'Revenue summary'!F14*10</f>
        <v>37.17289719626168</v>
      </c>
      <c r="G84" s="16">
        <f>G83/'Revenue summary'!G14*10</f>
        <v>38.50372970601141</v>
      </c>
      <c r="H84" s="32">
        <v>38.5</v>
      </c>
      <c r="I84" s="1"/>
      <c r="J84" s="4" t="s">
        <v>324</v>
      </c>
      <c r="K84" s="1"/>
      <c r="L84" s="1"/>
      <c r="M84" s="1"/>
    </row>
    <row r="85" ht="15" customHeight="1">
      <c r="A85" s="1"/>
      <c r="B85" s="35" t="s">
        <v>81</v>
      </c>
      <c r="C85" s="27">
        <f>(C84-Inputs!C245)*1</f>
        <v>1.3437507857859998</v>
      </c>
      <c r="D85" s="27">
        <f>(D84-Inputs!D245)*1</f>
        <v>-1.2605152502898633</v>
      </c>
      <c r="E85" s="27">
        <f>(E84-Inputs!E245)*1</f>
        <v>0.7171449006063995</v>
      </c>
      <c r="F85" s="27">
        <f>(F84-Inputs!F245)*1</f>
        <v>-2.295352674672756</v>
      </c>
      <c r="G85" s="27">
        <f>(G84-Inputs!G245)*1</f>
        <v>0.33414046748150383</v>
      </c>
      <c r="H85" s="38">
        <f t="shared" si="22"/>
        <v>0.23396674584323307</v>
      </c>
      <c r="I85" s="1"/>
      <c r="J85" s="1"/>
      <c r="K85" s="1"/>
      <c r="L85" s="1"/>
      <c r="M85" s="1"/>
    </row>
    <row r="86" ht="15" customHeight="1">
      <c r="A86" s="1"/>
      <c r="B86" s="35" t="s">
        <v>82</v>
      </c>
      <c r="C86" s="27">
        <f>(C84-Inputs!G245)*1</f>
        <v>0.096444015626858</v>
      </c>
      <c r="D86" s="40">
        <f t="shared" si="20"/>
        <v>0.5567032095592523</v>
      </c>
      <c r="E86" s="1"/>
      <c r="F86" s="40">
        <f t="shared" si="23"/>
        <v>-1.6498392674543396</v>
      </c>
      <c r="G86" s="40">
        <f t="shared" si="20"/>
        <v>1.330832509749733</v>
      </c>
      <c r="H86" s="38">
        <f t="shared" si="20"/>
        <v>-0.003729706011412759</v>
      </c>
      <c r="I86" s="1"/>
      <c r="J86" s="1"/>
      <c r="K86" s="1"/>
      <c r="L86" s="1"/>
      <c r="M86" s="1"/>
    </row>
    <row r="87" ht="15" customHeight="1">
      <c r="A87" s="1"/>
      <c r="B87" s="35" t="s">
        <v>70</v>
      </c>
      <c r="C87" s="36">
        <f>C83/Inputs!C219-1</f>
        <v>0.12657342657342663</v>
      </c>
      <c r="D87" s="36">
        <f>D83/Inputs!D219-1</f>
        <v>0.05558949297495408</v>
      </c>
      <c r="E87" s="36">
        <f>E83/Inputs!E219-1</f>
        <v>0.09700985389058792</v>
      </c>
      <c r="F87" s="36">
        <f>F83/Inputs!F219-1</f>
        <v>0.04054937867887509</v>
      </c>
      <c r="G87" s="36">
        <f>G83/Inputs!G219-1</f>
        <v>0.10446821900566383</v>
      </c>
      <c r="H87" s="37">
        <f t="shared" si="24"/>
        <v>0.09239866542520159</v>
      </c>
      <c r="I87" s="1"/>
      <c r="J87" s="1"/>
      <c r="K87" s="1"/>
      <c r="L87" s="1"/>
      <c r="M87" s="1"/>
    </row>
    <row r="88" ht="15" customHeight="1">
      <c r="A88" s="1"/>
      <c r="B88" s="35" t="s">
        <v>71</v>
      </c>
      <c r="C88" s="27">
        <f>C83-Inputs!C219</f>
        <v>181</v>
      </c>
      <c r="D88" s="27">
        <f>D83-Inputs!D219</f>
        <v>91</v>
      </c>
      <c r="E88" s="27">
        <f>E83-Inputs!E219</f>
        <v>571</v>
      </c>
      <c r="F88" s="27">
        <f>F83-Inputs!F219</f>
        <v>62</v>
      </c>
      <c r="G88" s="27">
        <f>G83-Inputs!G219</f>
        <v>166</v>
      </c>
      <c r="H88" s="38">
        <f t="shared" si="25"/>
        <v>148.85424999999987</v>
      </c>
      <c r="I88" s="1"/>
      <c r="J88" s="1"/>
      <c r="K88" s="1"/>
      <c r="L88" s="1"/>
      <c r="M88" s="1"/>
    </row>
    <row r="89" ht="15" customHeight="1">
      <c r="A89" s="1"/>
      <c r="B89" s="35" t="s">
        <v>73</v>
      </c>
      <c r="C89" s="27">
        <f>C83-Inputs!G219</f>
        <v>22</v>
      </c>
      <c r="D89" s="40">
        <f t="shared" si="21"/>
        <v>117</v>
      </c>
      <c r="E89" s="1"/>
      <c r="F89" s="40">
        <f t="shared" si="26"/>
        <v>-137</v>
      </c>
      <c r="G89" s="40">
        <f t="shared" si="21"/>
        <v>164</v>
      </c>
      <c r="H89" s="38">
        <f t="shared" si="21"/>
        <v>4.854249999999865</v>
      </c>
      <c r="I89" s="1"/>
      <c r="J89" s="1"/>
      <c r="K89" s="1"/>
      <c r="L89" s="1"/>
      <c r="M89" s="1"/>
    </row>
    <row r="90" ht="15" customHeight="1">
      <c r="A90" s="1"/>
      <c r="B90" s="1" t="s">
        <v>325</v>
      </c>
      <c r="C90" s="53">
        <v>1477</v>
      </c>
      <c r="D90" s="53">
        <v>1951</v>
      </c>
      <c r="E90" s="53">
        <v>6057</v>
      </c>
      <c r="F90" s="53">
        <v>1975</v>
      </c>
      <c r="G90" s="53">
        <v>1949</v>
      </c>
      <c r="H90" s="15">
        <f>'Revenue summary'!H193-H76-H83</f>
        <v>2020.4859500000016</v>
      </c>
      <c r="I90" s="1"/>
      <c r="J90" s="4" t="s">
        <v>326</v>
      </c>
      <c r="K90" s="1"/>
      <c r="L90" s="1"/>
      <c r="M90" s="1"/>
    </row>
    <row r="91" ht="15" customHeight="1">
      <c r="A91" s="1"/>
      <c r="B91" s="35" t="s">
        <v>70</v>
      </c>
      <c r="C91" s="36">
        <f>C90/Inputs!C220-1</f>
        <v>0.2527565733672603</v>
      </c>
      <c r="D91" s="36">
        <f>D90/Inputs!D220-1</f>
        <v>0.5266040688575899</v>
      </c>
      <c r="E91" s="36">
        <f>E90/Inputs!E220-1</f>
        <v>0.266624843161857</v>
      </c>
      <c r="F91" s="36">
        <f>F90/Inputs!F220-1</f>
        <v>0.48719879518072284</v>
      </c>
      <c r="G91" s="36">
        <f>G90/Inputs!G220-1</f>
        <v>0.49807840122982316</v>
      </c>
      <c r="H91" s="37">
        <f t="shared" si="7"/>
        <v>0.36796611374407684</v>
      </c>
      <c r="I91" s="1"/>
      <c r="J91" s="1"/>
      <c r="K91" s="1"/>
      <c r="L91" s="1"/>
      <c r="M91" s="1"/>
    </row>
    <row r="92" ht="15" customHeight="1">
      <c r="A92" s="1"/>
      <c r="B92" s="35" t="s">
        <v>71</v>
      </c>
      <c r="C92" s="27">
        <f>C90-Inputs!C220</f>
        <v>298</v>
      </c>
      <c r="D92" s="27">
        <f>D90-Inputs!D220</f>
        <v>673</v>
      </c>
      <c r="E92" s="27">
        <f>E90-Inputs!E220</f>
        <v>1275</v>
      </c>
      <c r="F92" s="27">
        <f>F90-Inputs!F220</f>
        <v>647</v>
      </c>
      <c r="G92" s="27">
        <f>G90-Inputs!G220</f>
        <v>648</v>
      </c>
      <c r="H92" s="38">
        <f t="shared" si="30" ref="H92:H116">H90-C90</f>
        <v>543.4859500000016</v>
      </c>
      <c r="I92" s="1"/>
      <c r="J92" s="1"/>
      <c r="K92" s="1"/>
      <c r="L92" s="1"/>
      <c r="M92" s="1"/>
    </row>
    <row r="93" ht="15" customHeight="1">
      <c r="A93" s="1"/>
      <c r="B93" s="35" t="s">
        <v>73</v>
      </c>
      <c r="C93" s="27">
        <f>C90-Inputs!G220</f>
        <v>176</v>
      </c>
      <c r="D93" s="40">
        <f t="shared" si="27" ref="D93:H117">D90-C90</f>
        <v>474</v>
      </c>
      <c r="E93" s="1"/>
      <c r="F93" s="40">
        <f t="shared" si="31" ref="F93:F117">F90-D90</f>
        <v>24</v>
      </c>
      <c r="G93" s="40">
        <f t="shared" si="27"/>
        <v>-26</v>
      </c>
      <c r="H93" s="38">
        <f t="shared" si="27"/>
        <v>71.4859500000016</v>
      </c>
      <c r="I93" s="1"/>
      <c r="J93" s="1"/>
      <c r="K93" s="1"/>
      <c r="L93" s="1"/>
      <c r="M93" s="1"/>
    </row>
    <row r="94" ht="15" customHeight="1">
      <c r="A94" s="1"/>
      <c r="B94" s="3" t="s">
        <v>327</v>
      </c>
      <c r="C94" s="63">
        <f t="shared" si="28" ref="C94:H94">C76+C83+C90</f>
        <v>7696</v>
      </c>
      <c r="D94" s="63">
        <f t="shared" si="28"/>
        <v>8484</v>
      </c>
      <c r="E94" s="63">
        <f t="shared" si="28"/>
        <v>30923</v>
      </c>
      <c r="F94" s="63">
        <f t="shared" si="28"/>
        <v>8457</v>
      </c>
      <c r="G94" s="63">
        <f t="shared" si="28"/>
        <v>8755</v>
      </c>
      <c r="H94" s="34">
        <f t="shared" si="28"/>
        <v>8808.495200000001</v>
      </c>
      <c r="I94" s="1"/>
      <c r="J94" s="1"/>
      <c r="K94" s="1"/>
      <c r="L94" s="1"/>
      <c r="M94" s="1"/>
    </row>
    <row r="95" ht="15" customHeight="1">
      <c r="A95" s="1"/>
      <c r="B95" s="4" t="s">
        <v>328</v>
      </c>
      <c r="C95" s="39">
        <f t="shared" si="29" ref="C95:H95">C94/C34</f>
        <v>0.41767068273092367</v>
      </c>
      <c r="D95" s="39">
        <f t="shared" si="29"/>
        <v>0.4469968387776607</v>
      </c>
      <c r="E95" s="39">
        <f t="shared" si="29"/>
        <v>0.4281244375527835</v>
      </c>
      <c r="F95" s="39">
        <f t="shared" si="29"/>
        <v>0.44729465277410485</v>
      </c>
      <c r="G95" s="39">
        <f t="shared" si="29"/>
        <v>0.445842032897082</v>
      </c>
      <c r="H95" s="37">
        <f t="shared" si="29"/>
        <v>0.43919988509683455</v>
      </c>
      <c r="I95" s="1"/>
      <c r="J95" s="1"/>
      <c r="K95" s="1"/>
      <c r="L95" s="1"/>
      <c r="M95" s="1"/>
    </row>
    <row r="96" ht="15" customHeight="1">
      <c r="A96" s="1"/>
      <c r="B96" s="35" t="s">
        <v>81</v>
      </c>
      <c r="C96" s="47">
        <f>(C95-Inputs!C247)*10000</f>
        <v>103.01122740541346</v>
      </c>
      <c r="D96" s="47">
        <f>(D95-Inputs!D247)*10000</f>
        <v>194.3993791032267</v>
      </c>
      <c r="E96" s="47">
        <f>(E95-Inputs!E247)*10000</f>
        <v>146.68585303317994</v>
      </c>
      <c r="F96" s="47">
        <f>(F95-Inputs!F247)*10000</f>
        <v>208.78668805224098</v>
      </c>
      <c r="G96" s="47">
        <f>(G95-Inputs!G247)*10000</f>
        <v>253.67122502816807</v>
      </c>
      <c r="H96" s="48">
        <f t="shared" si="15"/>
        <v>215.29202365910882</v>
      </c>
      <c r="I96" s="1"/>
      <c r="J96" s="1"/>
      <c r="K96" s="1"/>
      <c r="L96" s="1"/>
      <c r="M96" s="1"/>
    </row>
    <row r="97" ht="15" customHeight="1">
      <c r="A97" s="1"/>
      <c r="B97" s="35" t="s">
        <v>82</v>
      </c>
      <c r="C97" s="47">
        <f>(C95-Inputs!G247)*10000</f>
        <v>-28.04227663341541</v>
      </c>
      <c r="D97" s="49">
        <f t="shared" si="13"/>
        <v>293.2615604673705</v>
      </c>
      <c r="E97" s="1"/>
      <c r="F97" s="49">
        <f t="shared" si="16"/>
        <v>2.9781399644412954</v>
      </c>
      <c r="G97" s="49">
        <f t="shared" si="13"/>
        <v>-14.526198770228316</v>
      </c>
      <c r="H97" s="48">
        <f t="shared" si="13"/>
        <v>-66.42147800247467</v>
      </c>
      <c r="I97" s="1"/>
      <c r="J97" s="1"/>
      <c r="K97" s="1"/>
      <c r="L97" s="1"/>
      <c r="M97" s="1"/>
    </row>
    <row r="98" ht="15" customHeight="1">
      <c r="A98" s="1"/>
      <c r="B98" s="1" t="s">
        <v>152</v>
      </c>
      <c r="C98" s="53">
        <v>1599</v>
      </c>
      <c r="D98" s="53">
        <v>1612</v>
      </c>
      <c r="E98" s="53">
        <v>6252</v>
      </c>
      <c r="F98" s="53">
        <v>1480</v>
      </c>
      <c r="G98" s="53">
        <v>1650</v>
      </c>
      <c r="H98" s="15">
        <f>'Revenue summary'!H194</f>
        <v>1759</v>
      </c>
      <c r="I98" s="1"/>
      <c r="J98" s="4" t="s">
        <v>69</v>
      </c>
      <c r="K98" s="1"/>
      <c r="L98" s="1"/>
      <c r="M98" s="1"/>
    </row>
    <row r="99" ht="15" customHeight="1">
      <c r="A99" s="1"/>
      <c r="B99" s="35" t="s">
        <v>70</v>
      </c>
      <c r="C99" s="36">
        <f>C98/Inputs!C221-1</f>
        <v>0.08775510204081627</v>
      </c>
      <c r="D99" s="36">
        <f>D98/Inputs!D221-1</f>
        <v>-0.0012391573729864103</v>
      </c>
      <c r="E99" s="36">
        <f>E98/Inputs!E221-1</f>
        <v>0.035099337748344395</v>
      </c>
      <c r="F99" s="36">
        <f>F98/Inputs!F221-1</f>
        <v>-0.004037685060565233</v>
      </c>
      <c r="G99" s="36">
        <f>G98/Inputs!G221-1</f>
        <v>0.06109324758842449</v>
      </c>
      <c r="H99" s="37">
        <f t="shared" si="7"/>
        <v>0.10006253908692941</v>
      </c>
      <c r="I99" s="1"/>
      <c r="J99" s="1"/>
      <c r="K99" s="1"/>
      <c r="L99" s="1"/>
      <c r="M99" s="1"/>
    </row>
    <row r="100" ht="15" customHeight="1">
      <c r="A100" s="1"/>
      <c r="B100" s="35" t="s">
        <v>71</v>
      </c>
      <c r="C100" s="27">
        <f>C98-Inputs!C221</f>
        <v>129</v>
      </c>
      <c r="D100" s="27">
        <f>D98-Inputs!D221</f>
        <v>-2</v>
      </c>
      <c r="E100" s="27">
        <f>E98-Inputs!E221</f>
        <v>212</v>
      </c>
      <c r="F100" s="27">
        <f>F98-Inputs!F221</f>
        <v>-6</v>
      </c>
      <c r="G100" s="27">
        <f>G98-Inputs!G221</f>
        <v>95</v>
      </c>
      <c r="H100" s="38">
        <f t="shared" si="30"/>
        <v>160</v>
      </c>
      <c r="I100" s="1"/>
      <c r="J100" s="1"/>
      <c r="K100" s="1"/>
      <c r="L100" s="1"/>
      <c r="M100" s="1"/>
    </row>
    <row r="101" ht="15" customHeight="1">
      <c r="A101" s="1"/>
      <c r="B101" s="35" t="s">
        <v>73</v>
      </c>
      <c r="C101" s="27">
        <f>C98-Inputs!G221</f>
        <v>44</v>
      </c>
      <c r="D101" s="40">
        <f t="shared" si="27"/>
        <v>13</v>
      </c>
      <c r="E101" s="1"/>
      <c r="F101" s="40">
        <f t="shared" si="31"/>
        <v>-132</v>
      </c>
      <c r="G101" s="40">
        <f t="shared" si="27"/>
        <v>170</v>
      </c>
      <c r="H101" s="38">
        <f t="shared" si="27"/>
        <v>109</v>
      </c>
      <c r="I101" s="1"/>
      <c r="J101" s="1"/>
      <c r="K101" s="1"/>
      <c r="L101" s="1"/>
      <c r="M101" s="1"/>
    </row>
    <row r="102" ht="15" customHeight="1">
      <c r="A102" s="1"/>
      <c r="B102" s="1" t="s">
        <v>329</v>
      </c>
      <c r="C102" s="53">
        <v>2239</v>
      </c>
      <c r="D102" s="53">
        <v>2505</v>
      </c>
      <c r="E102" s="53">
        <v>9016</v>
      </c>
      <c r="F102" s="53">
        <v>2482</v>
      </c>
      <c r="G102" s="53">
        <v>2344</v>
      </c>
      <c r="H102" s="32">
        <v>2380</v>
      </c>
      <c r="I102" s="1"/>
      <c r="J102" s="4" t="s">
        <v>330</v>
      </c>
      <c r="K102" s="1"/>
      <c r="L102" s="1"/>
      <c r="M102" s="1"/>
    </row>
    <row r="103" ht="15" customHeight="1">
      <c r="A103" s="1"/>
      <c r="B103" s="35" t="s">
        <v>70</v>
      </c>
      <c r="C103" s="36">
        <f>C102/Inputs!C347-1</f>
        <v>0.09272816007808693</v>
      </c>
      <c r="D103" s="36">
        <f>D102/Inputs!D347-1</f>
        <v>0.19172216936251196</v>
      </c>
      <c r="E103" s="36">
        <f>E102/Inputs!E347-1</f>
        <v>0.09978043425225658</v>
      </c>
      <c r="F103" s="36">
        <f>F102/Inputs!F347-1</f>
        <v>0.1707547169811321</v>
      </c>
      <c r="G103" s="36">
        <f>G102/Inputs!G347-1</f>
        <v>0.08921933085501865</v>
      </c>
      <c r="H103" s="37">
        <f t="shared" si="7"/>
        <v>0.06297454220634213</v>
      </c>
      <c r="I103" s="1"/>
      <c r="J103" s="1"/>
      <c r="K103" s="1"/>
      <c r="L103" s="1"/>
      <c r="M103" s="1"/>
    </row>
    <row r="104" ht="15" customHeight="1">
      <c r="A104" s="1"/>
      <c r="B104" s="35" t="s">
        <v>71</v>
      </c>
      <c r="C104" s="27">
        <f>C102-Inputs!C347</f>
        <v>190</v>
      </c>
      <c r="D104" s="27">
        <f>D102-Inputs!D347</f>
        <v>403</v>
      </c>
      <c r="E104" s="27">
        <f>E102-Inputs!E347</f>
        <v>818</v>
      </c>
      <c r="F104" s="27">
        <f>F102-Inputs!F347</f>
        <v>362</v>
      </c>
      <c r="G104" s="27">
        <f>G102-Inputs!G347</f>
        <v>192</v>
      </c>
      <c r="H104" s="38">
        <f t="shared" si="30"/>
        <v>141</v>
      </c>
      <c r="I104" s="1"/>
      <c r="J104" s="1"/>
      <c r="K104" s="1"/>
      <c r="L104" s="1"/>
      <c r="M104" s="1"/>
    </row>
    <row r="105" ht="15" customHeight="1">
      <c r="A105" s="1"/>
      <c r="B105" s="35" t="s">
        <v>73</v>
      </c>
      <c r="C105" s="27">
        <f>C102-Inputs!G347</f>
        <v>87</v>
      </c>
      <c r="D105" s="40">
        <f t="shared" si="27"/>
        <v>266</v>
      </c>
      <c r="E105" s="1"/>
      <c r="F105" s="40">
        <f t="shared" si="31"/>
        <v>-23</v>
      </c>
      <c r="G105" s="40">
        <f t="shared" si="27"/>
        <v>-138</v>
      </c>
      <c r="H105" s="38">
        <f t="shared" si="27"/>
        <v>36</v>
      </c>
      <c r="I105" s="1"/>
      <c r="J105" s="1"/>
      <c r="K105" s="1"/>
      <c r="L105" s="1"/>
      <c r="M105" s="1"/>
    </row>
    <row r="106" ht="15" customHeight="1">
      <c r="A106" s="1"/>
      <c r="B106" s="1" t="s">
        <v>331</v>
      </c>
      <c r="C106" s="53">
        <v>623</v>
      </c>
      <c r="D106" s="53">
        <v>669</v>
      </c>
      <c r="E106" s="53">
        <v>2424</v>
      </c>
      <c r="F106" s="53">
        <v>545</v>
      </c>
      <c r="G106" s="53">
        <v>622</v>
      </c>
      <c r="H106" s="32">
        <v>650</v>
      </c>
      <c r="I106" s="1"/>
      <c r="J106" s="4" t="s">
        <v>332</v>
      </c>
      <c r="K106" s="1"/>
      <c r="L106" s="1"/>
      <c r="M106" s="1"/>
    </row>
    <row r="107" ht="15" customHeight="1">
      <c r="A107" s="1"/>
      <c r="B107" s="35" t="s">
        <v>70</v>
      </c>
      <c r="C107" s="36">
        <f>C106/Inputs!C348-1</f>
        <v>0.07599309153713296</v>
      </c>
      <c r="D107" s="36">
        <f>D106/Inputs!D348-1</f>
        <v>-0.04154727793696278</v>
      </c>
      <c r="E107" s="36">
        <f>E106/Inputs!E348-1</f>
        <v>0.06596306068601576</v>
      </c>
      <c r="F107" s="36">
        <f>F106/Inputs!F348-1</f>
        <v>0.007393715341959428</v>
      </c>
      <c r="G107" s="36">
        <f>G106/Inputs!G348-1</f>
        <v>0.05245346869712342</v>
      </c>
      <c r="H107" s="37">
        <f t="shared" si="7"/>
        <v>0.043338683788122</v>
      </c>
      <c r="I107" s="1"/>
      <c r="J107" s="1"/>
      <c r="K107" s="1"/>
      <c r="L107" s="1"/>
      <c r="M107" s="1"/>
    </row>
    <row r="108" ht="15" customHeight="1">
      <c r="A108" s="1"/>
      <c r="B108" s="35" t="s">
        <v>71</v>
      </c>
      <c r="C108" s="27">
        <f>C106-Inputs!C348</f>
        <v>44</v>
      </c>
      <c r="D108" s="27">
        <f>D106-Inputs!D348</f>
        <v>-29</v>
      </c>
      <c r="E108" s="27">
        <f>E106-Inputs!E348</f>
        <v>150</v>
      </c>
      <c r="F108" s="27">
        <f>F106-Inputs!F348</f>
        <v>4</v>
      </c>
      <c r="G108" s="27">
        <f>G106-Inputs!G348</f>
        <v>31</v>
      </c>
      <c r="H108" s="38">
        <f t="shared" si="30"/>
        <v>27</v>
      </c>
      <c r="I108" s="1"/>
      <c r="J108" s="1"/>
      <c r="K108" s="1"/>
      <c r="L108" s="1"/>
      <c r="M108" s="1"/>
    </row>
    <row r="109" ht="15" customHeight="1">
      <c r="A109" s="1"/>
      <c r="B109" s="35" t="s">
        <v>73</v>
      </c>
      <c r="C109" s="27">
        <f>C106-Inputs!G348</f>
        <v>32</v>
      </c>
      <c r="D109" s="40">
        <f t="shared" si="27"/>
        <v>46</v>
      </c>
      <c r="E109" s="1"/>
      <c r="F109" s="40">
        <f t="shared" si="31"/>
        <v>-124</v>
      </c>
      <c r="G109" s="40">
        <f t="shared" si="27"/>
        <v>77</v>
      </c>
      <c r="H109" s="38">
        <f t="shared" si="27"/>
        <v>28</v>
      </c>
      <c r="I109" s="1"/>
      <c r="J109" s="1"/>
      <c r="K109" s="1"/>
      <c r="L109" s="1"/>
      <c r="M109" s="1"/>
    </row>
    <row r="110" ht="15" customHeight="1">
      <c r="A110" s="1"/>
      <c r="B110" s="1" t="s">
        <v>333</v>
      </c>
      <c r="C110" s="53">
        <v>751</v>
      </c>
      <c r="D110" s="53">
        <v>810</v>
      </c>
      <c r="E110" s="53">
        <v>2986</v>
      </c>
      <c r="F110" s="53">
        <v>767</v>
      </c>
      <c r="G110" s="53">
        <v>817</v>
      </c>
      <c r="H110" s="32">
        <v>840</v>
      </c>
      <c r="I110" s="1"/>
      <c r="J110" s="4" t="s">
        <v>334</v>
      </c>
      <c r="K110" s="1"/>
      <c r="L110" s="1"/>
      <c r="M110" s="1"/>
    </row>
    <row r="111" ht="15" customHeight="1">
      <c r="A111" s="1"/>
      <c r="B111" s="35" t="s">
        <v>70</v>
      </c>
      <c r="C111" s="36">
        <f>C110/Inputs!C349-1</f>
        <v>0.035862068965517135</v>
      </c>
      <c r="D111" s="36">
        <f>D110/Inputs!D349-1</f>
        <v>0.006211180124223503</v>
      </c>
      <c r="E111" s="36">
        <f>E110/Inputs!E349-1</f>
        <v>0.03393351800554023</v>
      </c>
      <c r="F111" s="36">
        <f>F110/Inputs!F349-1</f>
        <v>0.08794326241134742</v>
      </c>
      <c r="G111" s="36">
        <f>G110/Inputs!G349-1</f>
        <v>0.1347222222222222</v>
      </c>
      <c r="H111" s="37">
        <f t="shared" si="7"/>
        <v>0.118508655126498</v>
      </c>
      <c r="I111" s="1"/>
      <c r="J111" s="1"/>
      <c r="K111" s="1"/>
      <c r="L111" s="1"/>
      <c r="M111" s="1"/>
    </row>
    <row r="112" ht="15" customHeight="1">
      <c r="A112" s="1"/>
      <c r="B112" s="35" t="s">
        <v>71</v>
      </c>
      <c r="C112" s="27">
        <f>C110-Inputs!C349</f>
        <v>26</v>
      </c>
      <c r="D112" s="27">
        <f>D110-Inputs!D349</f>
        <v>5</v>
      </c>
      <c r="E112" s="27">
        <f>E110-Inputs!E349</f>
        <v>98</v>
      </c>
      <c r="F112" s="27">
        <f>F110-Inputs!F349</f>
        <v>62</v>
      </c>
      <c r="G112" s="27">
        <f>G110-Inputs!G349</f>
        <v>97</v>
      </c>
      <c r="H112" s="38">
        <f t="shared" si="30"/>
        <v>89</v>
      </c>
      <c r="I112" s="1"/>
      <c r="J112" s="1"/>
      <c r="K112" s="1"/>
      <c r="L112" s="1"/>
      <c r="M112" s="1"/>
    </row>
    <row r="113" ht="15" customHeight="1">
      <c r="A113" s="1"/>
      <c r="B113" s="35" t="s">
        <v>73</v>
      </c>
      <c r="C113" s="27">
        <f>C110-Inputs!G349</f>
        <v>31</v>
      </c>
      <c r="D113" s="40">
        <f t="shared" si="27"/>
        <v>59</v>
      </c>
      <c r="E113" s="1"/>
      <c r="F113" s="40">
        <f t="shared" si="31"/>
        <v>-43</v>
      </c>
      <c r="G113" s="40">
        <f t="shared" si="27"/>
        <v>50</v>
      </c>
      <c r="H113" s="38">
        <f t="shared" si="27"/>
        <v>23</v>
      </c>
      <c r="I113" s="1"/>
      <c r="J113" s="1"/>
      <c r="K113" s="1"/>
      <c r="L113" s="1"/>
      <c r="M113" s="1"/>
    </row>
    <row r="114" ht="15" customHeight="1">
      <c r="A114" s="1"/>
      <c r="B114" s="1" t="s">
        <v>335</v>
      </c>
      <c r="C114" s="53">
        <v>406</v>
      </c>
      <c r="D114" s="53">
        <v>396</v>
      </c>
      <c r="E114" s="53">
        <v>1577</v>
      </c>
      <c r="F114" s="53">
        <v>147</v>
      </c>
      <c r="G114" s="53">
        <v>294</v>
      </c>
      <c r="H114" s="15">
        <f>'Revenue summary'!H195-H102-H106-H110</f>
        <v>330</v>
      </c>
      <c r="I114" s="1"/>
      <c r="J114" s="4" t="s">
        <v>336</v>
      </c>
      <c r="K114" s="1"/>
      <c r="L114" s="1"/>
      <c r="M114" s="1"/>
    </row>
    <row r="115" ht="15" customHeight="1">
      <c r="A115" s="1"/>
      <c r="B115" s="35" t="s">
        <v>70</v>
      </c>
      <c r="C115" s="36">
        <f>C114/Inputs!C350-1</f>
        <v>-0.1470588235294118</v>
      </c>
      <c r="D115" s="36">
        <f>D114/Inputs!D350-1</f>
        <v>-0.3015873015873016</v>
      </c>
      <c r="E115" s="36">
        <f>E114/Inputs!E350-1</f>
        <v>0.31198003327787016</v>
      </c>
      <c r="F115" s="36">
        <f>F114/Inputs!F350-1</f>
        <v>-0.6325000000000001</v>
      </c>
      <c r="G115" s="36">
        <f>G114/Inputs!G350-1</f>
        <v>-0.21599999999999997</v>
      </c>
      <c r="H115" s="37">
        <f t="shared" si="7"/>
        <v>-0.18719211822660098</v>
      </c>
      <c r="I115" s="1"/>
      <c r="J115" s="1"/>
      <c r="K115" s="1"/>
      <c r="L115" s="1"/>
      <c r="M115" s="1"/>
    </row>
    <row r="116" ht="15" customHeight="1">
      <c r="A116" s="1"/>
      <c r="B116" s="35" t="s">
        <v>71</v>
      </c>
      <c r="C116" s="27">
        <f>C114-Inputs!C350</f>
        <v>-70</v>
      </c>
      <c r="D116" s="27">
        <f>D114-Inputs!D350</f>
        <v>-171</v>
      </c>
      <c r="E116" s="27">
        <f>E114-Inputs!E350</f>
        <v>375</v>
      </c>
      <c r="F116" s="27">
        <f>F114-Inputs!F350</f>
        <v>-253</v>
      </c>
      <c r="G116" s="27">
        <f>G114-Inputs!G350</f>
        <v>-81</v>
      </c>
      <c r="H116" s="38">
        <f t="shared" si="30"/>
        <v>-76</v>
      </c>
      <c r="I116" s="1"/>
      <c r="J116" s="1"/>
      <c r="K116" s="1"/>
      <c r="L116" s="1"/>
      <c r="M116" s="1"/>
    </row>
    <row r="117" ht="15" customHeight="1">
      <c r="A117" s="1"/>
      <c r="B117" s="35" t="s">
        <v>73</v>
      </c>
      <c r="C117" s="27">
        <f>C114-Inputs!G350</f>
        <v>31</v>
      </c>
      <c r="D117" s="40">
        <f t="shared" si="27"/>
        <v>-10</v>
      </c>
      <c r="E117" s="1"/>
      <c r="F117" s="40">
        <f t="shared" si="31"/>
        <v>-249</v>
      </c>
      <c r="G117" s="40">
        <f t="shared" si="27"/>
        <v>147</v>
      </c>
      <c r="H117" s="38">
        <f t="shared" si="27"/>
        <v>36</v>
      </c>
      <c r="I117" s="1"/>
      <c r="J117" s="1"/>
      <c r="K117" s="1"/>
      <c r="L117" s="1"/>
      <c r="M117" s="1"/>
    </row>
    <row r="118" ht="15" customHeight="1">
      <c r="A118" s="1"/>
      <c r="B118" s="1" t="s">
        <v>337</v>
      </c>
      <c r="C118" s="1"/>
      <c r="D118" s="1"/>
      <c r="E118" s="1"/>
      <c r="F118" s="1"/>
      <c r="G118" s="1"/>
      <c r="H118" s="32">
        <v>-975</v>
      </c>
      <c r="I118" s="1"/>
      <c r="J118" s="4" t="s">
        <v>338</v>
      </c>
      <c r="K118" s="1"/>
      <c r="L118" s="1"/>
      <c r="M118" s="1"/>
    </row>
    <row r="119" ht="15" customHeight="1">
      <c r="A119" s="1"/>
      <c r="B119" s="1" t="s">
        <v>339</v>
      </c>
      <c r="C119" s="1"/>
      <c r="D119" s="1"/>
      <c r="E119" s="1"/>
      <c r="F119" s="1"/>
      <c r="G119" s="1"/>
      <c r="H119" s="32">
        <v>175</v>
      </c>
      <c r="I119" s="1"/>
      <c r="J119" s="4" t="s">
        <v>340</v>
      </c>
      <c r="K119" s="1"/>
      <c r="L119" s="1"/>
      <c r="M119" s="1"/>
    </row>
    <row r="120" ht="15" customHeight="1">
      <c r="A120" s="1"/>
      <c r="B120" s="3" t="s">
        <v>341</v>
      </c>
      <c r="C120" s="63">
        <f t="shared" si="32" ref="C120:H120">C114+C118+C119</f>
        <v>406</v>
      </c>
      <c r="D120" s="63">
        <f t="shared" si="32"/>
        <v>396</v>
      </c>
      <c r="E120" s="63">
        <f t="shared" si="32"/>
        <v>1577</v>
      </c>
      <c r="F120" s="63">
        <f t="shared" si="32"/>
        <v>147</v>
      </c>
      <c r="G120" s="63">
        <f t="shared" si="32"/>
        <v>294</v>
      </c>
      <c r="H120" s="34">
        <f t="shared" si="32"/>
        <v>-470</v>
      </c>
      <c r="I120" s="1"/>
      <c r="J120" s="1"/>
      <c r="K120" s="1"/>
      <c r="L120" s="1"/>
      <c r="M120" s="1"/>
    </row>
    <row r="121" ht="15" customHeight="1">
      <c r="A121" s="1"/>
      <c r="B121" s="3" t="s">
        <v>342</v>
      </c>
      <c r="C121" s="63">
        <f t="shared" si="33" ref="C121:H121">C102+C106+C110+C114</f>
        <v>4019</v>
      </c>
      <c r="D121" s="63">
        <f t="shared" si="33"/>
        <v>4380</v>
      </c>
      <c r="E121" s="63">
        <f t="shared" si="33"/>
        <v>16003</v>
      </c>
      <c r="F121" s="63">
        <f t="shared" si="33"/>
        <v>3941</v>
      </c>
      <c r="G121" s="63">
        <f t="shared" si="33"/>
        <v>4077</v>
      </c>
      <c r="H121" s="34">
        <f t="shared" si="33"/>
        <v>4200</v>
      </c>
      <c r="I121" s="1"/>
      <c r="J121" s="1"/>
      <c r="K121" s="1"/>
      <c r="L121" s="1"/>
      <c r="M121" s="1"/>
    </row>
    <row r="122" ht="15" customHeight="1">
      <c r="A122" s="1"/>
      <c r="B122" s="3" t="s">
        <v>343</v>
      </c>
      <c r="C122" s="63">
        <f t="shared" si="34" ref="C122:H122">C102+C106+C110+C120</f>
        <v>4019</v>
      </c>
      <c r="D122" s="63">
        <f t="shared" si="34"/>
        <v>4380</v>
      </c>
      <c r="E122" s="63">
        <f t="shared" si="34"/>
        <v>16003</v>
      </c>
      <c r="F122" s="63">
        <f t="shared" si="34"/>
        <v>3941</v>
      </c>
      <c r="G122" s="63">
        <f t="shared" si="34"/>
        <v>4077</v>
      </c>
      <c r="H122" s="34">
        <f t="shared" si="34"/>
        <v>3400</v>
      </c>
      <c r="I122" s="1"/>
      <c r="J122" s="1"/>
      <c r="K122" s="1"/>
      <c r="L122" s="1"/>
      <c r="M122" s="1"/>
    </row>
    <row r="123" ht="15" customHeight="1">
      <c r="A123" s="1"/>
      <c r="B123" s="35" t="s">
        <v>70</v>
      </c>
      <c r="C123" s="36">
        <f>C122/Inputs!C222-1</f>
        <v>0.049621311047270744</v>
      </c>
      <c r="D123" s="36">
        <f>D122/Inputs!D222-1</f>
        <v>0.04985618408437209</v>
      </c>
      <c r="E123" s="36">
        <f>E122/Inputs!E222-1</f>
        <v>0.09895618733690426</v>
      </c>
      <c r="F123" s="36">
        <f>F122/Inputs!F222-1</f>
        <v>0.04646840148698894</v>
      </c>
      <c r="G123" s="36">
        <f>G122/Inputs!G222-1</f>
        <v>0.06227201667535165</v>
      </c>
      <c r="H123" s="37">
        <f t="shared" si="7"/>
        <v>-0.15401841254043291</v>
      </c>
      <c r="I123" s="1"/>
      <c r="J123" s="1"/>
      <c r="K123" s="1"/>
      <c r="L123" s="1"/>
      <c r="M123" s="1"/>
    </row>
    <row r="124" ht="15" customHeight="1">
      <c r="A124" s="1"/>
      <c r="B124" s="3" t="s">
        <v>225</v>
      </c>
      <c r="C124" s="63">
        <f t="shared" si="35" ref="C124:H124">C94+C98+C122</f>
        <v>13314</v>
      </c>
      <c r="D124" s="63">
        <f t="shared" si="35"/>
        <v>14476</v>
      </c>
      <c r="E124" s="63">
        <f t="shared" si="35"/>
        <v>53178</v>
      </c>
      <c r="F124" s="63">
        <f t="shared" si="35"/>
        <v>13878</v>
      </c>
      <c r="G124" s="63">
        <f t="shared" si="35"/>
        <v>14482</v>
      </c>
      <c r="H124" s="34">
        <f t="shared" si="35"/>
        <v>13967.495200000001</v>
      </c>
      <c r="I124" s="1"/>
      <c r="J124" s="1"/>
      <c r="K124" s="1"/>
      <c r="L124" s="1"/>
      <c r="M124" s="1"/>
    </row>
    <row r="125" ht="15" customHeight="1">
      <c r="A125" s="1"/>
      <c r="B125" s="35" t="s">
        <v>70</v>
      </c>
      <c r="C125" s="36">
        <f>C124/Inputs!C223-1</f>
        <v>0.10251738986419334</v>
      </c>
      <c r="D125" s="36">
        <f>D124/Inputs!D223-1</f>
        <v>0.10242936562333416</v>
      </c>
      <c r="E125" s="36">
        <f>E124/Inputs!E223-1</f>
        <v>0.11090684994464062</v>
      </c>
      <c r="F125" s="36">
        <f>F124/Inputs!F223-1</f>
        <v>0.11139585168575317</v>
      </c>
      <c r="G125" s="36">
        <f>G124/Inputs!G223-1</f>
        <v>0.12254863964033791</v>
      </c>
      <c r="H125" s="37">
        <f t="shared" si="7"/>
        <v>0.04908331080066097</v>
      </c>
      <c r="I125" s="1"/>
      <c r="J125" s="1"/>
      <c r="K125" s="1"/>
      <c r="L125" s="1"/>
      <c r="M125" s="1"/>
    </row>
    <row r="126" ht="15" customHeight="1">
      <c r="A126" s="1"/>
      <c r="B126" s="1"/>
      <c r="C126" s="1"/>
      <c r="D126" s="1"/>
      <c r="E126" s="1"/>
      <c r="F126" s="1"/>
      <c r="G126" s="1"/>
      <c r="H126" s="29"/>
      <c r="I126" s="1"/>
      <c r="J126" s="1"/>
      <c r="K126" s="1"/>
      <c r="L126" s="1"/>
      <c r="M126" s="1"/>
    </row>
    <row r="127" ht="15" customHeight="1">
      <c r="A127" s="1"/>
      <c r="B127" s="3" t="s">
        <v>344</v>
      </c>
      <c r="C127" s="63">
        <f t="shared" si="36" ref="C127:H127">C73-C124</f>
        <v>3825</v>
      </c>
      <c r="D127" s="63">
        <f t="shared" si="36"/>
        <v>3090</v>
      </c>
      <c r="E127" s="63">
        <f t="shared" si="36"/>
        <v>13795</v>
      </c>
      <c r="F127" s="63">
        <f t="shared" si="36"/>
        <v>3778</v>
      </c>
      <c r="G127" s="63">
        <f t="shared" si="36"/>
        <v>4071</v>
      </c>
      <c r="H127" s="34">
        <f t="shared" si="36"/>
        <v>4801.559204109588</v>
      </c>
      <c r="I127" s="1"/>
      <c r="J127" s="1"/>
      <c r="K127" s="1"/>
      <c r="L127" s="1"/>
      <c r="M127" s="1"/>
    </row>
    <row r="128" ht="15" customHeight="1">
      <c r="A128" s="1"/>
      <c r="B128" s="35" t="s">
        <v>70</v>
      </c>
      <c r="C128" s="36">
        <f>C127/Inputs!C224-1</f>
        <v>0.1938202247191012</v>
      </c>
      <c r="D128" s="36">
        <f>D127/Inputs!D224-1</f>
        <v>0.12119013062409278</v>
      </c>
      <c r="E128" s="36">
        <f>E127/Inputs!E224-1</f>
        <v>0.06979449398991866</v>
      </c>
      <c r="F128" s="36">
        <f>F127/Inputs!F224-1</f>
        <v>0.13453453453453457</v>
      </c>
      <c r="G128" s="36">
        <f>G127/Inputs!G224-1</f>
        <v>0.14676056338028176</v>
      </c>
      <c r="H128" s="37">
        <f t="shared" si="7"/>
        <v>0.25530959584564394</v>
      </c>
      <c r="I128" s="1"/>
      <c r="J128" s="1"/>
      <c r="K128" s="1"/>
      <c r="L128" s="1"/>
      <c r="M128" s="1"/>
    </row>
    <row r="129" ht="15" customHeight="1">
      <c r="A129" s="1"/>
      <c r="B129" s="4" t="s">
        <v>345</v>
      </c>
      <c r="C129" s="39">
        <f t="shared" si="37" ref="C129:H129">C127/C34</f>
        <v>0.20758710517746662</v>
      </c>
      <c r="D129" s="39">
        <f t="shared" si="37"/>
        <v>0.16280295047418336</v>
      </c>
      <c r="E129" s="39">
        <f t="shared" si="37"/>
        <v>0.1909897686524803</v>
      </c>
      <c r="F129" s="39">
        <f t="shared" si="37"/>
        <v>0.19982017242291214</v>
      </c>
      <c r="G129" s="39">
        <f t="shared" si="37"/>
        <v>0.207312725976473</v>
      </c>
      <c r="H129" s="37">
        <f t="shared" si="37"/>
        <v>0.2394102741556332</v>
      </c>
      <c r="I129" s="1"/>
      <c r="J129" s="1"/>
      <c r="K129" s="1"/>
      <c r="L129" s="1"/>
      <c r="M129" s="1"/>
    </row>
    <row r="130" ht="15" customHeight="1">
      <c r="A130" s="1"/>
      <c r="B130" s="35" t="s">
        <v>81</v>
      </c>
      <c r="C130" s="47">
        <f>(C129-Inputs!C248)*10000</f>
        <v>149.927315299552</v>
      </c>
      <c r="D130" s="47">
        <f>(D129-Inputs!D248)*10000</f>
        <v>23.745204142264498</v>
      </c>
      <c r="E130" s="47">
        <f>(E129-Inputs!E248)*10000</f>
        <v>-45.40110496559113</v>
      </c>
      <c r="F130" s="47">
        <f>(F129-Inputs!F248)*10000</f>
        <v>35.56837714360245</v>
      </c>
      <c r="G130" s="47">
        <f>(G129-Inputs!G248)*10000</f>
        <v>85.00001962136072</v>
      </c>
      <c r="H130" s="48">
        <f t="shared" si="15"/>
        <v>318.23168978166586</v>
      </c>
      <c r="I130" s="1"/>
      <c r="J130" s="1"/>
      <c r="K130" s="1"/>
      <c r="L130" s="1"/>
      <c r="M130" s="1"/>
    </row>
    <row r="131" ht="15" customHeight="1">
      <c r="A131" s="1"/>
      <c r="B131" s="35" t="s">
        <v>82</v>
      </c>
      <c r="C131" s="47">
        <f>(C129-Inputs!G248)*10000</f>
        <v>87.74381163129702</v>
      </c>
      <c r="D131" s="49">
        <f t="shared" si="13"/>
        <v>-447.8415470328326</v>
      </c>
      <c r="E131" s="1"/>
      <c r="F131" s="49">
        <f t="shared" si="16"/>
        <v>370.1722194872878</v>
      </c>
      <c r="G131" s="49">
        <f t="shared" si="13"/>
        <v>74.92553553560849</v>
      </c>
      <c r="H131" s="48">
        <f t="shared" si="13"/>
        <v>320.9754817916022</v>
      </c>
      <c r="I131" s="1"/>
      <c r="J131" s="1"/>
      <c r="K131" s="1"/>
      <c r="L131" s="1"/>
      <c r="M131" s="1"/>
    </row>
    <row r="132" ht="15" customHeight="1">
      <c r="A132" s="1"/>
      <c r="B132" s="1" t="s">
        <v>346</v>
      </c>
      <c r="C132" s="17">
        <f t="shared" si="38" ref="C132:H132">C127+C118+C119</f>
        <v>3825</v>
      </c>
      <c r="D132" s="17">
        <f t="shared" si="38"/>
        <v>3090</v>
      </c>
      <c r="E132" s="17">
        <f t="shared" si="38"/>
        <v>13795</v>
      </c>
      <c r="F132" s="17">
        <f t="shared" si="38"/>
        <v>3778</v>
      </c>
      <c r="G132" s="17">
        <f t="shared" si="38"/>
        <v>4071</v>
      </c>
      <c r="H132" s="52">
        <f t="shared" si="38"/>
        <v>4001.559204109588</v>
      </c>
      <c r="I132" s="1"/>
      <c r="J132" s="1"/>
      <c r="K132" s="1"/>
      <c r="L132" s="1"/>
      <c r="M132" s="1"/>
    </row>
    <row r="133" ht="15" customHeight="1">
      <c r="A133" s="1"/>
      <c r="B133" s="4" t="s">
        <v>347</v>
      </c>
      <c r="C133" s="39">
        <f t="shared" si="39" ref="C133:G133">C140/C127</f>
        <v>0.24130718954248365</v>
      </c>
      <c r="D133" s="39">
        <f t="shared" si="39"/>
        <v>0.20323624595469256</v>
      </c>
      <c r="E133" s="39">
        <f t="shared" si="39"/>
        <v>0.21471547662196447</v>
      </c>
      <c r="F133" s="39">
        <f t="shared" si="39"/>
        <v>0.21360508205399684</v>
      </c>
      <c r="G133" s="39">
        <f t="shared" si="39"/>
        <v>0.2360599361336281</v>
      </c>
      <c r="H133" s="66">
        <v>0.23</v>
      </c>
      <c r="I133" s="1"/>
      <c r="J133" s="4" t="s">
        <v>348</v>
      </c>
      <c r="K133" s="1"/>
      <c r="L133" s="1"/>
      <c r="M133" s="1"/>
    </row>
    <row r="134" ht="15" customHeight="1">
      <c r="A134" s="1"/>
      <c r="B134" s="35" t="s">
        <v>81</v>
      </c>
      <c r="C134" s="47">
        <f>(C133-Inputs!C249)*10000</f>
        <v>237.666152603363</v>
      </c>
      <c r="D134" s="47">
        <f>(D133-Inputs!D249)*10000</f>
        <v>-93.90749691171068</v>
      </c>
      <c r="E134" s="47">
        <f>(E133-Inputs!E249)*10000</f>
        <v>2.13731759614727</v>
      </c>
      <c r="F134" s="47">
        <f>(F133-Inputs!F249)*10000</f>
        <v>-104.18941970027157</v>
      </c>
      <c r="G134" s="47">
        <f>(G133-Inputs!G249)*10000</f>
        <v>487.35992471656306</v>
      </c>
      <c r="H134" s="48">
        <f t="shared" si="15"/>
        <v>-113.07189542483637</v>
      </c>
      <c r="I134" s="1"/>
      <c r="J134" s="1"/>
      <c r="K134" s="1"/>
      <c r="L134" s="1"/>
      <c r="M134" s="1"/>
    </row>
    <row r="135" ht="15" customHeight="1">
      <c r="A135" s="1"/>
      <c r="B135" s="35" t="s">
        <v>82</v>
      </c>
      <c r="C135" s="47">
        <f>(C133-Inputs!G249)*10000</f>
        <v>539.8324588051184</v>
      </c>
      <c r="D135" s="49">
        <f t="shared" si="13"/>
        <v>-380.7094358779109</v>
      </c>
      <c r="E135" s="1"/>
      <c r="F135" s="49">
        <f t="shared" si="16"/>
        <v>103.68836099304279</v>
      </c>
      <c r="G135" s="49">
        <f t="shared" si="13"/>
        <v>224.5485407963127</v>
      </c>
      <c r="H135" s="48">
        <f t="shared" si="13"/>
        <v>-60.599361336280964</v>
      </c>
      <c r="I135" s="1"/>
      <c r="J135" s="1"/>
      <c r="K135" s="1"/>
      <c r="L135" s="1"/>
      <c r="M135" s="1"/>
    </row>
    <row r="136" ht="15" customHeight="1">
      <c r="A136" s="1"/>
      <c r="B136" s="1" t="s">
        <v>349</v>
      </c>
      <c r="C136" s="1"/>
      <c r="D136" s="1"/>
      <c r="E136" s="1"/>
      <c r="F136" s="1"/>
      <c r="G136" s="1"/>
      <c r="H136" s="52">
        <f>H132*H133</f>
        <v>920.3586169452052</v>
      </c>
      <c r="I136" s="1"/>
      <c r="J136" s="1"/>
      <c r="K136" s="1"/>
      <c r="L136" s="1"/>
      <c r="M136" s="1"/>
    </row>
    <row r="137" ht="15" customHeight="1">
      <c r="A137" s="1"/>
      <c r="B137" s="4" t="s">
        <v>350</v>
      </c>
      <c r="C137" s="1"/>
      <c r="D137" s="1"/>
      <c r="E137" s="1"/>
      <c r="F137" s="1"/>
      <c r="G137" s="1"/>
      <c r="H137" s="66">
        <v>0.23</v>
      </c>
      <c r="I137" s="1"/>
      <c r="J137" s="4" t="s">
        <v>351</v>
      </c>
      <c r="K137" s="1"/>
      <c r="L137" s="1"/>
      <c r="M137" s="1"/>
    </row>
    <row r="138" ht="15" customHeight="1">
      <c r="A138" s="1"/>
      <c r="B138" s="1" t="s">
        <v>352</v>
      </c>
      <c r="C138" s="1"/>
      <c r="D138" s="1"/>
      <c r="E138" s="1"/>
      <c r="F138" s="1"/>
      <c r="G138" s="1"/>
      <c r="H138" s="52">
        <f>-H118*H137</f>
        <v>224.25</v>
      </c>
      <c r="I138" s="1"/>
      <c r="J138" s="1"/>
      <c r="K138" s="1"/>
      <c r="L138" s="1"/>
      <c r="M138" s="1"/>
    </row>
    <row r="139" ht="15" customHeight="1">
      <c r="A139" s="1"/>
      <c r="B139" s="1" t="s">
        <v>353</v>
      </c>
      <c r="C139" s="1"/>
      <c r="D139" s="1"/>
      <c r="E139" s="1"/>
      <c r="F139" s="1"/>
      <c r="G139" s="1"/>
      <c r="H139" s="32">
        <v>0</v>
      </c>
      <c r="I139" s="1"/>
      <c r="J139" s="4" t="s">
        <v>354</v>
      </c>
      <c r="K139" s="1"/>
      <c r="L139" s="1"/>
      <c r="M139" s="1"/>
    </row>
    <row r="140" ht="15" customHeight="1">
      <c r="A140" s="1"/>
      <c r="B140" s="1" t="s">
        <v>355</v>
      </c>
      <c r="C140" s="53">
        <v>923</v>
      </c>
      <c r="D140" s="53">
        <v>628</v>
      </c>
      <c r="E140" s="53">
        <v>2962</v>
      </c>
      <c r="F140" s="53">
        <v>807</v>
      </c>
      <c r="G140" s="53">
        <v>961</v>
      </c>
      <c r="H140" s="52">
        <f>H136+H138-H139</f>
        <v>1144.608616945205</v>
      </c>
      <c r="I140" s="1"/>
      <c r="J140" s="4" t="s">
        <v>69</v>
      </c>
      <c r="K140" s="1"/>
      <c r="L140" s="1"/>
      <c r="M140" s="1"/>
    </row>
    <row r="141" ht="15" customHeight="1">
      <c r="A141" s="1"/>
      <c r="B141" s="4" t="s">
        <v>356</v>
      </c>
      <c r="C141" s="39">
        <f t="shared" si="40" ref="C141:H141">C140/C127</f>
        <v>0.24130718954248365</v>
      </c>
      <c r="D141" s="39">
        <f t="shared" si="40"/>
        <v>0.20323624595469256</v>
      </c>
      <c r="E141" s="39">
        <f t="shared" si="40"/>
        <v>0.21471547662196447</v>
      </c>
      <c r="F141" s="39">
        <f t="shared" si="40"/>
        <v>0.21360508205399684</v>
      </c>
      <c r="G141" s="39">
        <f t="shared" si="40"/>
        <v>0.2360599361336281</v>
      </c>
      <c r="H141" s="37">
        <f t="shared" si="40"/>
        <v>0.2383826936811589</v>
      </c>
      <c r="I141" s="1"/>
      <c r="J141" s="1"/>
      <c r="K141" s="1"/>
      <c r="L141" s="1"/>
      <c r="M141" s="1"/>
    </row>
    <row r="142" ht="15" customHeight="1">
      <c r="A142" s="1"/>
      <c r="B142" s="35" t="s">
        <v>81</v>
      </c>
      <c r="C142" s="47">
        <f>(C141-Inputs!C249)*10000</f>
        <v>237.666152603363</v>
      </c>
      <c r="D142" s="47">
        <f>(D141-Inputs!D249)*10000</f>
        <v>-93.90749691171068</v>
      </c>
      <c r="E142" s="47">
        <f>(E141-Inputs!E249)*10000</f>
        <v>2.13731759614727</v>
      </c>
      <c r="F142" s="47">
        <f>(F141-Inputs!F249)*10000</f>
        <v>-104.18941970027157</v>
      </c>
      <c r="G142" s="47">
        <f>(G141-Inputs!G249)*10000</f>
        <v>487.35992471656306</v>
      </c>
      <c r="H142" s="48">
        <f t="shared" si="15"/>
        <v>-29.24495861324733</v>
      </c>
      <c r="I142" s="1"/>
      <c r="J142" s="1"/>
      <c r="K142" s="1"/>
      <c r="L142" s="1"/>
      <c r="M142" s="1"/>
    </row>
    <row r="143" ht="15" customHeight="1">
      <c r="A143" s="1"/>
      <c r="B143" s="35" t="s">
        <v>82</v>
      </c>
      <c r="C143" s="47">
        <f>(C141-Inputs!G249)*10000</f>
        <v>539.8324588051184</v>
      </c>
      <c r="D143" s="49">
        <f t="shared" si="13"/>
        <v>-380.7094358779109</v>
      </c>
      <c r="E143" s="1"/>
      <c r="F143" s="49">
        <f t="shared" si="16"/>
        <v>103.68836099304279</v>
      </c>
      <c r="G143" s="49">
        <f t="shared" si="13"/>
        <v>224.5485407963127</v>
      </c>
      <c r="H143" s="48">
        <f t="shared" si="13"/>
        <v>23.227575475308072</v>
      </c>
      <c r="I143" s="1"/>
      <c r="J143" s="1"/>
      <c r="K143" s="1"/>
      <c r="L143" s="1"/>
      <c r="M143" s="1"/>
    </row>
    <row r="144" ht="15" customHeight="1">
      <c r="A144" s="1"/>
      <c r="B144" s="3" t="s">
        <v>357</v>
      </c>
      <c r="C144" s="63">
        <f t="shared" si="41" ref="C144:H144">C127-C140</f>
        <v>2902</v>
      </c>
      <c r="D144" s="63">
        <f t="shared" si="41"/>
        <v>2462</v>
      </c>
      <c r="E144" s="63">
        <f t="shared" si="41"/>
        <v>10833</v>
      </c>
      <c r="F144" s="63">
        <f t="shared" si="41"/>
        <v>2971</v>
      </c>
      <c r="G144" s="63">
        <f t="shared" si="41"/>
        <v>3110</v>
      </c>
      <c r="H144" s="34">
        <f t="shared" si="41"/>
        <v>3656.950587164383</v>
      </c>
      <c r="I144" s="1"/>
      <c r="J144" s="4" t="s">
        <v>358</v>
      </c>
      <c r="K144" s="1"/>
      <c r="L144" s="1"/>
      <c r="M144" s="1"/>
    </row>
    <row r="145" ht="15" customHeight="1">
      <c r="A145" s="1"/>
      <c r="B145" s="35" t="s">
        <v>70</v>
      </c>
      <c r="C145" s="36">
        <f>C144/Inputs!C225-1</f>
        <v>0.15755883526126846</v>
      </c>
      <c r="D145" s="36">
        <f>D144/Inputs!D225-1</f>
        <v>0.13456221198156681</v>
      </c>
      <c r="E145" s="36">
        <f>E144/Inputs!E225-1</f>
        <v>0.06950340606180272</v>
      </c>
      <c r="F145" s="36">
        <f>F144/Inputs!F225-1</f>
        <v>0.1497678018575852</v>
      </c>
      <c r="G145" s="36">
        <f>G144/Inputs!G225-1</f>
        <v>0.07798960138648181</v>
      </c>
      <c r="H145" s="37">
        <f t="shared" si="7"/>
        <v>0.2601483760042669</v>
      </c>
      <c r="I145" s="1"/>
      <c r="J145" s="1"/>
      <c r="K145" s="1"/>
      <c r="L145" s="1"/>
      <c r="M145" s="1"/>
    </row>
    <row r="146" ht="15" customHeight="1">
      <c r="A146" s="1"/>
      <c r="B146" s="4" t="s">
        <v>359</v>
      </c>
      <c r="C146" s="39">
        <f t="shared" si="42" ref="C146:H146">C144/C34</f>
        <v>0.1574948442418322</v>
      </c>
      <c r="D146" s="39">
        <f t="shared" si="42"/>
        <v>0.12971548998946258</v>
      </c>
      <c r="E146" s="39">
        <f t="shared" si="42"/>
        <v>0.14998130944634427</v>
      </c>
      <c r="F146" s="39">
        <f t="shared" si="42"/>
        <v>0.1571375680964722</v>
      </c>
      <c r="G146" s="39">
        <f t="shared" si="42"/>
        <v>0.15837449712277843</v>
      </c>
      <c r="H146" s="37">
        <f t="shared" si="42"/>
        <v>0.18233900810746861</v>
      </c>
      <c r="I146" s="1"/>
      <c r="J146" s="1"/>
      <c r="K146" s="1"/>
      <c r="L146" s="1"/>
      <c r="M146" s="1"/>
    </row>
    <row r="147" ht="15" customHeight="1">
      <c r="A147" s="1"/>
      <c r="B147" s="35" t="s">
        <v>81</v>
      </c>
      <c r="C147" s="43" t="s">
        <v>35</v>
      </c>
      <c r="D147" s="43" t="s">
        <v>35</v>
      </c>
      <c r="E147" s="43" t="s">
        <v>35</v>
      </c>
      <c r="F147" s="43" t="s">
        <v>35</v>
      </c>
      <c r="G147" s="43" t="s">
        <v>35</v>
      </c>
      <c r="H147" s="48">
        <f t="shared" si="15"/>
        <v>248.44163865636426</v>
      </c>
      <c r="I147" s="1"/>
      <c r="J147" s="1"/>
      <c r="K147" s="1"/>
      <c r="L147" s="1"/>
      <c r="M147" s="1"/>
    </row>
    <row r="148" ht="15" customHeight="1">
      <c r="A148" s="1"/>
      <c r="B148" s="35" t="s">
        <v>82</v>
      </c>
      <c r="C148" s="43" t="s">
        <v>35</v>
      </c>
      <c r="D148" s="49">
        <f t="shared" si="13"/>
        <v>-277.79354252369603</v>
      </c>
      <c r="E148" s="1"/>
      <c r="F148" s="49">
        <f t="shared" si="16"/>
        <v>274.2207810700961</v>
      </c>
      <c r="G148" s="49">
        <f t="shared" si="13"/>
        <v>12.369290263062327</v>
      </c>
      <c r="H148" s="48">
        <f t="shared" si="13"/>
        <v>239.64510984690185</v>
      </c>
      <c r="I148" s="1"/>
      <c r="J148" s="1"/>
      <c r="K148" s="1"/>
      <c r="L148" s="1"/>
      <c r="M148" s="1"/>
    </row>
    <row r="149" ht="15" customHeight="1">
      <c r="A149" s="1"/>
      <c r="B149" s="1" t="s">
        <v>360</v>
      </c>
      <c r="C149" s="53">
        <v>14</v>
      </c>
      <c r="D149" s="53">
        <v>15</v>
      </c>
      <c r="E149" s="53">
        <v>58</v>
      </c>
      <c r="F149" s="53">
        <v>14</v>
      </c>
      <c r="G149" s="53">
        <v>15</v>
      </c>
      <c r="H149" s="32">
        <v>14</v>
      </c>
      <c r="I149" s="1"/>
      <c r="J149" s="4" t="s">
        <v>361</v>
      </c>
      <c r="K149" s="1"/>
      <c r="L149" s="1"/>
      <c r="M149" s="1"/>
    </row>
    <row r="150" ht="15" customHeight="1">
      <c r="A150" s="1"/>
      <c r="B150" s="4" t="s">
        <v>362</v>
      </c>
      <c r="C150" s="39">
        <f t="shared" si="43" ref="C150:G150">C153/C144</f>
        <v>0.006891798759476223</v>
      </c>
      <c r="D150" s="39">
        <f t="shared" si="43"/>
        <v>0.007311129163281885</v>
      </c>
      <c r="E150" s="39">
        <f t="shared" si="43"/>
        <v>0.006830979414751223</v>
      </c>
      <c r="F150" s="39">
        <f t="shared" si="43"/>
        <v>0.0063951531470885226</v>
      </c>
      <c r="G150" s="39">
        <f t="shared" si="43"/>
        <v>0.006430868167202572</v>
      </c>
      <c r="H150" s="66">
        <v>0.0066</v>
      </c>
      <c r="I150" s="1"/>
      <c r="J150" s="4" t="s">
        <v>363</v>
      </c>
      <c r="K150" s="1"/>
      <c r="L150" s="1"/>
      <c r="M150" s="1"/>
    </row>
    <row r="151" ht="15" customHeight="1">
      <c r="A151" s="1"/>
      <c r="B151" s="35" t="s">
        <v>81</v>
      </c>
      <c r="C151" s="43" t="s">
        <v>35</v>
      </c>
      <c r="D151" s="43" t="s">
        <v>35</v>
      </c>
      <c r="E151" s="43" t="s">
        <v>35</v>
      </c>
      <c r="F151" s="43" t="s">
        <v>35</v>
      </c>
      <c r="G151" s="43" t="s">
        <v>35</v>
      </c>
      <c r="H151" s="48">
        <f t="shared" si="15"/>
        <v>-2.9179875947622347</v>
      </c>
      <c r="I151" s="1"/>
      <c r="J151" s="1"/>
      <c r="K151" s="1"/>
      <c r="L151" s="1"/>
      <c r="M151" s="1"/>
    </row>
    <row r="152" ht="15" customHeight="1">
      <c r="A152" s="1"/>
      <c r="B152" s="35" t="s">
        <v>82</v>
      </c>
      <c r="C152" s="43" t="s">
        <v>35</v>
      </c>
      <c r="D152" s="49">
        <f t="shared" si="13"/>
        <v>4.193304038056615</v>
      </c>
      <c r="E152" s="1"/>
      <c r="F152" s="49">
        <f t="shared" si="16"/>
        <v>-9.159760161933624</v>
      </c>
      <c r="G152" s="49">
        <f t="shared" si="13"/>
        <v>0.3571502011404971</v>
      </c>
      <c r="H152" s="48">
        <f t="shared" si="13"/>
        <v>1.691318327974277</v>
      </c>
      <c r="I152" s="1"/>
      <c r="J152" s="1"/>
      <c r="K152" s="1"/>
      <c r="L152" s="1"/>
      <c r="M152" s="1"/>
    </row>
    <row r="153" ht="15" customHeight="1">
      <c r="A153" s="1"/>
      <c r="B153" s="1" t="s">
        <v>364</v>
      </c>
      <c r="C153" s="53">
        <v>20</v>
      </c>
      <c r="D153" s="53">
        <v>18</v>
      </c>
      <c r="E153" s="53">
        <v>74</v>
      </c>
      <c r="F153" s="53">
        <v>19</v>
      </c>
      <c r="G153" s="53">
        <v>20</v>
      </c>
      <c r="H153" s="52">
        <f>H144*H150</f>
        <v>24.135873875284926</v>
      </c>
      <c r="I153" s="1"/>
      <c r="J153" s="4" t="s">
        <v>69</v>
      </c>
      <c r="K153" s="1"/>
      <c r="L153" s="1"/>
      <c r="M153" s="1"/>
    </row>
    <row r="154" ht="15" customHeight="1">
      <c r="A154" s="1"/>
      <c r="B154" s="3" t="s">
        <v>365</v>
      </c>
      <c r="C154" s="63">
        <f t="shared" si="44" ref="C154:H154">C144-C149-C153</f>
        <v>2868</v>
      </c>
      <c r="D154" s="63">
        <f t="shared" si="44"/>
        <v>2429</v>
      </c>
      <c r="E154" s="63">
        <f t="shared" si="44"/>
        <v>10701</v>
      </c>
      <c r="F154" s="63">
        <f t="shared" si="44"/>
        <v>2938</v>
      </c>
      <c r="G154" s="63">
        <f t="shared" si="44"/>
        <v>3075</v>
      </c>
      <c r="H154" s="34">
        <f t="shared" si="44"/>
        <v>3618.8147132890977</v>
      </c>
      <c r="I154" s="1"/>
      <c r="J154" s="1"/>
      <c r="K154" s="1"/>
      <c r="L154" s="1"/>
      <c r="M154" s="1"/>
    </row>
    <row r="155" ht="15" customHeight="1">
      <c r="A155" s="1"/>
      <c r="B155" s="35" t="s">
        <v>70</v>
      </c>
      <c r="C155" s="36">
        <f>C154/Inputs!C226-1</f>
        <v>0.15925626515763947</v>
      </c>
      <c r="D155" s="36">
        <f>D154/Inputs!D226-1</f>
        <v>0.13557737260402059</v>
      </c>
      <c r="E155" s="36">
        <f>E154/Inputs!E226-1</f>
        <v>0.07063531765882947</v>
      </c>
      <c r="F155" s="36">
        <f>F154/Inputs!F226-1</f>
        <v>0.1512539184952979</v>
      </c>
      <c r="G155" s="36">
        <f>G154/Inputs!G226-1</f>
        <v>0.07819074333800846</v>
      </c>
      <c r="H155" s="37">
        <f t="shared" si="7"/>
        <v>0.2617903463351108</v>
      </c>
      <c r="I155" s="1"/>
      <c r="J155" s="1"/>
      <c r="K155" s="1"/>
      <c r="L155" s="1"/>
      <c r="M155" s="1"/>
    </row>
    <row r="156" ht="15" customHeight="1">
      <c r="A156" s="1"/>
      <c r="B156" s="1" t="s">
        <v>366</v>
      </c>
      <c r="C156" s="16">
        <f>'Share Count'!C16</f>
        <v>692</v>
      </c>
      <c r="D156" s="16">
        <f>'Share Count'!D16</f>
        <v>687</v>
      </c>
      <c r="E156" s="16">
        <f>'Share Count'!E16</f>
        <v>695</v>
      </c>
      <c r="F156" s="16">
        <f>'Share Count'!F16</f>
        <v>685</v>
      </c>
      <c r="G156" s="16">
        <f>'Share Count'!G16</f>
        <v>678</v>
      </c>
      <c r="H156" s="15">
        <f>'Share Count'!H16</f>
        <v>671.875</v>
      </c>
      <c r="I156" s="1"/>
      <c r="J156" s="1"/>
      <c r="K156" s="1"/>
      <c r="L156" s="1"/>
      <c r="M156" s="1"/>
    </row>
    <row r="157" ht="15" customHeight="1">
      <c r="A157" s="1"/>
      <c r="B157" s="1" t="s">
        <v>367</v>
      </c>
      <c r="C157" s="16">
        <f>'Share Count'!C21</f>
        <v>693</v>
      </c>
      <c r="D157" s="16">
        <f>'Share Count'!D21</f>
        <v>688</v>
      </c>
      <c r="E157" s="16">
        <f>'Share Count'!E21</f>
        <v>696</v>
      </c>
      <c r="F157" s="16">
        <f>'Share Count'!F21</f>
        <v>686</v>
      </c>
      <c r="G157" s="16">
        <f>'Share Count'!G21</f>
        <v>679</v>
      </c>
      <c r="H157" s="15">
        <f>'Share Count'!H21</f>
        <v>672.875</v>
      </c>
      <c r="I157" s="1"/>
      <c r="J157" s="1"/>
      <c r="K157" s="1"/>
      <c r="L157" s="1"/>
      <c r="M157" s="1"/>
    </row>
    <row r="158" ht="15" customHeight="1">
      <c r="A158" s="1"/>
      <c r="B158" s="1" t="s">
        <v>368</v>
      </c>
      <c r="C158" s="23">
        <f t="shared" si="45" ref="C158:H158">C154/C156</f>
        <v>4.144508670520231</v>
      </c>
      <c r="D158" s="23">
        <f t="shared" si="45"/>
        <v>3.53566229985444</v>
      </c>
      <c r="E158" s="23">
        <f t="shared" si="45"/>
        <v>15.397122302158273</v>
      </c>
      <c r="F158" s="23">
        <f t="shared" si="45"/>
        <v>4.289051094890511</v>
      </c>
      <c r="G158" s="23">
        <f t="shared" si="45"/>
        <v>4.535398230088496</v>
      </c>
      <c r="H158" s="68">
        <f t="shared" si="45"/>
        <v>5.3861428290814475</v>
      </c>
      <c r="I158" s="1"/>
      <c r="J158" s="1"/>
      <c r="K158" s="1"/>
      <c r="L158" s="1"/>
      <c r="M158" s="1"/>
    </row>
    <row r="159" ht="15" customHeight="1">
      <c r="A159" s="1"/>
      <c r="B159" s="3" t="s">
        <v>369</v>
      </c>
      <c r="C159" s="69">
        <f t="shared" si="46" ref="C159:H159">C154/C157</f>
        <v>4.138528138528138</v>
      </c>
      <c r="D159" s="69">
        <f t="shared" si="46"/>
        <v>3.5305232558139537</v>
      </c>
      <c r="E159" s="69">
        <f t="shared" si="46"/>
        <v>15.375</v>
      </c>
      <c r="F159" s="69">
        <f t="shared" si="46"/>
        <v>4.282798833819242</v>
      </c>
      <c r="G159" s="69">
        <f t="shared" si="46"/>
        <v>4.528718703976436</v>
      </c>
      <c r="H159" s="70">
        <f t="shared" si="46"/>
        <v>5.37813815833416</v>
      </c>
      <c r="I159" s="1"/>
      <c r="J159" s="1"/>
      <c r="K159" s="1"/>
      <c r="L159" s="1"/>
      <c r="M159" s="1"/>
    </row>
    <row r="160" ht="15" customHeight="1">
      <c r="A160" s="1"/>
      <c r="B160" s="35" t="s">
        <v>70</v>
      </c>
      <c r="C160" s="36">
        <f>C159/Inputs!C227-1</f>
        <v>0.18582468152668707</v>
      </c>
      <c r="D160" s="36">
        <f>D159/Inputs!D227-1</f>
        <v>0.16135633414932693</v>
      </c>
      <c r="E160" s="36">
        <f>E159/Inputs!E227-1</f>
        <v>0.09743040685224846</v>
      </c>
      <c r="F160" s="36">
        <f>F159/Inputs!F227-1</f>
        <v>0.17659308621407743</v>
      </c>
      <c r="G160" s="36">
        <f>G159/Inputs!G227-1</f>
        <v>0.10998007450402847</v>
      </c>
      <c r="H160" s="37">
        <f t="shared" si="7"/>
        <v>0.2995291993464342</v>
      </c>
      <c r="I160" s="1"/>
      <c r="J160" s="1"/>
      <c r="K160" s="1"/>
      <c r="L160" s="1"/>
      <c r="M160" s="1"/>
    </row>
    <row r="161" ht="15" customHeight="1">
      <c r="A161" s="1"/>
      <c r="B161" s="1" t="s">
        <v>370</v>
      </c>
      <c r="C161" s="71">
        <v>4.14</v>
      </c>
      <c r="D161" s="71">
        <v>3.53</v>
      </c>
      <c r="E161" s="71">
        <v>15.38</v>
      </c>
      <c r="F161" s="71">
        <v>4.28</v>
      </c>
      <c r="G161" s="71">
        <v>4.53</v>
      </c>
      <c r="H161" s="67" t="s">
        <v>35</v>
      </c>
      <c r="I161" s="1"/>
      <c r="J161" s="4" t="s">
        <v>69</v>
      </c>
      <c r="K161" s="1"/>
      <c r="L161" s="1"/>
      <c r="M161" s="1"/>
    </row>
    <row r="162" ht="15" customHeight="1">
      <c r="A162" s="1"/>
      <c r="B162" s="4" t="s">
        <v>371</v>
      </c>
      <c r="C162" s="72">
        <f t="shared" si="47" ref="C162:G176">C159-C161</f>
        <v>-0.001471861471861402</v>
      </c>
      <c r="D162" s="72">
        <f t="shared" si="47"/>
        <v>0.000523255813953849</v>
      </c>
      <c r="E162" s="72">
        <f t="shared" si="47"/>
        <v>-0.005000000000000782</v>
      </c>
      <c r="F162" s="72">
        <f t="shared" si="47"/>
        <v>0.0027988338192415085</v>
      </c>
      <c r="G162" s="72">
        <f t="shared" si="47"/>
        <v>-0.0012812960235644155</v>
      </c>
      <c r="H162" s="29"/>
      <c r="I162" s="1"/>
      <c r="J162" s="1"/>
      <c r="K162" s="1"/>
      <c r="L162" s="1"/>
      <c r="M162" s="1"/>
    </row>
    <row r="163" ht="15" customHeight="1">
      <c r="A163" s="1"/>
      <c r="B163" s="1" t="s">
        <v>372</v>
      </c>
      <c r="C163" s="71">
        <v>0.82</v>
      </c>
      <c r="D163" s="71">
        <v>0.82</v>
      </c>
      <c r="E163" s="71">
        <v>3.28</v>
      </c>
      <c r="F163" s="71">
        <v>0.95</v>
      </c>
      <c r="G163" s="71">
        <v>0.95</v>
      </c>
      <c r="H163" s="73">
        <v>0.95</v>
      </c>
      <c r="I163" s="1"/>
      <c r="J163" s="4" t="s">
        <v>373</v>
      </c>
      <c r="K163" s="1"/>
      <c r="L163" s="1"/>
      <c r="M163" s="1"/>
    </row>
    <row r="164" ht="15" customHeight="1">
      <c r="A164" s="1"/>
      <c r="B164" s="1"/>
      <c r="C164" s="1"/>
      <c r="D164" s="1"/>
      <c r="E164" s="1"/>
      <c r="F164" s="1"/>
      <c r="G164" s="1"/>
      <c r="H164" s="29"/>
      <c r="I164" s="1"/>
      <c r="J164" s="1"/>
      <c r="K164" s="1"/>
      <c r="L164" s="1"/>
      <c r="M164" s="1"/>
    </row>
    <row r="165" ht="15" customHeight="1">
      <c r="A165" s="1"/>
      <c r="B165" s="30" t="s">
        <v>374</v>
      </c>
      <c r="C165" s="1"/>
      <c r="D165" s="1"/>
      <c r="E165" s="1"/>
      <c r="F165" s="1"/>
      <c r="G165" s="1"/>
      <c r="H165" s="29"/>
      <c r="I165" s="1"/>
      <c r="J165" s="1"/>
      <c r="K165" s="1"/>
      <c r="L165" s="1"/>
      <c r="M165" s="1"/>
    </row>
    <row r="166" ht="15" customHeight="1">
      <c r="A166" s="1"/>
      <c r="B166" s="1" t="s">
        <v>375</v>
      </c>
      <c r="C166" s="17">
        <f t="shared" si="48" ref="C166:H166">C154</f>
        <v>2868</v>
      </c>
      <c r="D166" s="17">
        <f t="shared" si="48"/>
        <v>2429</v>
      </c>
      <c r="E166" s="17">
        <f t="shared" si="48"/>
        <v>10701</v>
      </c>
      <c r="F166" s="17">
        <f t="shared" si="48"/>
        <v>2938</v>
      </c>
      <c r="G166" s="17">
        <f t="shared" si="48"/>
        <v>3075</v>
      </c>
      <c r="H166" s="52">
        <f t="shared" si="48"/>
        <v>3618.8147132890977</v>
      </c>
      <c r="I166" s="1"/>
      <c r="J166" s="1"/>
      <c r="K166" s="1"/>
      <c r="L166" s="1"/>
      <c r="M166" s="1"/>
    </row>
    <row r="167" ht="15" customHeight="1">
      <c r="A167" s="1"/>
      <c r="B167" s="1" t="s">
        <v>376</v>
      </c>
      <c r="C167" s="17">
        <f t="shared" si="49" ref="C167:H167">C118</f>
        <v>0</v>
      </c>
      <c r="D167" s="17">
        <f t="shared" si="49"/>
        <v>0</v>
      </c>
      <c r="E167" s="17">
        <f t="shared" si="49"/>
        <v>0</v>
      </c>
      <c r="F167" s="17">
        <f t="shared" si="49"/>
        <v>0</v>
      </c>
      <c r="G167" s="17">
        <f t="shared" si="49"/>
        <v>0</v>
      </c>
      <c r="H167" s="52">
        <f t="shared" si="49"/>
        <v>-975</v>
      </c>
      <c r="I167" s="1"/>
      <c r="J167" s="1"/>
      <c r="K167" s="1"/>
      <c r="L167" s="1"/>
      <c r="M167" s="1"/>
    </row>
    <row r="168" ht="15" customHeight="1">
      <c r="A168" s="1"/>
      <c r="B168" s="1" t="s">
        <v>377</v>
      </c>
      <c r="C168" s="17">
        <f t="shared" si="50" ref="C168:H168">C138</f>
        <v>0</v>
      </c>
      <c r="D168" s="17">
        <f t="shared" si="50"/>
        <v>0</v>
      </c>
      <c r="E168" s="17">
        <f t="shared" si="50"/>
        <v>0</v>
      </c>
      <c r="F168" s="17">
        <f t="shared" si="50"/>
        <v>0</v>
      </c>
      <c r="G168" s="17">
        <f t="shared" si="50"/>
        <v>0</v>
      </c>
      <c r="H168" s="52">
        <f t="shared" si="50"/>
        <v>224.25</v>
      </c>
      <c r="I168" s="1"/>
      <c r="J168" s="1"/>
      <c r="K168" s="1"/>
      <c r="L168" s="1"/>
      <c r="M168" s="1"/>
    </row>
    <row r="169" ht="15" customHeight="1">
      <c r="A169" s="1"/>
      <c r="B169" s="1" t="s">
        <v>378</v>
      </c>
      <c r="C169" s="17">
        <f t="shared" si="51" ref="C169:H169">C119</f>
        <v>0</v>
      </c>
      <c r="D169" s="17">
        <f t="shared" si="51"/>
        <v>0</v>
      </c>
      <c r="E169" s="17">
        <f t="shared" si="51"/>
        <v>0</v>
      </c>
      <c r="F169" s="17">
        <f t="shared" si="51"/>
        <v>0</v>
      </c>
      <c r="G169" s="17">
        <f t="shared" si="51"/>
        <v>0</v>
      </c>
      <c r="H169" s="52">
        <f t="shared" si="51"/>
        <v>175</v>
      </c>
      <c r="I169" s="1"/>
      <c r="J169" s="1"/>
      <c r="K169" s="1"/>
      <c r="L169" s="1"/>
      <c r="M169" s="1"/>
    </row>
    <row r="170" ht="15" customHeight="1">
      <c r="A170" s="1"/>
      <c r="B170" s="1" t="s">
        <v>379</v>
      </c>
      <c r="C170" s="17">
        <f t="shared" si="52" ref="C170:H170">-C139</f>
        <v>0</v>
      </c>
      <c r="D170" s="17">
        <f t="shared" si="52"/>
        <v>0</v>
      </c>
      <c r="E170" s="17">
        <f t="shared" si="52"/>
        <v>0</v>
      </c>
      <c r="F170" s="17">
        <f t="shared" si="52"/>
        <v>0</v>
      </c>
      <c r="G170" s="17">
        <f t="shared" si="52"/>
        <v>0</v>
      </c>
      <c r="H170" s="52">
        <f t="shared" si="52"/>
        <v>0</v>
      </c>
      <c r="I170" s="1"/>
      <c r="J170" s="1"/>
      <c r="K170" s="1"/>
      <c r="L170" s="1"/>
      <c r="M170" s="1"/>
    </row>
    <row r="171" ht="15" customHeight="1">
      <c r="A171" s="1"/>
      <c r="B171" s="1" t="s">
        <v>380</v>
      </c>
      <c r="C171" s="17">
        <f t="shared" si="53" ref="C171:H171">C153-(C144+C118+C138+C119-C139)*C150</f>
        <v>0</v>
      </c>
      <c r="D171" s="17">
        <f t="shared" si="53"/>
        <v>0</v>
      </c>
      <c r="E171" s="17">
        <f t="shared" si="53"/>
        <v>0</v>
      </c>
      <c r="F171" s="17">
        <f t="shared" si="53"/>
        <v>0</v>
      </c>
      <c r="G171" s="17">
        <f t="shared" si="53"/>
        <v>0</v>
      </c>
      <c r="H171" s="52">
        <f t="shared" si="53"/>
        <v>3.799949999999999</v>
      </c>
      <c r="I171" s="1"/>
      <c r="J171" s="1"/>
      <c r="K171" s="1"/>
      <c r="L171" s="1"/>
      <c r="M171" s="1"/>
    </row>
    <row r="172" ht="15" customHeight="1">
      <c r="A172" s="1"/>
      <c r="B172" s="3" t="s">
        <v>381</v>
      </c>
      <c r="C172" s="63">
        <f t="shared" si="54" ref="C172:H172">SUM(C166:C171)</f>
        <v>2868</v>
      </c>
      <c r="D172" s="63">
        <f t="shared" si="54"/>
        <v>2429</v>
      </c>
      <c r="E172" s="63">
        <f t="shared" si="54"/>
        <v>10701</v>
      </c>
      <c r="F172" s="63">
        <f t="shared" si="54"/>
        <v>2938</v>
      </c>
      <c r="G172" s="63">
        <f t="shared" si="54"/>
        <v>3075</v>
      </c>
      <c r="H172" s="34">
        <f t="shared" si="54"/>
        <v>3046.8646632890977</v>
      </c>
      <c r="I172" s="1"/>
      <c r="J172" s="1"/>
      <c r="K172" s="1"/>
      <c r="L172" s="1"/>
      <c r="M172" s="1"/>
    </row>
    <row r="173" ht="15" customHeight="1">
      <c r="A173" s="1"/>
      <c r="B173" s="3" t="s">
        <v>382</v>
      </c>
      <c r="C173" s="69">
        <f t="shared" si="55" ref="C173:H173">C172/C157</f>
        <v>4.138528138528138</v>
      </c>
      <c r="D173" s="69">
        <f t="shared" si="55"/>
        <v>3.5305232558139537</v>
      </c>
      <c r="E173" s="69">
        <f t="shared" si="55"/>
        <v>15.375</v>
      </c>
      <c r="F173" s="69">
        <f t="shared" si="55"/>
        <v>4.282798833819242</v>
      </c>
      <c r="G173" s="69">
        <f t="shared" si="55"/>
        <v>4.528718703976436</v>
      </c>
      <c r="H173" s="70">
        <f t="shared" si="55"/>
        <v>4.528128795525317</v>
      </c>
      <c r="I173" s="1"/>
      <c r="J173" s="4" t="s">
        <v>383</v>
      </c>
      <c r="K173" s="1"/>
      <c r="L173" s="1"/>
      <c r="M173" s="1"/>
    </row>
    <row r="174" ht="15" customHeight="1">
      <c r="A174" s="1"/>
      <c r="B174" s="35" t="s">
        <v>70</v>
      </c>
      <c r="C174" s="36">
        <f>C173/Inputs!C227-1</f>
        <v>0.18582468152668707</v>
      </c>
      <c r="D174" s="36">
        <f>D173/Inputs!D227-1</f>
        <v>0.16135633414932693</v>
      </c>
      <c r="E174" s="36">
        <f>E173/Inputs!E227-1</f>
        <v>0.09743040685224846</v>
      </c>
      <c r="F174" s="36">
        <f>F173/Inputs!F227-1</f>
        <v>0.17659308621407743</v>
      </c>
      <c r="G174" s="36">
        <f>G173/Inputs!G227-1</f>
        <v>0.10998007450402847</v>
      </c>
      <c r="H174" s="37">
        <f t="shared" si="7"/>
        <v>0.09413990770538527</v>
      </c>
      <c r="I174" s="1"/>
      <c r="J174" s="1"/>
      <c r="K174" s="1"/>
      <c r="L174" s="1"/>
      <c r="M174" s="1"/>
    </row>
    <row r="175" ht="15" customHeight="1">
      <c r="A175" s="1"/>
      <c r="B175" s="1" t="s">
        <v>384</v>
      </c>
      <c r="C175" s="22">
        <f>Inputs!E122</f>
        <v>4.14</v>
      </c>
      <c r="D175" s="22">
        <f>Inputs!E123</f>
        <v>3.53</v>
      </c>
      <c r="E175" s="19" t="s">
        <v>35</v>
      </c>
      <c r="F175" s="22">
        <f>Inputs!E124</f>
        <v>4.28</v>
      </c>
      <c r="G175" s="22">
        <f>Inputs!E125</f>
        <v>4.53</v>
      </c>
      <c r="H175" s="67" t="s">
        <v>35</v>
      </c>
      <c r="I175" s="1"/>
      <c r="J175" s="1"/>
      <c r="K175" s="1"/>
      <c r="L175" s="1"/>
      <c r="M175" s="1"/>
    </row>
    <row r="176" ht="15" customHeight="1">
      <c r="A176" s="1"/>
      <c r="B176" s="4" t="s">
        <v>385</v>
      </c>
      <c r="C176" s="72">
        <f t="shared" si="47"/>
        <v>-0.001471861471861402</v>
      </c>
      <c r="D176" s="72">
        <f t="shared" si="47"/>
        <v>0.000523255813953849</v>
      </c>
      <c r="E176" s="1"/>
      <c r="F176" s="72">
        <f t="shared" si="47"/>
        <v>0.0027988338192415085</v>
      </c>
      <c r="G176" s="72">
        <f t="shared" si="47"/>
        <v>-0.0012812960235644155</v>
      </c>
      <c r="H176" s="29"/>
      <c r="I176" s="1"/>
      <c r="J176" s="1"/>
      <c r="K176" s="1"/>
      <c r="L176" s="1"/>
      <c r="M176" s="1"/>
    </row>
    <row r="177" ht="15" customHeight="1">
      <c r="A177" s="1"/>
      <c r="B177" s="4" t="s">
        <v>386</v>
      </c>
      <c r="C177" s="1"/>
      <c r="D177" s="1"/>
      <c r="E177" s="1"/>
      <c r="F177" s="1"/>
      <c r="G177" s="1"/>
      <c r="H177" s="74">
        <f>H159-H154/H157</f>
        <v>0</v>
      </c>
      <c r="I177" s="1"/>
      <c r="J177" s="4" t="s">
        <v>387</v>
      </c>
      <c r="K177" s="1"/>
      <c r="L177" s="1"/>
      <c r="M177" s="1"/>
    </row>
    <row r="178" ht="15" customHeight="1">
      <c r="A178" s="1"/>
      <c r="B178" s="4" t="s">
        <v>388</v>
      </c>
      <c r="C178" s="1"/>
      <c r="D178" s="1"/>
      <c r="E178" s="1"/>
      <c r="F178" s="1"/>
      <c r="G178" s="1"/>
      <c r="H178" s="75">
        <f>(H172-(H169+H170)*(1-H150))/H157</f>
        <v>4.269767287072781</v>
      </c>
      <c r="I178" s="1"/>
      <c r="J178" s="4" t="s">
        <v>389</v>
      </c>
      <c r="K178" s="1"/>
      <c r="L178" s="1"/>
      <c r="M178" s="1"/>
    </row>
    <row r="179" ht="15" customHeight="1">
      <c r="A179" s="1"/>
      <c r="B179" s="30" t="s">
        <v>390</v>
      </c>
      <c r="C179" s="1"/>
      <c r="D179" s="1"/>
      <c r="E179" s="1"/>
      <c r="F179" s="1"/>
      <c r="G179" s="1"/>
      <c r="H179" s="29"/>
      <c r="I179" s="1"/>
      <c r="J179" s="1"/>
      <c r="K179" s="1"/>
      <c r="L179" s="1"/>
      <c r="M179" s="1"/>
    </row>
    <row r="180" ht="15" customHeight="1">
      <c r="A180" s="1"/>
      <c r="B180" s="4" t="s">
        <v>391</v>
      </c>
      <c r="C180" s="1"/>
      <c r="D180" s="1"/>
      <c r="E180" s="27">
        <f>E34-(Inputs!C165+C34+D34)</f>
        <v>0</v>
      </c>
      <c r="F180" s="1"/>
      <c r="G180" s="1"/>
      <c r="H180" s="29"/>
      <c r="I180" s="1"/>
      <c r="J180" s="1"/>
      <c r="K180" s="1"/>
      <c r="L180" s="1"/>
      <c r="M180" s="1"/>
    </row>
    <row r="181" ht="15" customHeight="1">
      <c r="A181" s="1"/>
      <c r="B181" s="4" t="s">
        <v>392</v>
      </c>
      <c r="C181" s="1"/>
      <c r="D181" s="1"/>
      <c r="E181" s="27">
        <f>E70-(Inputs!C166+C70+D70)</f>
        <v>0</v>
      </c>
      <c r="F181" s="1"/>
      <c r="G181" s="1"/>
      <c r="H181" s="29"/>
      <c r="I181" s="1"/>
      <c r="J181" s="1"/>
      <c r="K181" s="1"/>
      <c r="L181" s="1"/>
      <c r="M181" s="1"/>
    </row>
    <row r="182" ht="15" customHeight="1">
      <c r="A182" s="1"/>
      <c r="B182" s="4" t="s">
        <v>393</v>
      </c>
      <c r="C182" s="1"/>
      <c r="D182" s="1"/>
      <c r="E182" s="27">
        <f>E124-(Inputs!C167+C124+D124)</f>
        <v>0</v>
      </c>
      <c r="F182" s="1"/>
      <c r="G182" s="1"/>
      <c r="H182" s="29"/>
      <c r="I182" s="1"/>
      <c r="J182" s="1"/>
      <c r="K182" s="1"/>
      <c r="L182" s="1"/>
      <c r="M182" s="1"/>
    </row>
    <row r="183" ht="15" customHeight="1">
      <c r="A183" s="1"/>
      <c r="B183" s="4" t="s">
        <v>394</v>
      </c>
      <c r="C183" s="1"/>
      <c r="D183" s="1"/>
      <c r="E183" s="27">
        <f>E127-(Inputs!C168+C127+D127)</f>
        <v>0</v>
      </c>
      <c r="F183" s="1"/>
      <c r="G183" s="1"/>
      <c r="H183" s="29"/>
      <c r="I183" s="1"/>
      <c r="J183" s="1"/>
      <c r="K183" s="1"/>
      <c r="L183" s="1"/>
      <c r="M183" s="1"/>
    </row>
    <row r="184" ht="15" customHeight="1">
      <c r="A184" s="1"/>
      <c r="B184" s="4" t="s">
        <v>395</v>
      </c>
      <c r="C184" s="1"/>
      <c r="D184" s="1"/>
      <c r="E184" s="27">
        <f>E144-(Inputs!C169+C144+D144)</f>
        <v>0</v>
      </c>
      <c r="F184" s="1"/>
      <c r="G184" s="1"/>
      <c r="H184" s="29"/>
      <c r="I184" s="1"/>
      <c r="J184" s="1"/>
      <c r="K184" s="1"/>
      <c r="L184" s="1"/>
      <c r="M184" s="1"/>
    </row>
    <row r="185" ht="15" customHeight="1">
      <c r="A185" s="1"/>
      <c r="B185" s="4" t="s">
        <v>396</v>
      </c>
      <c r="C185" s="1"/>
      <c r="D185" s="1"/>
      <c r="E185" s="27">
        <f>E154-(Inputs!C170+C154+D154)</f>
        <v>0</v>
      </c>
      <c r="F185" s="1"/>
      <c r="G185" s="1"/>
      <c r="H185" s="29"/>
      <c r="I185" s="1"/>
      <c r="J185" s="1"/>
      <c r="K185" s="1"/>
      <c r="L185" s="1"/>
      <c r="M185" s="1"/>
    </row>
    <row r="186" ht="1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ht="1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6B0B8FC-6D84-93F8-9688-A02EDD417FE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397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398</v>
      </c>
      <c r="C9" s="1"/>
      <c r="D9" s="1"/>
      <c r="E9" s="1"/>
      <c r="F9" s="1"/>
      <c r="G9" s="1"/>
      <c r="H9" s="29"/>
      <c r="I9" s="1"/>
      <c r="J9" s="1"/>
      <c r="K9" s="1"/>
      <c r="L9" s="1"/>
      <c r="M9" s="1"/>
    </row>
    <row r="10" ht="15" customHeight="1">
      <c r="A10" s="1"/>
      <c r="B10" s="31" t="s">
        <v>399</v>
      </c>
      <c r="C10" s="53">
        <v>3234</v>
      </c>
      <c r="D10" s="53">
        <v>3559</v>
      </c>
      <c r="E10" s="17">
        <f t="shared" si="1" ref="E10:H68">D10</f>
        <v>3559</v>
      </c>
      <c r="F10" s="53">
        <v>3186</v>
      </c>
      <c r="G10" s="53">
        <v>3453</v>
      </c>
      <c r="H10" s="52">
        <f t="shared" si="1"/>
        <v>3453</v>
      </c>
      <c r="I10" s="1"/>
      <c r="J10" s="4" t="s">
        <v>400</v>
      </c>
      <c r="K10" s="1"/>
      <c r="L10" s="1"/>
      <c r="M10" s="1"/>
    </row>
    <row r="11" ht="15" customHeight="1">
      <c r="A11" s="1"/>
      <c r="B11" s="31" t="s">
        <v>401</v>
      </c>
      <c r="C11" s="53">
        <v>50201</v>
      </c>
      <c r="D11" s="53">
        <v>43491</v>
      </c>
      <c r="E11" s="17">
        <f t="shared" si="1"/>
        <v>43491</v>
      </c>
      <c r="F11" s="53">
        <v>50281</v>
      </c>
      <c r="G11" s="53">
        <v>41469</v>
      </c>
      <c r="H11" s="52">
        <f>H13-H10-H12</f>
        <v>43655.6382276644</v>
      </c>
      <c r="I11" s="1"/>
      <c r="J11" s="4" t="s">
        <v>402</v>
      </c>
      <c r="K11" s="1"/>
      <c r="L11" s="1"/>
      <c r="M11" s="1"/>
    </row>
    <row r="12" ht="15" customHeight="1">
      <c r="A12" s="1"/>
      <c r="B12" s="31" t="s">
        <v>403</v>
      </c>
      <c r="C12" s="53">
        <v>1271</v>
      </c>
      <c r="D12" s="53">
        <v>742</v>
      </c>
      <c r="E12" s="17">
        <f t="shared" si="1"/>
        <v>742</v>
      </c>
      <c r="F12" s="53">
        <v>290</v>
      </c>
      <c r="G12" s="53">
        <v>321</v>
      </c>
      <c r="H12" s="52">
        <f t="shared" si="1"/>
        <v>321</v>
      </c>
      <c r="I12" s="1"/>
      <c r="J12" s="4" t="s">
        <v>402</v>
      </c>
      <c r="K12" s="1"/>
      <c r="L12" s="1"/>
      <c r="M12" s="1"/>
    </row>
    <row r="13" ht="15" customHeight="1">
      <c r="A13" s="1"/>
      <c r="B13" s="3" t="s">
        <v>404</v>
      </c>
      <c r="C13" s="63">
        <f t="shared" si="2" ref="C13:G13">SUM(C10:C12)</f>
        <v>54706</v>
      </c>
      <c r="D13" s="63">
        <f t="shared" si="2"/>
        <v>47792</v>
      </c>
      <c r="E13" s="63">
        <f t="shared" si="2"/>
        <v>47792</v>
      </c>
      <c r="F13" s="63">
        <f t="shared" si="2"/>
        <v>53757</v>
      </c>
      <c r="G13" s="63">
        <f t="shared" si="2"/>
        <v>45243</v>
      </c>
      <c r="H13" s="34">
        <f>H42+H50-(H16+H20+H27+H28+H29+H30)</f>
        <v>47429.6382276644</v>
      </c>
      <c r="I13" s="1"/>
      <c r="J13" s="4" t="s">
        <v>405</v>
      </c>
      <c r="K13" s="1"/>
      <c r="L13" s="1"/>
      <c r="M13" s="1"/>
    </row>
    <row r="14" ht="15" customHeight="1">
      <c r="A14" s="1"/>
      <c r="B14" s="31" t="s">
        <v>406</v>
      </c>
      <c r="C14" s="53">
        <v>205837</v>
      </c>
      <c r="D14" s="53">
        <v>213863</v>
      </c>
      <c r="E14" s="17">
        <f t="shared" si="1"/>
        <v>213863</v>
      </c>
      <c r="F14" s="53">
        <v>213311</v>
      </c>
      <c r="G14" s="53">
        <v>218054</v>
      </c>
      <c r="H14" s="15">
        <f>'Segment - USCS'!H51+'Segment - CS'!H38+'Segment - ICS'!H53</f>
        <v>220400</v>
      </c>
      <c r="I14" s="1"/>
      <c r="J14" s="4" t="s">
        <v>407</v>
      </c>
      <c r="K14" s="1"/>
      <c r="L14" s="1"/>
      <c r="M14" s="1"/>
    </row>
    <row r="15" ht="15" customHeight="1">
      <c r="A15" s="1"/>
      <c r="B15" s="31" t="s">
        <v>408</v>
      </c>
      <c r="C15" s="53">
        <v>6068</v>
      </c>
      <c r="D15" s="53">
        <v>6089</v>
      </c>
      <c r="E15" s="17">
        <f t="shared" si="1"/>
        <v>6089</v>
      </c>
      <c r="F15" s="53">
        <v>6065</v>
      </c>
      <c r="G15" s="53">
        <v>5866</v>
      </c>
      <c r="H15" s="15">
        <f>G15+'Revenue summary'!H196</f>
        <v>5966</v>
      </c>
      <c r="I15" s="1"/>
      <c r="J15" s="4" t="s">
        <v>402</v>
      </c>
      <c r="K15" s="1"/>
      <c r="L15" s="1"/>
      <c r="M15" s="1"/>
    </row>
    <row r="16" ht="15" customHeight="1">
      <c r="A16" s="1"/>
      <c r="B16" s="3" t="s">
        <v>409</v>
      </c>
      <c r="C16" s="33">
        <v>199769</v>
      </c>
      <c r="D16" s="33">
        <v>207774</v>
      </c>
      <c r="E16" s="63">
        <f t="shared" si="1"/>
        <v>207774</v>
      </c>
      <c r="F16" s="33">
        <v>207247</v>
      </c>
      <c r="G16" s="33">
        <v>212188</v>
      </c>
      <c r="H16" s="34">
        <f>H14-H15</f>
        <v>214434</v>
      </c>
      <c r="I16" s="1"/>
      <c r="J16" s="4" t="s">
        <v>410</v>
      </c>
      <c r="K16" s="1"/>
      <c r="L16" s="1"/>
      <c r="M16" s="1"/>
    </row>
    <row r="17" ht="15" customHeight="1">
      <c r="A17" s="1"/>
      <c r="B17" s="4" t="s">
        <v>411</v>
      </c>
      <c r="C17" s="39">
        <f t="shared" si="3" ref="C17:H17">C15/C14</f>
        <v>0.029479636799992225</v>
      </c>
      <c r="D17" s="39">
        <f t="shared" si="3"/>
        <v>0.028471498108602236</v>
      </c>
      <c r="E17" s="39">
        <f t="shared" si="3"/>
        <v>0.028471498108602236</v>
      </c>
      <c r="F17" s="39">
        <f t="shared" si="3"/>
        <v>0.02843266404451716</v>
      </c>
      <c r="G17" s="39">
        <f t="shared" si="3"/>
        <v>0.026901593183339907</v>
      </c>
      <c r="H17" s="37">
        <f t="shared" si="3"/>
        <v>0.02706896551724138</v>
      </c>
      <c r="I17" s="1"/>
      <c r="J17" s="1"/>
      <c r="K17" s="1"/>
      <c r="L17" s="1"/>
      <c r="M17" s="1"/>
    </row>
    <row r="18" ht="15" customHeight="1">
      <c r="A18" s="1"/>
      <c r="B18" s="35" t="s">
        <v>81</v>
      </c>
      <c r="C18" s="43" t="s">
        <v>35</v>
      </c>
      <c r="D18" s="43" t="s">
        <v>35</v>
      </c>
      <c r="E18" s="43" t="s">
        <v>35</v>
      </c>
      <c r="F18" s="43" t="s">
        <v>35</v>
      </c>
      <c r="G18" s="43" t="s">
        <v>35</v>
      </c>
      <c r="H18" s="48">
        <f t="shared" si="15" ref="H18:H70">(H17-C17)*10000</f>
        <v>-24.106712827508467</v>
      </c>
      <c r="I18" s="1"/>
      <c r="J18" s="1"/>
      <c r="K18" s="1"/>
      <c r="L18" s="1"/>
      <c r="M18" s="1"/>
    </row>
    <row r="19" ht="15" customHeight="1">
      <c r="A19" s="1"/>
      <c r="B19" s="35" t="s">
        <v>82</v>
      </c>
      <c r="C19" s="43" t="s">
        <v>35</v>
      </c>
      <c r="D19" s="49">
        <f t="shared" si="4" ref="D19:H71">(D17-C17)*10000</f>
        <v>-10.081386913899891</v>
      </c>
      <c r="E19" s="1"/>
      <c r="F19" s="49">
        <f t="shared" si="16" ref="F19:F71">(F17-D17)*10000</f>
        <v>-0.3883406408507553</v>
      </c>
      <c r="G19" s="49">
        <f t="shared" si="4"/>
        <v>-15.310708611772535</v>
      </c>
      <c r="H19" s="48">
        <f t="shared" si="4"/>
        <v>1.6737233390147142</v>
      </c>
      <c r="I19" s="1"/>
      <c r="J19" s="1"/>
      <c r="K19" s="1"/>
      <c r="L19" s="1"/>
      <c r="M19" s="1"/>
    </row>
    <row r="20" ht="15" customHeight="1">
      <c r="A20" s="1"/>
      <c r="B20" s="1" t="s">
        <v>412</v>
      </c>
      <c r="C20" s="53">
        <v>2424</v>
      </c>
      <c r="D20" s="53">
        <v>2457</v>
      </c>
      <c r="E20" s="17">
        <f t="shared" si="1"/>
        <v>2457</v>
      </c>
      <c r="F20" s="53">
        <v>2477</v>
      </c>
      <c r="G20" s="53">
        <v>1752</v>
      </c>
      <c r="H20" s="32">
        <v>0</v>
      </c>
      <c r="I20" s="1"/>
      <c r="J20" s="4" t="s">
        <v>413</v>
      </c>
      <c r="K20" s="1"/>
      <c r="L20" s="1"/>
      <c r="M20" s="1"/>
    </row>
    <row r="21" ht="15" customHeight="1">
      <c r="A21" s="1"/>
      <c r="B21" s="31" t="s">
        <v>414</v>
      </c>
      <c r="C21" s="53">
        <v>10518</v>
      </c>
      <c r="D21" s="53">
        <v>10928</v>
      </c>
      <c r="E21" s="17">
        <f t="shared" si="1"/>
        <v>10928</v>
      </c>
      <c r="F21" s="53">
        <v>10849</v>
      </c>
      <c r="G21" s="53">
        <v>11428</v>
      </c>
      <c r="H21" s="32">
        <v>11600</v>
      </c>
      <c r="I21" s="1"/>
      <c r="J21" s="4" t="s">
        <v>415</v>
      </c>
      <c r="K21" s="1"/>
      <c r="L21" s="1"/>
      <c r="M21" s="1"/>
    </row>
    <row r="22" ht="15" customHeight="1">
      <c r="A22" s="1"/>
      <c r="B22" s="35" t="s">
        <v>70</v>
      </c>
      <c r="C22" s="43" t="s">
        <v>35</v>
      </c>
      <c r="D22" s="43" t="s">
        <v>35</v>
      </c>
      <c r="E22" s="43" t="s">
        <v>35</v>
      </c>
      <c r="F22" s="43" t="s">
        <v>35</v>
      </c>
      <c r="G22" s="43" t="s">
        <v>35</v>
      </c>
      <c r="H22" s="37">
        <f t="shared" si="6" ref="H22:H35">H21/C21-1</f>
        <v>0.10287126830195858</v>
      </c>
      <c r="I22" s="1"/>
      <c r="J22" s="1"/>
      <c r="K22" s="1"/>
      <c r="L22" s="1"/>
      <c r="M22" s="1"/>
    </row>
    <row r="23" ht="15" customHeight="1">
      <c r="A23" s="1"/>
      <c r="B23" s="35" t="s">
        <v>73</v>
      </c>
      <c r="C23" s="43" t="s">
        <v>35</v>
      </c>
      <c r="D23" s="40">
        <f t="shared" si="5" ref="D23:H26">D21-C21</f>
        <v>410</v>
      </c>
      <c r="E23" s="1"/>
      <c r="F23" s="40">
        <f t="shared" si="7" ref="F23:F26">F21-D21</f>
        <v>-79</v>
      </c>
      <c r="G23" s="40">
        <f t="shared" si="5"/>
        <v>579</v>
      </c>
      <c r="H23" s="38">
        <f t="shared" si="5"/>
        <v>172</v>
      </c>
      <c r="I23" s="1"/>
      <c r="J23" s="1"/>
      <c r="K23" s="1"/>
      <c r="L23" s="1"/>
      <c r="M23" s="1"/>
    </row>
    <row r="24" ht="15" customHeight="1">
      <c r="A24" s="1"/>
      <c r="B24" s="31" t="s">
        <v>416</v>
      </c>
      <c r="C24" s="53">
        <v>287</v>
      </c>
      <c r="D24" s="53">
        <v>323</v>
      </c>
      <c r="E24" s="17">
        <f t="shared" si="1"/>
        <v>323</v>
      </c>
      <c r="F24" s="53">
        <v>314</v>
      </c>
      <c r="G24" s="53">
        <v>312</v>
      </c>
      <c r="H24" s="32">
        <v>312</v>
      </c>
      <c r="I24" s="1"/>
      <c r="J24" s="4" t="s">
        <v>417</v>
      </c>
      <c r="K24" s="1"/>
      <c r="L24" s="1"/>
      <c r="M24" s="1"/>
    </row>
    <row r="25" ht="15" customHeight="1">
      <c r="A25" s="1"/>
      <c r="B25" s="35" t="s">
        <v>70</v>
      </c>
      <c r="C25" s="43" t="s">
        <v>35</v>
      </c>
      <c r="D25" s="43" t="s">
        <v>35</v>
      </c>
      <c r="E25" s="43" t="s">
        <v>35</v>
      </c>
      <c r="F25" s="43" t="s">
        <v>35</v>
      </c>
      <c r="G25" s="43" t="s">
        <v>35</v>
      </c>
      <c r="H25" s="37">
        <f t="shared" si="6"/>
        <v>0.08710801393728218</v>
      </c>
      <c r="I25" s="1"/>
      <c r="J25" s="1"/>
      <c r="K25" s="1"/>
      <c r="L25" s="1"/>
      <c r="M25" s="1"/>
    </row>
    <row r="26" ht="15" customHeight="1">
      <c r="A26" s="1"/>
      <c r="B26" s="35" t="s">
        <v>73</v>
      </c>
      <c r="C26" s="43" t="s">
        <v>35</v>
      </c>
      <c r="D26" s="40">
        <f t="shared" si="5"/>
        <v>36</v>
      </c>
      <c r="E26" s="1"/>
      <c r="F26" s="40">
        <f t="shared" si="7"/>
        <v>-9</v>
      </c>
      <c r="G26" s="40">
        <f t="shared" si="5"/>
        <v>-2</v>
      </c>
      <c r="H26" s="38">
        <f t="shared" si="5"/>
        <v>0</v>
      </c>
      <c r="I26" s="1"/>
      <c r="J26" s="1"/>
      <c r="K26" s="1"/>
      <c r="L26" s="1"/>
      <c r="M26" s="1"/>
    </row>
    <row r="27" ht="15" customHeight="1">
      <c r="A27" s="1"/>
      <c r="B27" s="3" t="s">
        <v>418</v>
      </c>
      <c r="C27" s="33">
        <v>10231</v>
      </c>
      <c r="D27" s="33">
        <v>10605</v>
      </c>
      <c r="E27" s="63">
        <f t="shared" si="1"/>
        <v>10605</v>
      </c>
      <c r="F27" s="33">
        <v>10535</v>
      </c>
      <c r="G27" s="33">
        <v>11115</v>
      </c>
      <c r="H27" s="34">
        <f>H21-H24</f>
        <v>11288</v>
      </c>
      <c r="I27" s="1"/>
      <c r="J27" s="4" t="s">
        <v>419</v>
      </c>
      <c r="K27" s="1"/>
      <c r="L27" s="1"/>
      <c r="M27" s="1"/>
    </row>
    <row r="28" ht="15" customHeight="1">
      <c r="A28" s="1"/>
      <c r="B28" s="1" t="s">
        <v>420</v>
      </c>
      <c r="C28" s="53">
        <v>1374</v>
      </c>
      <c r="D28" s="53">
        <v>1043</v>
      </c>
      <c r="E28" s="17">
        <f t="shared" si="1"/>
        <v>1043</v>
      </c>
      <c r="F28" s="53">
        <v>2625</v>
      </c>
      <c r="G28" s="53">
        <v>4073</v>
      </c>
      <c r="H28" s="52">
        <f t="shared" si="1"/>
        <v>4073</v>
      </c>
      <c r="I28" s="1"/>
      <c r="J28" s="4" t="s">
        <v>421</v>
      </c>
      <c r="K28" s="1"/>
      <c r="L28" s="1"/>
      <c r="M28" s="1"/>
    </row>
    <row r="29" ht="15" customHeight="1">
      <c r="A29" s="1"/>
      <c r="B29" s="1" t="s">
        <v>422</v>
      </c>
      <c r="C29" s="53">
        <v>5861</v>
      </c>
      <c r="D29" s="53">
        <v>6118</v>
      </c>
      <c r="E29" s="17">
        <f t="shared" si="1"/>
        <v>6118</v>
      </c>
      <c r="F29" s="53">
        <v>7240</v>
      </c>
      <c r="G29" s="53">
        <v>7689</v>
      </c>
      <c r="H29" s="15">
        <f>G29-'Cash Flow Statement'!H27-'Cash Flow Statement'!H12</f>
        <v>8189</v>
      </c>
      <c r="I29" s="1"/>
      <c r="J29" s="4" t="s">
        <v>423</v>
      </c>
      <c r="K29" s="1"/>
      <c r="L29" s="1"/>
      <c r="M29" s="1"/>
    </row>
    <row r="30" ht="15" customHeight="1">
      <c r="A30" s="1"/>
      <c r="B30" s="1" t="s">
        <v>424</v>
      </c>
      <c r="C30" s="53">
        <v>23185</v>
      </c>
      <c r="D30" s="53">
        <v>24263</v>
      </c>
      <c r="E30" s="17">
        <f t="shared" si="1"/>
        <v>24263</v>
      </c>
      <c r="F30" s="53">
        <v>25013</v>
      </c>
      <c r="G30" s="53">
        <v>26143</v>
      </c>
      <c r="H30" s="15">
        <f>G30-'Cash Flow Statement'!H54</f>
        <v>25619.0311095</v>
      </c>
      <c r="I30" s="1"/>
      <c r="J30" s="4" t="s">
        <v>425</v>
      </c>
      <c r="K30" s="1"/>
      <c r="L30" s="1"/>
      <c r="M30" s="1"/>
    </row>
    <row r="31" ht="15" customHeight="1">
      <c r="A31" s="1"/>
      <c r="B31" s="3" t="s">
        <v>426</v>
      </c>
      <c r="C31" s="63">
        <f t="shared" si="8" ref="C31:H31">C13+C16+C20+C27+C28+C29+C30</f>
        <v>297550</v>
      </c>
      <c r="D31" s="63">
        <f t="shared" si="8"/>
        <v>300052</v>
      </c>
      <c r="E31" s="63">
        <f t="shared" si="8"/>
        <v>300052</v>
      </c>
      <c r="F31" s="63">
        <f t="shared" si="8"/>
        <v>308894</v>
      </c>
      <c r="G31" s="63">
        <f t="shared" si="8"/>
        <v>308203</v>
      </c>
      <c r="H31" s="34">
        <f t="shared" si="8"/>
        <v>311032.6693371644</v>
      </c>
      <c r="I31" s="1"/>
      <c r="J31" s="1"/>
      <c r="K31" s="1"/>
      <c r="L31" s="1"/>
      <c r="M31" s="1"/>
    </row>
    <row r="32" ht="15" customHeight="1">
      <c r="A32" s="1"/>
      <c r="B32" s="1"/>
      <c r="C32" s="1"/>
      <c r="D32" s="1"/>
      <c r="E32" s="1"/>
      <c r="F32" s="1"/>
      <c r="G32" s="1"/>
      <c r="H32" s="29"/>
      <c r="I32" s="1"/>
      <c r="J32" s="1"/>
      <c r="K32" s="1"/>
      <c r="L32" s="1"/>
      <c r="M32" s="1"/>
    </row>
    <row r="33" ht="15" customHeight="1">
      <c r="A33" s="1"/>
      <c r="B33" s="30" t="s">
        <v>427</v>
      </c>
      <c r="C33" s="1"/>
      <c r="D33" s="1"/>
      <c r="E33" s="1"/>
      <c r="F33" s="1"/>
      <c r="G33" s="1"/>
      <c r="H33" s="29"/>
      <c r="I33" s="1"/>
      <c r="J33" s="1"/>
      <c r="K33" s="1"/>
      <c r="L33" s="1"/>
      <c r="M33" s="1"/>
    </row>
    <row r="34" ht="15" customHeight="1">
      <c r="A34" s="1"/>
      <c r="B34" s="1" t="s">
        <v>428</v>
      </c>
      <c r="C34" s="53">
        <v>149883</v>
      </c>
      <c r="D34" s="53">
        <v>152488</v>
      </c>
      <c r="E34" s="17">
        <f t="shared" si="1"/>
        <v>152488</v>
      </c>
      <c r="F34" s="53">
        <v>157948</v>
      </c>
      <c r="G34" s="53">
        <v>156973</v>
      </c>
      <c r="H34" s="32">
        <v>158473</v>
      </c>
      <c r="I34" s="1"/>
      <c r="J34" s="4" t="s">
        <v>429</v>
      </c>
      <c r="K34" s="1"/>
      <c r="L34" s="1"/>
      <c r="M34" s="1"/>
    </row>
    <row r="35" ht="15" customHeight="1">
      <c r="A35" s="1"/>
      <c r="B35" s="35" t="s">
        <v>70</v>
      </c>
      <c r="C35" s="36">
        <f>C34/Inputs!C237-1</f>
        <v>0.10665396712887087</v>
      </c>
      <c r="D35" s="36">
        <f>D34/Inputs!D237-1</f>
        <v>0.09378608881524686</v>
      </c>
      <c r="E35" s="36">
        <f>E34/Inputs!E237-1</f>
        <v>0.09378608881524686</v>
      </c>
      <c r="F35" s="36">
        <f>F34/Inputs!F237-1</f>
        <v>0.07890925981584207</v>
      </c>
      <c r="G35" s="36">
        <f>G34/Inputs!G237-1</f>
        <v>0.050787891770313065</v>
      </c>
      <c r="H35" s="37">
        <f t="shared" si="6"/>
        <v>0.0573113695349039</v>
      </c>
      <c r="I35" s="1"/>
      <c r="J35" s="1"/>
      <c r="K35" s="1"/>
      <c r="L35" s="1"/>
      <c r="M35" s="1"/>
    </row>
    <row r="36" ht="15" customHeight="1">
      <c r="A36" s="1"/>
      <c r="B36" s="35" t="s">
        <v>71</v>
      </c>
      <c r="C36" s="27">
        <f>C34-Inputs!C237</f>
        <v>14445</v>
      </c>
      <c r="D36" s="27">
        <f>D34-Inputs!D237</f>
        <v>13075</v>
      </c>
      <c r="E36" s="27">
        <f>E34-Inputs!E237</f>
        <v>13075</v>
      </c>
      <c r="F36" s="27">
        <f>F34-Inputs!F237</f>
        <v>11552</v>
      </c>
      <c r="G36" s="27">
        <f>G34-Inputs!G237</f>
        <v>7587</v>
      </c>
      <c r="H36" s="38">
        <f>H34-C34</f>
        <v>8590</v>
      </c>
      <c r="I36" s="1"/>
      <c r="J36" s="1"/>
      <c r="K36" s="1"/>
      <c r="L36" s="1"/>
      <c r="M36" s="1"/>
    </row>
    <row r="37" ht="15" customHeight="1">
      <c r="A37" s="1"/>
      <c r="B37" s="35" t="s">
        <v>73</v>
      </c>
      <c r="C37" s="27">
        <f>C34-Inputs!G237</f>
        <v>497</v>
      </c>
      <c r="D37" s="40">
        <f t="shared" si="9" ref="D37:H37">D34-C34</f>
        <v>2605</v>
      </c>
      <c r="E37" s="1"/>
      <c r="F37" s="40">
        <f>F34-D34</f>
        <v>5460</v>
      </c>
      <c r="G37" s="40">
        <f t="shared" si="9"/>
        <v>-975</v>
      </c>
      <c r="H37" s="38">
        <f t="shared" si="9"/>
        <v>1500</v>
      </c>
      <c r="I37" s="1"/>
      <c r="J37" s="1"/>
      <c r="K37" s="1"/>
      <c r="L37" s="1"/>
      <c r="M37" s="1"/>
    </row>
    <row r="38" ht="15" customHeight="1">
      <c r="A38" s="1"/>
      <c r="B38" s="1" t="s">
        <v>430</v>
      </c>
      <c r="C38" s="53">
        <v>14708</v>
      </c>
      <c r="D38" s="53">
        <v>14700</v>
      </c>
      <c r="E38" s="17">
        <f t="shared" si="1"/>
        <v>14700</v>
      </c>
      <c r="F38" s="53">
        <v>14635</v>
      </c>
      <c r="G38" s="53">
        <v>15441</v>
      </c>
      <c r="H38" s="52">
        <f t="shared" si="1"/>
        <v>15441</v>
      </c>
      <c r="I38" s="1"/>
      <c r="J38" s="4" t="s">
        <v>421</v>
      </c>
      <c r="K38" s="1"/>
      <c r="L38" s="1"/>
      <c r="M38" s="1"/>
    </row>
    <row r="39" ht="15" customHeight="1">
      <c r="A39" s="1"/>
      <c r="B39" s="1" t="s">
        <v>431</v>
      </c>
      <c r="C39" s="53">
        <v>1446</v>
      </c>
      <c r="D39" s="53">
        <v>1371</v>
      </c>
      <c r="E39" s="17">
        <f t="shared" si="1"/>
        <v>1371</v>
      </c>
      <c r="F39" s="53">
        <v>1692</v>
      </c>
      <c r="G39" s="53">
        <v>2032</v>
      </c>
      <c r="H39" s="52">
        <f t="shared" si="1"/>
        <v>2032</v>
      </c>
      <c r="I39" s="1"/>
      <c r="J39" s="4" t="s">
        <v>421</v>
      </c>
      <c r="K39" s="1"/>
      <c r="L39" s="1"/>
      <c r="M39" s="1"/>
    </row>
    <row r="40" ht="15" customHeight="1">
      <c r="A40" s="1"/>
      <c r="B40" s="1" t="s">
        <v>432</v>
      </c>
      <c r="C40" s="53">
        <v>57787</v>
      </c>
      <c r="D40" s="53">
        <v>56387</v>
      </c>
      <c r="E40" s="17">
        <f t="shared" si="1"/>
        <v>56387</v>
      </c>
      <c r="F40" s="53">
        <v>58750</v>
      </c>
      <c r="G40" s="53">
        <v>57017</v>
      </c>
      <c r="H40" s="15">
        <f>G40+'Cash Flow Statement'!H35+'Cash Flow Statement'!H36</f>
        <v>57017</v>
      </c>
      <c r="I40" s="1"/>
      <c r="J40" s="4" t="s">
        <v>402</v>
      </c>
      <c r="K40" s="1"/>
      <c r="L40" s="1"/>
      <c r="M40" s="1"/>
    </row>
    <row r="41" ht="15" customHeight="1">
      <c r="A41" s="1"/>
      <c r="B41" s="1" t="s">
        <v>433</v>
      </c>
      <c r="C41" s="53">
        <v>41309</v>
      </c>
      <c r="D41" s="53">
        <v>41632</v>
      </c>
      <c r="E41" s="17">
        <f t="shared" si="1"/>
        <v>41632</v>
      </c>
      <c r="F41" s="53">
        <v>41874</v>
      </c>
      <c r="G41" s="53">
        <v>42460</v>
      </c>
      <c r="H41" s="15">
        <f>G41+'Income Statement'!H119</f>
        <v>42635</v>
      </c>
      <c r="I41" s="1"/>
      <c r="J41" s="4" t="s">
        <v>434</v>
      </c>
      <c r="K41" s="1"/>
      <c r="L41" s="1"/>
      <c r="M41" s="1"/>
    </row>
    <row r="42" ht="15" customHeight="1">
      <c r="A42" s="1"/>
      <c r="B42" s="3" t="s">
        <v>435</v>
      </c>
      <c r="C42" s="63">
        <f t="shared" si="10" ref="C42:H42">C34+C38+C39+C40+C41</f>
        <v>265133</v>
      </c>
      <c r="D42" s="63">
        <f t="shared" si="10"/>
        <v>266578</v>
      </c>
      <c r="E42" s="63">
        <f t="shared" si="10"/>
        <v>266578</v>
      </c>
      <c r="F42" s="63">
        <f t="shared" si="10"/>
        <v>274899</v>
      </c>
      <c r="G42" s="63">
        <f t="shared" si="10"/>
        <v>273923</v>
      </c>
      <c r="H42" s="34">
        <f t="shared" si="10"/>
        <v>275598</v>
      </c>
      <c r="I42" s="1"/>
      <c r="J42" s="1"/>
      <c r="K42" s="1"/>
      <c r="L42" s="1"/>
      <c r="M42" s="1"/>
    </row>
    <row r="43" ht="15" customHeight="1">
      <c r="A43" s="1"/>
      <c r="B43" s="1"/>
      <c r="C43" s="1"/>
      <c r="D43" s="1"/>
      <c r="E43" s="1"/>
      <c r="F43" s="1"/>
      <c r="G43" s="1"/>
      <c r="H43" s="29"/>
      <c r="I43" s="1"/>
      <c r="J43" s="1"/>
      <c r="K43" s="1"/>
      <c r="L43" s="1"/>
      <c r="M43" s="1"/>
    </row>
    <row r="44" ht="15" customHeight="1">
      <c r="A44" s="1"/>
      <c r="B44" s="30" t="s">
        <v>436</v>
      </c>
      <c r="C44" s="1"/>
      <c r="D44" s="1"/>
      <c r="E44" s="1"/>
      <c r="F44" s="1"/>
      <c r="G44" s="1"/>
      <c r="H44" s="29"/>
      <c r="I44" s="1"/>
      <c r="J44" s="1"/>
      <c r="K44" s="1"/>
      <c r="L44" s="1"/>
      <c r="M44" s="1"/>
    </row>
    <row r="45" ht="15" customHeight="1">
      <c r="A45" s="1"/>
      <c r="B45" s="31" t="s">
        <v>437</v>
      </c>
      <c r="C45" s="71">
        <v>0.2</v>
      </c>
      <c r="D45" s="71">
        <v>0.2</v>
      </c>
      <c r="E45" s="71">
        <v>0.2</v>
      </c>
      <c r="F45" s="71">
        <v>0.2</v>
      </c>
      <c r="G45" s="71">
        <v>0.2</v>
      </c>
      <c r="H45" s="73">
        <v>0.2</v>
      </c>
      <c r="I45" s="1"/>
      <c r="J45" s="4" t="s">
        <v>438</v>
      </c>
      <c r="K45" s="1"/>
      <c r="L45" s="1"/>
      <c r="M45" s="1"/>
    </row>
    <row r="46" ht="15" customHeight="1">
      <c r="A46" s="1"/>
      <c r="B46" s="1" t="s">
        <v>439</v>
      </c>
      <c r="C46" s="53">
        <v>138</v>
      </c>
      <c r="D46" s="53">
        <v>138</v>
      </c>
      <c r="E46" s="17">
        <f t="shared" si="1"/>
        <v>138</v>
      </c>
      <c r="F46" s="53">
        <v>137</v>
      </c>
      <c r="G46" s="53">
        <v>135</v>
      </c>
      <c r="H46" s="15">
        <f>G46+'Share Count'!H10*H45</f>
        <v>133.75</v>
      </c>
      <c r="I46" s="1"/>
      <c r="J46" s="4" t="s">
        <v>402</v>
      </c>
      <c r="K46" s="1"/>
      <c r="L46" s="1"/>
      <c r="M46" s="1"/>
    </row>
    <row r="47" ht="15" customHeight="1">
      <c r="A47" s="1"/>
      <c r="B47" s="1" t="s">
        <v>440</v>
      </c>
      <c r="C47" s="53">
        <v>11059</v>
      </c>
      <c r="D47" s="53">
        <v>11126</v>
      </c>
      <c r="E47" s="17">
        <f t="shared" si="1"/>
        <v>11126</v>
      </c>
      <c r="F47" s="53">
        <v>11081</v>
      </c>
      <c r="G47" s="53">
        <v>11121</v>
      </c>
      <c r="H47" s="15">
        <f>G47+'Cash Flow Statement'!H13+'Cash Flow Statement'!H37</f>
        <v>11271</v>
      </c>
      <c r="I47" s="1"/>
      <c r="J47" s="4" t="s">
        <v>402</v>
      </c>
      <c r="K47" s="1"/>
      <c r="L47" s="1"/>
      <c r="M47" s="1"/>
    </row>
    <row r="48" ht="15" customHeight="1">
      <c r="A48" s="1"/>
      <c r="B48" s="1" t="s">
        <v>441</v>
      </c>
      <c r="C48" s="53">
        <v>24469</v>
      </c>
      <c r="D48" s="53">
        <v>25487</v>
      </c>
      <c r="E48" s="17">
        <f t="shared" si="1"/>
        <v>25487</v>
      </c>
      <c r="F48" s="53">
        <v>26088</v>
      </c>
      <c r="G48" s="53">
        <v>26379</v>
      </c>
      <c r="H48" s="15">
        <f>G48+'Income Statement'!H144+'Cash Flow Statement'!H39+'Cash Flow Statement'!H38-'Share Count'!H10*H45</f>
        <v>27384.91933716438</v>
      </c>
      <c r="I48" s="1"/>
      <c r="J48" s="4" t="s">
        <v>442</v>
      </c>
      <c r="K48" s="1"/>
      <c r="L48" s="1"/>
      <c r="M48" s="1"/>
    </row>
    <row r="49" ht="15" customHeight="1">
      <c r="A49" s="1"/>
      <c r="B49" s="1" t="s">
        <v>443</v>
      </c>
      <c r="C49" s="53">
        <v>-3249</v>
      </c>
      <c r="D49" s="53">
        <v>-3277</v>
      </c>
      <c r="E49" s="17">
        <f t="shared" si="1"/>
        <v>-3277</v>
      </c>
      <c r="F49" s="53">
        <v>-3311</v>
      </c>
      <c r="G49" s="53">
        <v>-3355</v>
      </c>
      <c r="H49" s="52">
        <f t="shared" si="1"/>
        <v>-3355</v>
      </c>
      <c r="I49" s="1"/>
      <c r="J49" s="4" t="s">
        <v>444</v>
      </c>
      <c r="K49" s="1"/>
      <c r="L49" s="1"/>
      <c r="M49" s="1"/>
    </row>
    <row r="50" ht="15" customHeight="1">
      <c r="A50" s="1"/>
      <c r="B50" s="3" t="s">
        <v>445</v>
      </c>
      <c r="C50" s="63">
        <f t="shared" si="11" ref="C50:H50">C46+C47+C48+C49</f>
        <v>32417</v>
      </c>
      <c r="D50" s="63">
        <f t="shared" si="11"/>
        <v>33474</v>
      </c>
      <c r="E50" s="63">
        <f t="shared" si="11"/>
        <v>33474</v>
      </c>
      <c r="F50" s="63">
        <f t="shared" si="11"/>
        <v>33995</v>
      </c>
      <c r="G50" s="63">
        <f t="shared" si="11"/>
        <v>34280</v>
      </c>
      <c r="H50" s="34">
        <f t="shared" si="11"/>
        <v>35434.66933716438</v>
      </c>
      <c r="I50" s="1"/>
      <c r="J50" s="1"/>
      <c r="K50" s="1"/>
      <c r="L50" s="1"/>
      <c r="M50" s="1"/>
    </row>
    <row r="51" ht="15" customHeight="1">
      <c r="A51" s="1"/>
      <c r="B51" s="3" t="s">
        <v>446</v>
      </c>
      <c r="C51" s="63">
        <f t="shared" si="12" ref="C51:H51">C42+C50</f>
        <v>297550</v>
      </c>
      <c r="D51" s="63">
        <f t="shared" si="12"/>
        <v>300052</v>
      </c>
      <c r="E51" s="63">
        <f t="shared" si="12"/>
        <v>300052</v>
      </c>
      <c r="F51" s="63">
        <f t="shared" si="12"/>
        <v>308894</v>
      </c>
      <c r="G51" s="63">
        <f t="shared" si="12"/>
        <v>308203</v>
      </c>
      <c r="H51" s="34">
        <f t="shared" si="12"/>
        <v>311032.6693371644</v>
      </c>
      <c r="I51" s="1"/>
      <c r="J51" s="1"/>
      <c r="K51" s="1"/>
      <c r="L51" s="1"/>
      <c r="M51" s="1"/>
    </row>
    <row r="52" ht="15" customHeight="1">
      <c r="A52" s="1"/>
      <c r="B52" s="4" t="s">
        <v>447</v>
      </c>
      <c r="C52" s="40">
        <f t="shared" si="13" ref="C52:H52">C31-C42-C50</f>
        <v>0</v>
      </c>
      <c r="D52" s="40">
        <f t="shared" si="13"/>
        <v>0</v>
      </c>
      <c r="E52" s="40">
        <f t="shared" si="13"/>
        <v>0</v>
      </c>
      <c r="F52" s="40">
        <f t="shared" si="13"/>
        <v>0</v>
      </c>
      <c r="G52" s="40">
        <f t="shared" si="13"/>
        <v>0</v>
      </c>
      <c r="H52" s="38">
        <f t="shared" si="13"/>
        <v>0</v>
      </c>
      <c r="I52" s="1"/>
      <c r="J52" s="4" t="s">
        <v>448</v>
      </c>
      <c r="K52" s="1"/>
      <c r="L52" s="1"/>
      <c r="M52" s="1"/>
    </row>
    <row r="53" ht="15" customHeight="1">
      <c r="A53" s="1"/>
      <c r="B53" s="1"/>
      <c r="C53" s="1"/>
      <c r="D53" s="1"/>
      <c r="E53" s="1"/>
      <c r="F53" s="1"/>
      <c r="G53" s="1"/>
      <c r="H53" s="29"/>
      <c r="I53" s="1"/>
      <c r="J53" s="1"/>
      <c r="K53" s="1"/>
      <c r="L53" s="1"/>
      <c r="M53" s="1"/>
    </row>
    <row r="54" ht="15" customHeight="1">
      <c r="A54" s="1"/>
      <c r="B54" s="4" t="s">
        <v>449</v>
      </c>
      <c r="C54" s="36">
        <f>C14/Inputs!C236-1</f>
        <v>0.0632625652151455</v>
      </c>
      <c r="D54" s="36">
        <f>D14/Inputs!D236-1</f>
        <v>0.07422960042193028</v>
      </c>
      <c r="E54" s="36">
        <f>E14/Inputs!E236-1</f>
        <v>0.07422960042193028</v>
      </c>
      <c r="F54" s="36">
        <f>F14/Inputs!F236-1</f>
        <v>0.07893033089536994</v>
      </c>
      <c r="G54" s="36">
        <f>G14/Inputs!G236-1</f>
        <v>0.08015435447038488</v>
      </c>
      <c r="H54" s="37">
        <f>H14/C14-1</f>
        <v>0.07075015667737095</v>
      </c>
      <c r="I54" s="1"/>
      <c r="J54" s="1"/>
      <c r="K54" s="1"/>
      <c r="L54" s="1"/>
      <c r="M54" s="1"/>
    </row>
    <row r="55" ht="15" customHeight="1">
      <c r="A55" s="1"/>
      <c r="B55" s="30" t="s">
        <v>450</v>
      </c>
      <c r="C55" s="1"/>
      <c r="D55" s="1"/>
      <c r="E55" s="1"/>
      <c r="F55" s="1"/>
      <c r="G55" s="1"/>
      <c r="H55" s="29"/>
      <c r="I55" s="1"/>
      <c r="J55" s="1"/>
      <c r="K55" s="1"/>
      <c r="L55" s="1"/>
      <c r="M55" s="1"/>
    </row>
    <row r="56" ht="15" customHeight="1">
      <c r="A56" s="1"/>
      <c r="B56" s="31" t="s">
        <v>451</v>
      </c>
      <c r="C56" s="53">
        <v>135403</v>
      </c>
      <c r="D56" s="53">
        <v>144324</v>
      </c>
      <c r="E56" s="17">
        <f t="shared" si="1"/>
        <v>144324</v>
      </c>
      <c r="F56" s="53">
        <v>140908</v>
      </c>
      <c r="G56" s="53">
        <v>144974</v>
      </c>
      <c r="H56" s="52">
        <f>H14*G57</f>
        <v>146533.74668660059</v>
      </c>
      <c r="I56" s="1"/>
      <c r="J56" s="4" t="s">
        <v>452</v>
      </c>
      <c r="K56" s="1"/>
      <c r="L56" s="1"/>
      <c r="M56" s="1"/>
    </row>
    <row r="57" ht="15" customHeight="1">
      <c r="A57" s="1"/>
      <c r="B57" s="41" t="s">
        <v>453</v>
      </c>
      <c r="C57" s="39">
        <f t="shared" si="14" ref="C57:H57">C56/C14</f>
        <v>0.6578166218901363</v>
      </c>
      <c r="D57" s="39">
        <f t="shared" si="14"/>
        <v>0.674843240766285</v>
      </c>
      <c r="E57" s="39">
        <f t="shared" si="14"/>
        <v>0.674843240766285</v>
      </c>
      <c r="F57" s="39">
        <f t="shared" si="14"/>
        <v>0.660575403987605</v>
      </c>
      <c r="G57" s="39">
        <f t="shared" si="14"/>
        <v>0.6648536601025434</v>
      </c>
      <c r="H57" s="37">
        <f t="shared" si="14"/>
        <v>0.6648536601025435</v>
      </c>
      <c r="I57" s="1"/>
      <c r="J57" s="1"/>
      <c r="K57" s="1"/>
      <c r="L57" s="1"/>
      <c r="M57" s="1"/>
    </row>
    <row r="58" ht="15" customHeight="1">
      <c r="A58" s="1"/>
      <c r="B58" s="41" t="s">
        <v>81</v>
      </c>
      <c r="C58" s="43" t="s">
        <v>35</v>
      </c>
      <c r="D58" s="43" t="s">
        <v>35</v>
      </c>
      <c r="E58" s="43" t="s">
        <v>35</v>
      </c>
      <c r="F58" s="43" t="s">
        <v>35</v>
      </c>
      <c r="G58" s="43" t="s">
        <v>35</v>
      </c>
      <c r="H58" s="48">
        <f t="shared" si="15"/>
        <v>70.37038212407198</v>
      </c>
      <c r="I58" s="1"/>
      <c r="J58" s="1"/>
      <c r="K58" s="1"/>
      <c r="L58" s="1"/>
      <c r="M58" s="1"/>
    </row>
    <row r="59" ht="15" customHeight="1">
      <c r="A59" s="1"/>
      <c r="B59" s="41" t="s">
        <v>82</v>
      </c>
      <c r="C59" s="43" t="s">
        <v>35</v>
      </c>
      <c r="D59" s="49">
        <f t="shared" si="4"/>
        <v>170.26618876148646</v>
      </c>
      <c r="E59" s="1"/>
      <c r="F59" s="49">
        <f t="shared" si="16"/>
        <v>-142.67836778680044</v>
      </c>
      <c r="G59" s="49">
        <f t="shared" si="4"/>
        <v>42.78256114938483</v>
      </c>
      <c r="H59" s="48">
        <f t="shared" si="4"/>
        <v>0</v>
      </c>
      <c r="I59" s="1"/>
      <c r="J59" s="1"/>
      <c r="K59" s="1"/>
      <c r="L59" s="1"/>
      <c r="M59" s="1"/>
    </row>
    <row r="60" ht="15" customHeight="1">
      <c r="A60" s="1"/>
      <c r="B60" s="31" t="s">
        <v>454</v>
      </c>
      <c r="C60" s="53">
        <v>53007</v>
      </c>
      <c r="D60" s="53">
        <v>53632</v>
      </c>
      <c r="E60" s="17">
        <f t="shared" si="1"/>
        <v>53632</v>
      </c>
      <c r="F60" s="53">
        <v>55098</v>
      </c>
      <c r="G60" s="53">
        <v>56172</v>
      </c>
      <c r="H60" s="52">
        <f>H14*G61</f>
        <v>56776.34347455218</v>
      </c>
      <c r="I60" s="1"/>
      <c r="J60" s="4" t="s">
        <v>452</v>
      </c>
      <c r="K60" s="1"/>
      <c r="L60" s="1"/>
      <c r="M60" s="1"/>
    </row>
    <row r="61" ht="15" customHeight="1">
      <c r="A61" s="1"/>
      <c r="B61" s="41" t="s">
        <v>453</v>
      </c>
      <c r="C61" s="39">
        <f t="shared" si="17" ref="C61:H61">C60/C14</f>
        <v>0.25751929925134937</v>
      </c>
      <c r="D61" s="39">
        <f t="shared" si="17"/>
        <v>0.25077736681894486</v>
      </c>
      <c r="E61" s="39">
        <f t="shared" si="17"/>
        <v>0.25077736681894486</v>
      </c>
      <c r="F61" s="39">
        <f t="shared" si="17"/>
        <v>0.25829891566773394</v>
      </c>
      <c r="G61" s="39">
        <f t="shared" si="17"/>
        <v>0.25760591413136197</v>
      </c>
      <c r="H61" s="37">
        <f t="shared" si="17"/>
        <v>0.25760591413136197</v>
      </c>
      <c r="I61" s="1"/>
      <c r="J61" s="1"/>
      <c r="K61" s="1"/>
      <c r="L61" s="1"/>
      <c r="M61" s="1"/>
    </row>
    <row r="62" ht="15" customHeight="1">
      <c r="A62" s="1"/>
      <c r="B62" s="41" t="s">
        <v>81</v>
      </c>
      <c r="C62" s="43" t="s">
        <v>35</v>
      </c>
      <c r="D62" s="43" t="s">
        <v>35</v>
      </c>
      <c r="E62" s="43" t="s">
        <v>35</v>
      </c>
      <c r="F62" s="43" t="s">
        <v>35</v>
      </c>
      <c r="G62" s="43" t="s">
        <v>35</v>
      </c>
      <c r="H62" s="48">
        <f t="shared" si="15"/>
        <v>0.866148800126032</v>
      </c>
      <c r="I62" s="1"/>
      <c r="J62" s="1"/>
      <c r="K62" s="1"/>
      <c r="L62" s="1"/>
      <c r="M62" s="1"/>
    </row>
    <row r="63" ht="15" customHeight="1">
      <c r="A63" s="1"/>
      <c r="B63" s="41" t="s">
        <v>82</v>
      </c>
      <c r="C63" s="43" t="s">
        <v>35</v>
      </c>
      <c r="D63" s="49">
        <f t="shared" si="4"/>
        <v>-67.41932432404508</v>
      </c>
      <c r="E63" s="1"/>
      <c r="F63" s="49">
        <f t="shared" si="16"/>
        <v>75.21548848789084</v>
      </c>
      <c r="G63" s="49">
        <f t="shared" si="4"/>
        <v>-6.930015363719733</v>
      </c>
      <c r="H63" s="48">
        <f t="shared" si="4"/>
        <v>0</v>
      </c>
      <c r="I63" s="1"/>
      <c r="J63" s="1"/>
      <c r="K63" s="1"/>
      <c r="L63" s="1"/>
      <c r="M63" s="1"/>
    </row>
    <row r="64" ht="15" customHeight="1">
      <c r="A64" s="1"/>
      <c r="B64" s="31" t="s">
        <v>455</v>
      </c>
      <c r="C64" s="53">
        <v>17426</v>
      </c>
      <c r="D64" s="53">
        <v>15907</v>
      </c>
      <c r="E64" s="17">
        <f t="shared" si="1"/>
        <v>15907</v>
      </c>
      <c r="F64" s="53">
        <v>17306</v>
      </c>
      <c r="G64" s="53">
        <v>16908</v>
      </c>
      <c r="H64" s="52">
        <f>H14*G65</f>
        <v>17089.90983884726</v>
      </c>
      <c r="I64" s="1"/>
      <c r="J64" s="4" t="s">
        <v>452</v>
      </c>
      <c r="K64" s="1"/>
      <c r="L64" s="1"/>
      <c r="M64" s="1"/>
    </row>
    <row r="65" ht="15" customHeight="1">
      <c r="A65" s="1"/>
      <c r="B65" s="41" t="s">
        <v>453</v>
      </c>
      <c r="C65" s="39">
        <f t="shared" si="18" ref="C65:H65">C64/C14</f>
        <v>0.08465922064546219</v>
      </c>
      <c r="D65" s="39">
        <f t="shared" si="18"/>
        <v>0.0743793924147702</v>
      </c>
      <c r="E65" s="39">
        <f t="shared" si="18"/>
        <v>0.0743793924147702</v>
      </c>
      <c r="F65" s="39">
        <f t="shared" si="18"/>
        <v>0.08113036833543512</v>
      </c>
      <c r="G65" s="39">
        <f t="shared" si="18"/>
        <v>0.07754042576609464</v>
      </c>
      <c r="H65" s="37">
        <f t="shared" si="18"/>
        <v>0.07754042576609464</v>
      </c>
      <c r="I65" s="1"/>
      <c r="J65" s="1"/>
      <c r="K65" s="1"/>
      <c r="L65" s="1"/>
      <c r="M65" s="1"/>
    </row>
    <row r="66" ht="15" customHeight="1">
      <c r="A66" s="1"/>
      <c r="B66" s="41" t="s">
        <v>81</v>
      </c>
      <c r="C66" s="43" t="s">
        <v>35</v>
      </c>
      <c r="D66" s="43" t="s">
        <v>35</v>
      </c>
      <c r="E66" s="43" t="s">
        <v>35</v>
      </c>
      <c r="F66" s="43" t="s">
        <v>35</v>
      </c>
      <c r="G66" s="43" t="s">
        <v>35</v>
      </c>
      <c r="H66" s="48">
        <f t="shared" si="15"/>
        <v>-71.18794879367549</v>
      </c>
      <c r="I66" s="1"/>
      <c r="J66" s="1"/>
      <c r="K66" s="1"/>
      <c r="L66" s="1"/>
      <c r="M66" s="1"/>
    </row>
    <row r="67" ht="15" customHeight="1">
      <c r="A67" s="1"/>
      <c r="B67" s="41" t="s">
        <v>82</v>
      </c>
      <c r="C67" s="43" t="s">
        <v>35</v>
      </c>
      <c r="D67" s="49">
        <f t="shared" si="4"/>
        <v>-102.79828230691984</v>
      </c>
      <c r="E67" s="1"/>
      <c r="F67" s="49">
        <f t="shared" si="16"/>
        <v>67.50975920664912</v>
      </c>
      <c r="G67" s="49">
        <f t="shared" si="4"/>
        <v>-35.899425693404766</v>
      </c>
      <c r="H67" s="48">
        <f t="shared" si="4"/>
        <v>0</v>
      </c>
      <c r="I67" s="1"/>
      <c r="J67" s="1"/>
      <c r="K67" s="1"/>
      <c r="L67" s="1"/>
      <c r="M67" s="1"/>
    </row>
    <row r="68" ht="15" customHeight="1">
      <c r="A68" s="1"/>
      <c r="B68" s="31" t="s">
        <v>456</v>
      </c>
      <c r="C68" s="53">
        <v>61023</v>
      </c>
      <c r="D68" s="53">
        <v>62031</v>
      </c>
      <c r="E68" s="17">
        <f t="shared" si="1"/>
        <v>62031</v>
      </c>
      <c r="F68" s="53">
        <v>61096</v>
      </c>
      <c r="G68" s="53">
        <v>62026</v>
      </c>
      <c r="H68" s="52">
        <f>H14*G69</f>
        <v>62693.325506525915</v>
      </c>
      <c r="I68" s="1"/>
      <c r="J68" s="4" t="s">
        <v>452</v>
      </c>
      <c r="K68" s="1"/>
      <c r="L68" s="1"/>
      <c r="M68" s="1"/>
    </row>
    <row r="69" ht="15" customHeight="1">
      <c r="A69" s="1"/>
      <c r="B69" s="41" t="s">
        <v>453</v>
      </c>
      <c r="C69" s="39">
        <f t="shared" si="19" ref="C69:H69">C68/C14</f>
        <v>0.29646273507678406</v>
      </c>
      <c r="D69" s="39">
        <f t="shared" si="19"/>
        <v>0.2900501723065701</v>
      </c>
      <c r="E69" s="39">
        <f t="shared" si="19"/>
        <v>0.2900501723065701</v>
      </c>
      <c r="F69" s="39">
        <f t="shared" si="19"/>
        <v>0.2864174843303908</v>
      </c>
      <c r="G69" s="39">
        <f t="shared" si="19"/>
        <v>0.28445247507498145</v>
      </c>
      <c r="H69" s="37">
        <f t="shared" si="19"/>
        <v>0.28445247507498145</v>
      </c>
      <c r="I69" s="1"/>
      <c r="J69" s="1"/>
      <c r="K69" s="1"/>
      <c r="L69" s="1"/>
      <c r="M69" s="1"/>
    </row>
    <row r="70" ht="15" customHeight="1">
      <c r="A70" s="1"/>
      <c r="B70" s="41" t="s">
        <v>81</v>
      </c>
      <c r="C70" s="43" t="s">
        <v>35</v>
      </c>
      <c r="D70" s="43" t="s">
        <v>35</v>
      </c>
      <c r="E70" s="43" t="s">
        <v>35</v>
      </c>
      <c r="F70" s="43" t="s">
        <v>35</v>
      </c>
      <c r="G70" s="43" t="s">
        <v>35</v>
      </c>
      <c r="H70" s="48">
        <f t="shared" si="15"/>
        <v>-120.10260001802608</v>
      </c>
      <c r="I70" s="1"/>
      <c r="J70" s="1"/>
      <c r="K70" s="1"/>
      <c r="L70" s="1"/>
      <c r="M70" s="1"/>
    </row>
    <row r="71" ht="15" customHeight="1">
      <c r="A71" s="1"/>
      <c r="B71" s="41" t="s">
        <v>82</v>
      </c>
      <c r="C71" s="43" t="s">
        <v>35</v>
      </c>
      <c r="D71" s="49">
        <f t="shared" si="4"/>
        <v>-64.12562770213958</v>
      </c>
      <c r="E71" s="1"/>
      <c r="F71" s="49">
        <f t="shared" si="16"/>
        <v>-36.32687976179272</v>
      </c>
      <c r="G71" s="49">
        <f t="shared" si="4"/>
        <v>-19.650092554093778</v>
      </c>
      <c r="H71" s="48">
        <f t="shared" si="4"/>
        <v>0</v>
      </c>
      <c r="I71" s="1"/>
      <c r="J71" s="1"/>
      <c r="K71" s="1"/>
      <c r="L71" s="1"/>
      <c r="M71" s="1"/>
    </row>
    <row r="72" ht="15" customHeight="1">
      <c r="A72" s="1"/>
      <c r="B72" s="4" t="s">
        <v>457</v>
      </c>
      <c r="C72" s="40">
        <f t="shared" si="20" ref="C72:H72">C56+C60+C64-C14</f>
        <v>-1</v>
      </c>
      <c r="D72" s="40">
        <f t="shared" si="20"/>
        <v>0</v>
      </c>
      <c r="E72" s="40">
        <f t="shared" si="20"/>
        <v>0</v>
      </c>
      <c r="F72" s="40">
        <f t="shared" si="20"/>
        <v>1</v>
      </c>
      <c r="G72" s="40">
        <f t="shared" si="20"/>
        <v>0</v>
      </c>
      <c r="H72" s="38">
        <f t="shared" si="20"/>
        <v>0</v>
      </c>
      <c r="I72" s="1"/>
      <c r="J72" s="1"/>
      <c r="K72" s="1"/>
      <c r="L72" s="1"/>
      <c r="M72" s="1"/>
    </row>
    <row r="73" ht="15" customHeight="1">
      <c r="A73" s="1"/>
      <c r="B73" s="1" t="s">
        <v>458</v>
      </c>
      <c r="C73" s="53">
        <v>1584</v>
      </c>
      <c r="D73" s="53">
        <v>1584</v>
      </c>
      <c r="E73" s="53">
        <v>1584</v>
      </c>
      <c r="F73" s="53">
        <v>1584</v>
      </c>
      <c r="G73" s="53">
        <v>1584</v>
      </c>
      <c r="H73" s="32">
        <v>1584</v>
      </c>
      <c r="I73" s="1"/>
      <c r="J73" s="4" t="s">
        <v>459</v>
      </c>
      <c r="K73" s="1"/>
      <c r="L73" s="1"/>
      <c r="M73" s="1"/>
    </row>
    <row r="74" ht="15" customHeight="1">
      <c r="A74" s="1"/>
      <c r="B74" s="1" t="s">
        <v>460</v>
      </c>
      <c r="C74" s="22">
        <f>(C50-C73)/'Share Count'!C12</f>
        <v>44.750362844702465</v>
      </c>
      <c r="D74" s="22">
        <f>(D50-D73)/'Share Count'!D12</f>
        <v>46.4868804664723</v>
      </c>
      <c r="E74" s="22">
        <f>(E50-E73)/'Share Count'!E12</f>
        <v>46.4868804664723</v>
      </c>
      <c r="F74" s="22">
        <f>(F50-F73)/'Share Count'!F12</f>
        <v>47.523460410557185</v>
      </c>
      <c r="G74" s="22">
        <f>(G50-G73)/'Share Count'!G12</f>
        <v>48.43851851851852</v>
      </c>
      <c r="H74" s="21">
        <f>(H50-H73)/'Share Count'!H12</f>
        <v>50.61782330790935</v>
      </c>
      <c r="I74" s="1"/>
      <c r="J74" s="1"/>
      <c r="K74" s="1"/>
      <c r="L74" s="1"/>
      <c r="M74" s="1"/>
    </row>
    <row r="75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ht="1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E3BE848-2068-BF8C-1A88-7F348058D23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461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30" t="s">
        <v>462</v>
      </c>
      <c r="C9" s="1"/>
      <c r="D9" s="1"/>
      <c r="E9" s="1"/>
      <c r="F9" s="1"/>
      <c r="G9" s="1"/>
      <c r="H9" s="29"/>
      <c r="I9" s="1"/>
      <c r="J9" s="4" t="s">
        <v>463</v>
      </c>
      <c r="K9" s="1"/>
      <c r="L9" s="1"/>
      <c r="M9" s="1"/>
    </row>
    <row r="10" ht="15" customHeight="1">
      <c r="A10" s="1"/>
      <c r="B10" s="1" t="s">
        <v>357</v>
      </c>
      <c r="C10" s="16">
        <f>Inputs!D174-Inputs!C174</f>
        <v>2902</v>
      </c>
      <c r="D10" s="16">
        <f>Inputs!E174-Inputs!D174</f>
        <v>2462</v>
      </c>
      <c r="E10" s="16">
        <f>Inputs!E174</f>
        <v>10833</v>
      </c>
      <c r="F10" s="16">
        <f>Inputs!F174</f>
        <v>2971</v>
      </c>
      <c r="G10" s="16">
        <f>Inputs!G174-Inputs!F174</f>
        <v>3111</v>
      </c>
      <c r="H10" s="15">
        <f>'Income Statement'!H144</f>
        <v>3656.950587164383</v>
      </c>
      <c r="I10" s="1"/>
      <c r="J10" s="4" t="s">
        <v>464</v>
      </c>
      <c r="K10" s="1"/>
      <c r="L10" s="1"/>
      <c r="M10" s="1"/>
    </row>
    <row r="11" ht="15" customHeight="1">
      <c r="A11" s="1"/>
      <c r="B11" s="31" t="s">
        <v>148</v>
      </c>
      <c r="C11" s="16">
        <f>Inputs!D175-Inputs!C175</f>
        <v>1287</v>
      </c>
      <c r="D11" s="16">
        <f>Inputs!E175-Inputs!D175</f>
        <v>1414</v>
      </c>
      <c r="E11" s="16">
        <f>Inputs!E175</f>
        <v>5256</v>
      </c>
      <c r="F11" s="16">
        <f>Inputs!F175</f>
        <v>1251</v>
      </c>
      <c r="G11" s="16">
        <f>Inputs!G175-Inputs!F175</f>
        <v>1085</v>
      </c>
      <c r="H11" s="15">
        <f>'Income Statement'!H70</f>
        <v>1286.7231561643837</v>
      </c>
      <c r="I11" s="1"/>
      <c r="J11" s="4" t="s">
        <v>465</v>
      </c>
      <c r="K11" s="1"/>
      <c r="L11" s="1"/>
      <c r="M11" s="1"/>
    </row>
    <row r="12" ht="15" customHeight="1">
      <c r="A12" s="1"/>
      <c r="B12" s="31" t="s">
        <v>466</v>
      </c>
      <c r="C12" s="16">
        <f>Inputs!D176-Inputs!C176</f>
        <v>455</v>
      </c>
      <c r="D12" s="16">
        <f>Inputs!E176-Inputs!D176</f>
        <v>462</v>
      </c>
      <c r="E12" s="16">
        <f>Inputs!E176</f>
        <v>1777</v>
      </c>
      <c r="F12" s="16">
        <f>Inputs!F176</f>
        <v>468</v>
      </c>
      <c r="G12" s="16">
        <f>Inputs!G176-Inputs!F176</f>
        <v>488</v>
      </c>
      <c r="H12" s="32">
        <v>500</v>
      </c>
      <c r="I12" s="1"/>
      <c r="J12" s="4" t="s">
        <v>467</v>
      </c>
      <c r="K12" s="1"/>
      <c r="L12" s="1"/>
      <c r="M12" s="1"/>
    </row>
    <row r="13" ht="15" customHeight="1">
      <c r="A13" s="1"/>
      <c r="B13" s="31" t="s">
        <v>468</v>
      </c>
      <c r="C13" s="16">
        <f>Inputs!D177-Inputs!C177</f>
        <v>125</v>
      </c>
      <c r="D13" s="16">
        <f>Inputs!E177-Inputs!D177</f>
        <v>141</v>
      </c>
      <c r="E13" s="16">
        <f>Inputs!E177</f>
        <v>551</v>
      </c>
      <c r="F13" s="16">
        <f>Inputs!F177</f>
        <v>203</v>
      </c>
      <c r="G13" s="16">
        <f>Inputs!G177-Inputs!F177</f>
        <v>155</v>
      </c>
      <c r="H13" s="32">
        <v>150</v>
      </c>
      <c r="I13" s="1"/>
      <c r="J13" s="4" t="s">
        <v>469</v>
      </c>
      <c r="K13" s="1"/>
      <c r="L13" s="1"/>
      <c r="M13" s="1"/>
    </row>
    <row r="14" ht="15" customHeight="1">
      <c r="A14" s="1"/>
      <c r="B14" s="31" t="s">
        <v>470</v>
      </c>
      <c r="C14" s="16">
        <f>Inputs!D178-Inputs!C178</f>
        <v>-257</v>
      </c>
      <c r="D14" s="16">
        <f>Inputs!E178-Inputs!D178</f>
        <v>100</v>
      </c>
      <c r="E14" s="16">
        <f>Inputs!E178</f>
        <v>-542</v>
      </c>
      <c r="F14" s="16">
        <f>Inputs!F178</f>
        <v>145</v>
      </c>
      <c r="G14" s="16">
        <f>Inputs!G178-Inputs!F178</f>
        <v>-74</v>
      </c>
      <c r="H14" s="32">
        <v>0</v>
      </c>
      <c r="I14" s="1"/>
      <c r="J14" s="4" t="s">
        <v>471</v>
      </c>
      <c r="K14" s="1"/>
      <c r="L14" s="1"/>
      <c r="M14" s="1"/>
    </row>
    <row r="15" ht="15" customHeight="1">
      <c r="A15" s="1"/>
      <c r="B15" s="31" t="s">
        <v>472</v>
      </c>
      <c r="C15" s="16">
        <f>Inputs!D179-Inputs!C179</f>
        <v>13</v>
      </c>
      <c r="D15" s="16">
        <f>Inputs!E179-Inputs!D179</f>
        <v>-311</v>
      </c>
      <c r="E15" s="16">
        <f>Inputs!E179</f>
        <v>-237</v>
      </c>
      <c r="F15" s="16">
        <f>Inputs!F179</f>
        <v>-282</v>
      </c>
      <c r="G15" s="16">
        <f>Inputs!G179-Inputs!F179</f>
        <v>-655</v>
      </c>
      <c r="H15" s="15">
        <f>'Income Statement'!H118</f>
        <v>-975</v>
      </c>
      <c r="I15" s="1"/>
      <c r="J15" s="4" t="s">
        <v>473</v>
      </c>
      <c r="K15" s="1"/>
      <c r="L15" s="1"/>
      <c r="M15" s="1"/>
    </row>
    <row r="16" ht="15" customHeight="1">
      <c r="A16" s="1"/>
      <c r="B16" s="31" t="s">
        <v>474</v>
      </c>
      <c r="C16" s="16">
        <f>Inputs!D180-Inputs!C180</f>
        <v>0</v>
      </c>
      <c r="D16" s="16">
        <f>Inputs!E180-Inputs!D180</f>
        <v>-74</v>
      </c>
      <c r="E16" s="16">
        <f>Inputs!E180</f>
        <v>-74</v>
      </c>
      <c r="F16" s="16">
        <f>Inputs!F180</f>
        <v>-42</v>
      </c>
      <c r="G16" s="16">
        <f>Inputs!G180-Inputs!F180</f>
        <v>-25</v>
      </c>
      <c r="H16" s="32">
        <v>0</v>
      </c>
      <c r="I16" s="1"/>
      <c r="J16" s="4" t="s">
        <v>475</v>
      </c>
      <c r="K16" s="1"/>
      <c r="L16" s="1"/>
      <c r="M16" s="1"/>
    </row>
    <row r="17" ht="15" customHeight="1">
      <c r="A17" s="1"/>
      <c r="B17" s="31" t="s">
        <v>476</v>
      </c>
      <c r="C17" s="16">
        <f>Inputs!D181-Inputs!C181</f>
        <v>-181</v>
      </c>
      <c r="D17" s="16">
        <f>Inputs!E181-Inputs!D181</f>
        <v>-1448</v>
      </c>
      <c r="E17" s="16">
        <f>Inputs!E181</f>
        <v>-2781</v>
      </c>
      <c r="F17" s="16">
        <f>Inputs!F181</f>
        <v>-1386</v>
      </c>
      <c r="G17" s="16">
        <f>Inputs!G181-Inputs!F181</f>
        <v>-450</v>
      </c>
      <c r="H17" s="15">
        <f>-('Balance Sheet'!H30-'Balance Sheet'!G30+H54)</f>
        <v>2.2737367544323206e-13</v>
      </c>
      <c r="I17" s="1"/>
      <c r="J17" s="1"/>
      <c r="K17" s="1"/>
      <c r="L17" s="1"/>
      <c r="M17" s="1"/>
    </row>
    <row r="18" ht="15" customHeight="1">
      <c r="A18" s="1"/>
      <c r="B18" s="31" t="s">
        <v>477</v>
      </c>
      <c r="C18" s="16">
        <f>Inputs!D182-Inputs!C182</f>
        <v>1889</v>
      </c>
      <c r="D18" s="16">
        <f>Inputs!E182-Inputs!D182</f>
        <v>321</v>
      </c>
      <c r="E18" s="16">
        <f>Inputs!E182</f>
        <v>3645</v>
      </c>
      <c r="F18" s="16">
        <f>Inputs!F182</f>
        <v>476</v>
      </c>
      <c r="G18" s="16">
        <f>Inputs!G182-Inputs!F182</f>
        <v>1736</v>
      </c>
      <c r="H18" s="15">
        <f>('Balance Sheet'!H38+'Balance Sheet'!H41)-('Balance Sheet'!G38+'Balance Sheet'!G41)</f>
        <v>175</v>
      </c>
      <c r="I18" s="1"/>
      <c r="J18" s="1"/>
      <c r="K18" s="1"/>
      <c r="L18" s="1"/>
      <c r="M18" s="1"/>
    </row>
    <row r="19" ht="15" customHeight="1">
      <c r="A19" s="1"/>
      <c r="B19" s="3" t="s">
        <v>478</v>
      </c>
      <c r="C19" s="63">
        <f t="shared" si="1" ref="C19:H19">SUM(C10:C18)</f>
        <v>6233</v>
      </c>
      <c r="D19" s="63">
        <f t="shared" si="1"/>
        <v>3067</v>
      </c>
      <c r="E19" s="63">
        <f t="shared" si="1"/>
        <v>18428</v>
      </c>
      <c r="F19" s="63">
        <f t="shared" si="1"/>
        <v>3804</v>
      </c>
      <c r="G19" s="63">
        <f t="shared" si="1"/>
        <v>5371</v>
      </c>
      <c r="H19" s="34">
        <f t="shared" si="1"/>
        <v>4793.673743328767</v>
      </c>
      <c r="I19" s="1"/>
      <c r="J19" s="1"/>
      <c r="K19" s="1"/>
      <c r="L19" s="1"/>
      <c r="M19" s="1"/>
    </row>
    <row r="20" ht="15" customHeight="1">
      <c r="A20" s="1"/>
      <c r="B20" s="35" t="s">
        <v>70</v>
      </c>
      <c r="C20" s="43" t="s">
        <v>35</v>
      </c>
      <c r="D20" s="43" t="s">
        <v>35</v>
      </c>
      <c r="E20" s="43" t="s">
        <v>35</v>
      </c>
      <c r="F20" s="43" t="s">
        <v>35</v>
      </c>
      <c r="G20" s="43" t="s">
        <v>35</v>
      </c>
      <c r="H20" s="37">
        <f>H19/C19-1</f>
        <v>-0.23092030429507993</v>
      </c>
      <c r="I20" s="1"/>
      <c r="J20" s="1"/>
      <c r="K20" s="1"/>
      <c r="L20" s="1"/>
      <c r="M20" s="1"/>
    </row>
    <row r="21" ht="15" customHeight="1">
      <c r="A21" s="1"/>
      <c r="B21" s="1"/>
      <c r="C21" s="1"/>
      <c r="D21" s="1"/>
      <c r="E21" s="1"/>
      <c r="F21" s="1"/>
      <c r="G21" s="1"/>
      <c r="H21" s="29"/>
      <c r="I21" s="1"/>
      <c r="J21" s="1"/>
      <c r="K21" s="1"/>
      <c r="L21" s="1"/>
      <c r="M21" s="1"/>
    </row>
    <row r="22" ht="15" customHeight="1">
      <c r="A22" s="1"/>
      <c r="B22" s="30" t="s">
        <v>479</v>
      </c>
      <c r="C22" s="1"/>
      <c r="D22" s="1"/>
      <c r="E22" s="1"/>
      <c r="F22" s="1"/>
      <c r="G22" s="1"/>
      <c r="H22" s="29"/>
      <c r="I22" s="1"/>
      <c r="J22" s="1"/>
      <c r="K22" s="1"/>
      <c r="L22" s="1"/>
      <c r="M22" s="1"/>
    </row>
    <row r="23" ht="15" customHeight="1">
      <c r="A23" s="1"/>
      <c r="B23" s="31" t="s">
        <v>480</v>
      </c>
      <c r="C23" s="16">
        <f>Inputs!D183-Inputs!C183</f>
        <v>41</v>
      </c>
      <c r="D23" s="16">
        <f>Inputs!E183-Inputs!D183</f>
        <v>5</v>
      </c>
      <c r="E23" s="16">
        <f>Inputs!E183</f>
        <v>47</v>
      </c>
      <c r="F23" s="16">
        <f>Inputs!F183</f>
        <v>8</v>
      </c>
      <c r="G23" s="16">
        <f>Inputs!G183-Inputs!F183</f>
        <v>16</v>
      </c>
      <c r="H23" s="32">
        <v>0</v>
      </c>
      <c r="I23" s="1"/>
      <c r="J23" s="4" t="s">
        <v>481</v>
      </c>
      <c r="K23" s="1"/>
      <c r="L23" s="1"/>
      <c r="M23" s="1"/>
    </row>
    <row r="24" ht="15" customHeight="1">
      <c r="A24" s="1"/>
      <c r="B24" s="31" t="s">
        <v>482</v>
      </c>
      <c r="C24" s="16">
        <f>Inputs!D184-Inputs!C184</f>
        <v>289</v>
      </c>
      <c r="D24" s="16">
        <f>Inputs!E184-Inputs!D184</f>
        <v>577</v>
      </c>
      <c r="E24" s="16">
        <f>Inputs!E184</f>
        <v>1453</v>
      </c>
      <c r="F24" s="16">
        <f>Inputs!F184</f>
        <v>233</v>
      </c>
      <c r="G24" s="16">
        <f>Inputs!G184-Inputs!F184</f>
        <v>303</v>
      </c>
      <c r="H24" s="32">
        <v>0</v>
      </c>
      <c r="I24" s="1"/>
      <c r="J24" s="4" t="s">
        <v>483</v>
      </c>
      <c r="K24" s="1"/>
      <c r="L24" s="1"/>
      <c r="M24" s="1"/>
    </row>
    <row r="25" ht="15" customHeight="1">
      <c r="A25" s="1"/>
      <c r="B25" s="31" t="s">
        <v>484</v>
      </c>
      <c r="C25" s="16">
        <f>Inputs!D185-Inputs!C185</f>
        <v>-545</v>
      </c>
      <c r="D25" s="16">
        <f>Inputs!E185-Inputs!D185</f>
        <v>-446</v>
      </c>
      <c r="E25" s="16">
        <f>Inputs!E185</f>
        <v>-1760</v>
      </c>
      <c r="F25" s="16">
        <f>Inputs!F185</f>
        <v>-1978</v>
      </c>
      <c r="G25" s="16">
        <f>Inputs!G185-Inputs!F185</f>
        <v>-1877</v>
      </c>
      <c r="H25" s="15">
        <f>-('Balance Sheet'!H28-'Balance Sheet'!G28)</f>
        <v>0</v>
      </c>
      <c r="I25" s="1"/>
      <c r="J25" s="1"/>
      <c r="K25" s="1"/>
      <c r="L25" s="1"/>
      <c r="M25" s="1"/>
    </row>
    <row r="26" ht="15" customHeight="1">
      <c r="A26" s="1"/>
      <c r="B26" s="31" t="s">
        <v>485</v>
      </c>
      <c r="C26" s="16">
        <f>Inputs!D186-Inputs!C186</f>
        <v>-5729</v>
      </c>
      <c r="D26" s="16">
        <f>Inputs!E186-Inputs!D186</f>
        <v>-9361</v>
      </c>
      <c r="E26" s="16">
        <f>Inputs!E186</f>
        <v>-19573</v>
      </c>
      <c r="F26" s="16">
        <f>Inputs!F186</f>
        <v>512</v>
      </c>
      <c r="G26" s="16">
        <f>Inputs!G186-Inputs!F186</f>
        <v>-6495</v>
      </c>
      <c r="H26" s="15">
        <f>-(('Balance Sheet'!H16-'Balance Sheet'!G16)+('Balance Sheet'!H20-'Balance Sheet'!G20)+('Balance Sheet'!H27-'Balance Sheet'!G27)+H11)</f>
        <v>-1953.7231561643837</v>
      </c>
      <c r="I26" s="1"/>
      <c r="J26" s="1"/>
      <c r="K26" s="1"/>
      <c r="L26" s="1"/>
      <c r="M26" s="1"/>
    </row>
    <row r="27" ht="15" customHeight="1">
      <c r="A27" s="1"/>
      <c r="B27" s="31" t="s">
        <v>486</v>
      </c>
      <c r="C27" s="16">
        <f>Inputs!D187-Inputs!C187</f>
        <v>-654</v>
      </c>
      <c r="D27" s="16">
        <f>Inputs!E187-Inputs!D187</f>
        <v>-722</v>
      </c>
      <c r="E27" s="16">
        <f>Inputs!E187</f>
        <v>-2425</v>
      </c>
      <c r="F27" s="16">
        <f>Inputs!F187</f>
        <v>-1149</v>
      </c>
      <c r="G27" s="16">
        <f>Inputs!G187-Inputs!F187</f>
        <v>-898</v>
      </c>
      <c r="H27" s="32">
        <v>-1000</v>
      </c>
      <c r="I27" s="1"/>
      <c r="J27" s="4" t="s">
        <v>487</v>
      </c>
      <c r="K27" s="1"/>
      <c r="L27" s="1"/>
      <c r="M27" s="1"/>
    </row>
    <row r="28" ht="15" customHeight="1">
      <c r="A28" s="1"/>
      <c r="B28" s="31" t="s">
        <v>488</v>
      </c>
      <c r="C28" s="16">
        <f>Inputs!D188-Inputs!C188</f>
        <v>0</v>
      </c>
      <c r="D28" s="16">
        <f>Inputs!E188-Inputs!D188</f>
        <v>0</v>
      </c>
      <c r="E28" s="16">
        <f>Inputs!E188</f>
        <v>-633</v>
      </c>
      <c r="F28" s="16">
        <f>Inputs!F188</f>
        <v>-498</v>
      </c>
      <c r="G28" s="16">
        <f>Inputs!G188-Inputs!F188</f>
        <v>-26</v>
      </c>
      <c r="H28" s="32">
        <v>0</v>
      </c>
      <c r="I28" s="1"/>
      <c r="J28" s="4" t="s">
        <v>489</v>
      </c>
      <c r="K28" s="1"/>
      <c r="L28" s="1"/>
      <c r="M28" s="1"/>
    </row>
    <row r="29" ht="15" customHeight="1">
      <c r="A29" s="1"/>
      <c r="B29" s="31" t="s">
        <v>490</v>
      </c>
      <c r="C29" s="16">
        <f>Inputs!D189-Inputs!C189</f>
        <v>0</v>
      </c>
      <c r="D29" s="16">
        <f>Inputs!E189-Inputs!D189</f>
        <v>0</v>
      </c>
      <c r="E29" s="16">
        <f>Inputs!E189</f>
        <v>0</v>
      </c>
      <c r="F29" s="16">
        <f>Inputs!F189</f>
        <v>0</v>
      </c>
      <c r="G29" s="16">
        <f>Inputs!G189-Inputs!F189</f>
        <v>0</v>
      </c>
      <c r="H29" s="52">
        <f>H53</f>
        <v>1498.9688905</v>
      </c>
      <c r="I29" s="1"/>
      <c r="J29" s="1"/>
      <c r="K29" s="1"/>
      <c r="L29" s="1"/>
      <c r="M29" s="1"/>
    </row>
    <row r="30" ht="15" customHeight="1">
      <c r="A30" s="1"/>
      <c r="B30" s="3" t="s">
        <v>491</v>
      </c>
      <c r="C30" s="63">
        <f t="shared" si="2" ref="C30:H40">SUM(C23:C29)</f>
        <v>-6598</v>
      </c>
      <c r="D30" s="63">
        <f t="shared" si="2"/>
        <v>-9947</v>
      </c>
      <c r="E30" s="63">
        <f t="shared" si="2"/>
        <v>-22891</v>
      </c>
      <c r="F30" s="63">
        <f t="shared" si="2"/>
        <v>-2872</v>
      </c>
      <c r="G30" s="63">
        <f t="shared" si="2"/>
        <v>-8977</v>
      </c>
      <c r="H30" s="34">
        <f t="shared" si="2"/>
        <v>-1454.7542656643836</v>
      </c>
      <c r="I30" s="1"/>
      <c r="J30" s="1"/>
      <c r="K30" s="1"/>
      <c r="L30" s="1"/>
      <c r="M30" s="1"/>
    </row>
    <row r="31" ht="15" customHeight="1">
      <c r="A31" s="1"/>
      <c r="B31" s="1"/>
      <c r="C31" s="1"/>
      <c r="D31" s="1"/>
      <c r="E31" s="1"/>
      <c r="F31" s="1"/>
      <c r="G31" s="1"/>
      <c r="H31" s="29"/>
      <c r="I31" s="1"/>
      <c r="J31" s="1"/>
      <c r="K31" s="1"/>
      <c r="L31" s="1"/>
      <c r="M31" s="1"/>
    </row>
    <row r="32" ht="15" customHeight="1">
      <c r="A32" s="1"/>
      <c r="B32" s="30" t="s">
        <v>492</v>
      </c>
      <c r="C32" s="1"/>
      <c r="D32" s="1"/>
      <c r="E32" s="1"/>
      <c r="F32" s="1"/>
      <c r="G32" s="1"/>
      <c r="H32" s="29"/>
      <c r="I32" s="1"/>
      <c r="J32" s="1"/>
      <c r="K32" s="1"/>
      <c r="L32" s="1"/>
      <c r="M32" s="1"/>
    </row>
    <row r="33" ht="15" customHeight="1">
      <c r="A33" s="1"/>
      <c r="B33" s="31" t="s">
        <v>493</v>
      </c>
      <c r="C33" s="16">
        <f>Inputs!D190-Inputs!C190</f>
        <v>496</v>
      </c>
      <c r="D33" s="16">
        <f>Inputs!E190-Inputs!D190</f>
        <v>2606</v>
      </c>
      <c r="E33" s="16">
        <f>Inputs!E190</f>
        <v>13045</v>
      </c>
      <c r="F33" s="16">
        <f>Inputs!F190</f>
        <v>5375</v>
      </c>
      <c r="G33" s="16">
        <f>Inputs!G190-Inputs!F190</f>
        <v>-971</v>
      </c>
      <c r="H33" s="15">
        <f>'Balance Sheet'!H34-'Balance Sheet'!G34</f>
        <v>1500</v>
      </c>
      <c r="I33" s="1"/>
      <c r="J33" s="1"/>
      <c r="K33" s="1"/>
      <c r="L33" s="1"/>
      <c r="M33" s="1"/>
    </row>
    <row r="34" ht="15" customHeight="1">
      <c r="A34" s="1"/>
      <c r="B34" s="31" t="s">
        <v>494</v>
      </c>
      <c r="C34" s="16">
        <f>Inputs!D191-Inputs!C191</f>
        <v>-20</v>
      </c>
      <c r="D34" s="16">
        <f>Inputs!E191-Inputs!D191</f>
        <v>-28</v>
      </c>
      <c r="E34" s="16">
        <f>Inputs!E191</f>
        <v>-27</v>
      </c>
      <c r="F34" s="16">
        <f>Inputs!F191</f>
        <v>110</v>
      </c>
      <c r="G34" s="16">
        <f>Inputs!G191-Inputs!F191</f>
        <v>371</v>
      </c>
      <c r="H34" s="15">
        <f>'Balance Sheet'!H39-'Balance Sheet'!G39</f>
        <v>0</v>
      </c>
      <c r="I34" s="1"/>
      <c r="J34" s="1"/>
      <c r="K34" s="1"/>
      <c r="L34" s="1"/>
      <c r="M34" s="1"/>
    </row>
    <row r="35" ht="15" customHeight="1">
      <c r="A35" s="1"/>
      <c r="B35" s="31" t="s">
        <v>495</v>
      </c>
      <c r="C35" s="16">
        <f>Inputs!D192-Inputs!C192</f>
        <v>6479</v>
      </c>
      <c r="D35" s="16">
        <f>Inputs!E192-Inputs!D192</f>
        <v>2002</v>
      </c>
      <c r="E35" s="16">
        <f>Inputs!E192</f>
        <v>24377</v>
      </c>
      <c r="F35" s="16">
        <f>Inputs!F192</f>
        <v>3502</v>
      </c>
      <c r="G35" s="16">
        <f>Inputs!G192-Inputs!F192</f>
        <v>2614</v>
      </c>
      <c r="H35" s="32">
        <v>3000</v>
      </c>
      <c r="I35" s="1"/>
      <c r="J35" s="4" t="s">
        <v>496</v>
      </c>
      <c r="K35" s="1"/>
      <c r="L35" s="1"/>
      <c r="M35" s="1"/>
    </row>
    <row r="36" ht="15" customHeight="1">
      <c r="A36" s="1"/>
      <c r="B36" s="31" t="s">
        <v>497</v>
      </c>
      <c r="C36" s="16">
        <f>Inputs!D193-Inputs!C193</f>
        <v>-7001</v>
      </c>
      <c r="D36" s="16">
        <f>Inputs!E193-Inputs!D193</f>
        <v>-3261</v>
      </c>
      <c r="E36" s="16">
        <f>Inputs!E193</f>
        <v>-18157</v>
      </c>
      <c r="F36" s="16">
        <f>Inputs!F193</f>
        <v>-1524</v>
      </c>
      <c r="G36" s="16">
        <f>Inputs!G193-Inputs!F193</f>
        <v>-3947</v>
      </c>
      <c r="H36" s="32">
        <v>-3000</v>
      </c>
      <c r="I36" s="1"/>
      <c r="J36" s="4" t="s">
        <v>498</v>
      </c>
      <c r="K36" s="1"/>
      <c r="L36" s="1"/>
      <c r="M36" s="1"/>
    </row>
    <row r="37" ht="15" customHeight="1">
      <c r="A37" s="1"/>
      <c r="B37" s="31" t="s">
        <v>499</v>
      </c>
      <c r="C37" s="16">
        <f>Inputs!D194-Inputs!C194</f>
        <v>26</v>
      </c>
      <c r="D37" s="16">
        <f>Inputs!E194-Inputs!D194</f>
        <v>9</v>
      </c>
      <c r="E37" s="16">
        <f>Inputs!E194</f>
        <v>57</v>
      </c>
      <c r="F37" s="16">
        <f>Inputs!F194</f>
        <v>7</v>
      </c>
      <c r="G37" s="16">
        <f>Inputs!G194-Inputs!F194</f>
        <v>0</v>
      </c>
      <c r="H37" s="32">
        <v>0</v>
      </c>
      <c r="I37" s="1"/>
      <c r="J37" s="4" t="s">
        <v>500</v>
      </c>
      <c r="K37" s="1"/>
      <c r="L37" s="1"/>
      <c r="M37" s="1"/>
    </row>
    <row r="38" ht="15" customHeight="1">
      <c r="A38" s="1"/>
      <c r="B38" s="31" t="s">
        <v>501</v>
      </c>
      <c r="C38" s="16">
        <f>Inputs!D195-Inputs!C195</f>
        <v>-2351</v>
      </c>
      <c r="D38" s="16">
        <f>Inputs!E195-Inputs!D195</f>
        <v>-899</v>
      </c>
      <c r="E38" s="16">
        <f>Inputs!E195</f>
        <v>-5814</v>
      </c>
      <c r="F38" s="16">
        <f>Inputs!F195</f>
        <v>-1911</v>
      </c>
      <c r="G38" s="16">
        <f>Inputs!G195-Inputs!F195</f>
        <v>-2304</v>
      </c>
      <c r="H38" s="15">
        <f>-'Share Count'!H26</f>
        <v>-2000</v>
      </c>
      <c r="I38" s="1"/>
      <c r="J38" s="1"/>
      <c r="K38" s="1"/>
      <c r="L38" s="1"/>
      <c r="M38" s="1"/>
    </row>
    <row r="39" ht="15" customHeight="1">
      <c r="A39" s="1"/>
      <c r="B39" s="31" t="s">
        <v>502</v>
      </c>
      <c r="C39" s="16">
        <f>Inputs!D196-Inputs!C196</f>
        <v>-586</v>
      </c>
      <c r="D39" s="16">
        <f>Inputs!E196-Inputs!D196</f>
        <v>-583</v>
      </c>
      <c r="E39" s="16">
        <f>Inputs!E196</f>
        <v>-2271</v>
      </c>
      <c r="F39" s="16">
        <f>Inputs!F196</f>
        <v>-583</v>
      </c>
      <c r="G39" s="16">
        <f>Inputs!G196-Inputs!F196</f>
        <v>-665</v>
      </c>
      <c r="H39" s="15">
        <f>-('Income Statement'!H163*'Share Count'!H16+'Income Statement'!H149)</f>
        <v>-652.28125</v>
      </c>
      <c r="I39" s="1"/>
      <c r="J39" s="1"/>
      <c r="K39" s="1"/>
      <c r="L39" s="1"/>
      <c r="M39" s="1"/>
    </row>
    <row r="40" ht="15" customHeight="1">
      <c r="A40" s="1"/>
      <c r="B40" s="3" t="s">
        <v>503</v>
      </c>
      <c r="C40" s="63">
        <f t="shared" si="2"/>
        <v>-2957</v>
      </c>
      <c r="D40" s="63">
        <f t="shared" si="2"/>
        <v>-154</v>
      </c>
      <c r="E40" s="63">
        <f t="shared" si="2"/>
        <v>11210</v>
      </c>
      <c r="F40" s="63">
        <f t="shared" si="2"/>
        <v>4976</v>
      </c>
      <c r="G40" s="63">
        <f t="shared" si="2"/>
        <v>-4902</v>
      </c>
      <c r="H40" s="34">
        <f t="shared" si="2"/>
        <v>-1152.28125</v>
      </c>
      <c r="I40" s="1"/>
      <c r="J40" s="1"/>
      <c r="K40" s="1"/>
      <c r="L40" s="1"/>
      <c r="M40" s="1"/>
    </row>
    <row r="41" ht="15" customHeight="1">
      <c r="A41" s="1"/>
      <c r="B41" s="1"/>
      <c r="C41" s="1"/>
      <c r="D41" s="1"/>
      <c r="E41" s="1"/>
      <c r="F41" s="1"/>
      <c r="G41" s="1"/>
      <c r="H41" s="29"/>
      <c r="I41" s="1"/>
      <c r="J41" s="1"/>
      <c r="K41" s="1"/>
      <c r="L41" s="1"/>
      <c r="M41" s="1"/>
    </row>
    <row r="42" ht="15" customHeight="1">
      <c r="A42" s="1"/>
      <c r="B42" s="1" t="s">
        <v>504</v>
      </c>
      <c r="C42" s="16">
        <f>Inputs!D197-Inputs!C197</f>
        <v>91</v>
      </c>
      <c r="D42" s="16">
        <f>Inputs!E197-Inputs!D197</f>
        <v>120</v>
      </c>
      <c r="E42" s="16">
        <f>Inputs!E197</f>
        <v>405</v>
      </c>
      <c r="F42" s="16">
        <f>Inputs!F197</f>
        <v>57</v>
      </c>
      <c r="G42" s="16">
        <f>Inputs!G197-Inputs!F197</f>
        <v>-6</v>
      </c>
      <c r="H42" s="32">
        <v>0</v>
      </c>
      <c r="I42" s="1"/>
      <c r="J42" s="4" t="s">
        <v>505</v>
      </c>
      <c r="K42" s="1"/>
      <c r="L42" s="1"/>
      <c r="M42" s="1"/>
    </row>
    <row r="43" ht="15" customHeight="1">
      <c r="A43" s="1"/>
      <c r="B43" s="3" t="s">
        <v>506</v>
      </c>
      <c r="C43" s="63">
        <f t="shared" si="3" ref="C43:H43">C19+C30+C40+C42</f>
        <v>-3231</v>
      </c>
      <c r="D43" s="63">
        <f t="shared" si="3"/>
        <v>-6914</v>
      </c>
      <c r="E43" s="63">
        <f t="shared" si="3"/>
        <v>7152</v>
      </c>
      <c r="F43" s="63">
        <f t="shared" si="3"/>
        <v>5965</v>
      </c>
      <c r="G43" s="63">
        <f t="shared" si="3"/>
        <v>-8514</v>
      </c>
      <c r="H43" s="34">
        <f t="shared" si="3"/>
        <v>2186.6382276643835</v>
      </c>
      <c r="I43" s="1"/>
      <c r="J43" s="1"/>
      <c r="K43" s="1"/>
      <c r="L43" s="1"/>
      <c r="M43" s="1"/>
    </row>
    <row r="44" ht="15" customHeight="1">
      <c r="A44" s="1"/>
      <c r="B44" s="1" t="s">
        <v>507</v>
      </c>
      <c r="C44" s="16">
        <f>Inputs!G238</f>
        <v>57937</v>
      </c>
      <c r="D44" s="16">
        <f>'Balance Sheet'!C13</f>
        <v>54706</v>
      </c>
      <c r="E44" s="16">
        <f>Inputs!E238</f>
        <v>40640</v>
      </c>
      <c r="F44" s="16">
        <f>'Balance Sheet'!D13</f>
        <v>47792</v>
      </c>
      <c r="G44" s="16">
        <f>'Balance Sheet'!F13</f>
        <v>53757</v>
      </c>
      <c r="H44" s="15">
        <f>'Balance Sheet'!G13</f>
        <v>45243</v>
      </c>
      <c r="I44" s="1"/>
      <c r="J44" s="1"/>
      <c r="K44" s="1"/>
      <c r="L44" s="1"/>
      <c r="M44" s="1"/>
    </row>
    <row r="45" ht="15" customHeight="1">
      <c r="A45" s="1"/>
      <c r="B45" s="3" t="s">
        <v>508</v>
      </c>
      <c r="C45" s="63">
        <f t="shared" si="4" ref="C45:H45">C44+C43</f>
        <v>54706</v>
      </c>
      <c r="D45" s="63">
        <f t="shared" si="4"/>
        <v>47792</v>
      </c>
      <c r="E45" s="63">
        <f t="shared" si="4"/>
        <v>47792</v>
      </c>
      <c r="F45" s="63">
        <f t="shared" si="4"/>
        <v>53757</v>
      </c>
      <c r="G45" s="63">
        <f t="shared" si="4"/>
        <v>45243</v>
      </c>
      <c r="H45" s="34">
        <f t="shared" si="4"/>
        <v>47429.638227664385</v>
      </c>
      <c r="I45" s="1"/>
      <c r="J45" s="1"/>
      <c r="K45" s="1"/>
      <c r="L45" s="1"/>
      <c r="M45" s="1"/>
    </row>
    <row r="46" ht="15" customHeight="1">
      <c r="A46" s="1"/>
      <c r="B46" s="4" t="s">
        <v>509</v>
      </c>
      <c r="C46" s="27">
        <f>C45-'Balance Sheet'!C13</f>
        <v>0</v>
      </c>
      <c r="D46" s="27">
        <f>D45-'Balance Sheet'!D13</f>
        <v>0</v>
      </c>
      <c r="E46" s="27">
        <f>E45-'Balance Sheet'!E13</f>
        <v>0</v>
      </c>
      <c r="F46" s="27">
        <f>F45-'Balance Sheet'!F13</f>
        <v>0</v>
      </c>
      <c r="G46" s="27">
        <f>G45-'Balance Sheet'!G13</f>
        <v>0</v>
      </c>
      <c r="H46" s="64">
        <f>H45-'Balance Sheet'!H13</f>
        <v>0</v>
      </c>
      <c r="I46" s="1"/>
      <c r="J46" s="1"/>
      <c r="K46" s="1"/>
      <c r="L46" s="1"/>
      <c r="M46" s="1"/>
    </row>
    <row r="47" ht="15" customHeight="1">
      <c r="A47" s="1"/>
      <c r="B47" s="4" t="s">
        <v>510</v>
      </c>
      <c r="C47" s="27">
        <f>C19-(Inputs!D198-Inputs!C198)</f>
        <v>0</v>
      </c>
      <c r="D47" s="27">
        <f>D19-(Inputs!E198-Inputs!D198)</f>
        <v>0</v>
      </c>
      <c r="E47" s="27">
        <f>E19-(Inputs!E198)</f>
        <v>0</v>
      </c>
      <c r="F47" s="27">
        <f>F19-(Inputs!F198)</f>
        <v>0</v>
      </c>
      <c r="G47" s="27">
        <f>G19-(Inputs!G198-Inputs!F198)</f>
        <v>0</v>
      </c>
      <c r="H47" s="29"/>
      <c r="I47" s="1"/>
      <c r="J47" s="1"/>
      <c r="K47" s="1"/>
      <c r="L47" s="1"/>
      <c r="M47" s="1"/>
    </row>
    <row r="48" ht="15" customHeight="1">
      <c r="A48" s="1"/>
      <c r="B48" s="1"/>
      <c r="C48" s="1"/>
      <c r="D48" s="1"/>
      <c r="E48" s="1"/>
      <c r="F48" s="1"/>
      <c r="G48" s="1"/>
      <c r="H48" s="29"/>
      <c r="I48" s="1"/>
      <c r="J48" s="1"/>
      <c r="K48" s="1"/>
      <c r="L48" s="1"/>
      <c r="M48" s="1"/>
    </row>
    <row r="49" ht="15" customHeight="1">
      <c r="A49" s="1"/>
      <c r="B49" s="30" t="s">
        <v>511</v>
      </c>
      <c r="C49" s="1"/>
      <c r="D49" s="1"/>
      <c r="E49" s="1"/>
      <c r="F49" s="1"/>
      <c r="G49" s="1"/>
      <c r="H49" s="29"/>
      <c r="I49" s="1"/>
      <c r="J49" s="1"/>
      <c r="K49" s="1"/>
      <c r="L49" s="1"/>
      <c r="M49" s="1"/>
    </row>
    <row r="50" ht="15" customHeight="1">
      <c r="A50" s="1"/>
      <c r="B50" s="1" t="s">
        <v>512</v>
      </c>
      <c r="C50" s="17">
        <f t="shared" si="5" ref="C50:H50">C19+C27</f>
        <v>5579</v>
      </c>
      <c r="D50" s="17">
        <f t="shared" si="5"/>
        <v>2345</v>
      </c>
      <c r="E50" s="17">
        <f t="shared" si="5"/>
        <v>16003</v>
      </c>
      <c r="F50" s="17">
        <f t="shared" si="5"/>
        <v>2655</v>
      </c>
      <c r="G50" s="17">
        <f t="shared" si="5"/>
        <v>4473</v>
      </c>
      <c r="H50" s="52">
        <f t="shared" si="5"/>
        <v>3793.673743328767</v>
      </c>
      <c r="I50" s="1"/>
      <c r="J50" s="4" t="s">
        <v>513</v>
      </c>
      <c r="K50" s="1"/>
      <c r="L50" s="1"/>
      <c r="M50" s="1"/>
    </row>
    <row r="51" ht="15" customHeight="1">
      <c r="A51" s="1"/>
      <c r="B51" s="1" t="s">
        <v>514</v>
      </c>
      <c r="C51" s="1"/>
      <c r="D51" s="1"/>
      <c r="E51" s="1"/>
      <c r="F51" s="1"/>
      <c r="G51" s="1"/>
      <c r="H51" s="76">
        <v>157.786199</v>
      </c>
      <c r="I51" s="1"/>
      <c r="J51" s="4" t="s">
        <v>515</v>
      </c>
      <c r="K51" s="1"/>
      <c r="L51" s="1"/>
      <c r="M51" s="1"/>
    </row>
    <row r="52" ht="15" customHeight="1">
      <c r="A52" s="1"/>
      <c r="B52" s="1" t="s">
        <v>516</v>
      </c>
      <c r="C52" s="1"/>
      <c r="D52" s="1"/>
      <c r="E52" s="1"/>
      <c r="F52" s="1"/>
      <c r="G52" s="1"/>
      <c r="H52" s="73">
        <v>9.5</v>
      </c>
      <c r="I52" s="1"/>
      <c r="J52" s="4" t="s">
        <v>515</v>
      </c>
      <c r="K52" s="1"/>
      <c r="L52" s="1"/>
      <c r="M52" s="1"/>
    </row>
    <row r="53" ht="15" customHeight="1">
      <c r="A53" s="1"/>
      <c r="B53" s="1" t="s">
        <v>517</v>
      </c>
      <c r="C53" s="1"/>
      <c r="D53" s="1"/>
      <c r="E53" s="1"/>
      <c r="F53" s="1"/>
      <c r="G53" s="1"/>
      <c r="H53" s="52">
        <f>H51*H52</f>
        <v>1498.9688905</v>
      </c>
      <c r="I53" s="1"/>
      <c r="J53" s="1"/>
      <c r="K53" s="1"/>
      <c r="L53" s="1"/>
      <c r="M53" s="1"/>
    </row>
    <row r="54" ht="15" customHeight="1">
      <c r="A54" s="1"/>
      <c r="B54" s="1" t="s">
        <v>518</v>
      </c>
      <c r="C54" s="1"/>
      <c r="D54" s="1"/>
      <c r="E54" s="1"/>
      <c r="F54" s="1"/>
      <c r="G54" s="1"/>
      <c r="H54" s="15">
        <f>H53+'Income Statement'!H118</f>
        <v>523.9688905</v>
      </c>
      <c r="I54" s="1"/>
      <c r="J54" s="1"/>
      <c r="K54" s="1"/>
      <c r="L54" s="1"/>
      <c r="M54" s="1"/>
    </row>
    <row r="55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4E805F8-06B8-8CBC-8898-E7B4EC18454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519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4</v>
      </c>
      <c r="I5" s="5"/>
      <c r="J5" s="5" t="s">
        <v>61</v>
      </c>
      <c r="K5" s="1"/>
      <c r="L5" s="1"/>
      <c r="M5" s="1"/>
    </row>
    <row r="6" ht="15" customHeight="1">
      <c r="A6" s="1"/>
      <c r="B6" s="7" t="s">
        <v>5</v>
      </c>
      <c r="C6" s="8">
        <v>45930</v>
      </c>
      <c r="D6" s="8">
        <v>46022</v>
      </c>
      <c r="E6" s="8">
        <v>46022</v>
      </c>
      <c r="F6" s="8">
        <v>46112</v>
      </c>
      <c r="G6" s="8">
        <v>46203</v>
      </c>
      <c r="H6" s="8">
        <v>46295</v>
      </c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 t="shared" si="0" ref="C7:H7">C6-EOMONTH(C6,-3)</f>
        <v>92</v>
      </c>
      <c r="D7" s="10">
        <f t="shared" si="0"/>
        <v>92</v>
      </c>
      <c r="E7" s="10">
        <f>E6-EOMONTH(E6,-12)</f>
        <v>365</v>
      </c>
      <c r="F7" s="10">
        <f t="shared" si="0"/>
        <v>90</v>
      </c>
      <c r="G7" s="10">
        <f t="shared" si="0"/>
        <v>91</v>
      </c>
      <c r="H7" s="10">
        <f t="shared" si="0"/>
        <v>92</v>
      </c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29"/>
      <c r="I8" s="1"/>
      <c r="J8" s="1"/>
      <c r="K8" s="1"/>
      <c r="L8" s="1"/>
      <c r="M8" s="1"/>
    </row>
    <row r="9" ht="15" customHeight="1">
      <c r="A9" s="1"/>
      <c r="B9" s="1" t="s">
        <v>520</v>
      </c>
      <c r="C9" s="16">
        <f>Inputs!G239</f>
        <v>696</v>
      </c>
      <c r="D9" s="17">
        <f t="shared" si="1" ref="D9:H9">C12</f>
        <v>689</v>
      </c>
      <c r="E9" s="16">
        <f>Inputs!E239</f>
        <v>702</v>
      </c>
      <c r="F9" s="17">
        <f>D12</f>
        <v>686</v>
      </c>
      <c r="G9" s="17">
        <f t="shared" si="1"/>
        <v>682</v>
      </c>
      <c r="H9" s="52">
        <f t="shared" si="1"/>
        <v>675</v>
      </c>
      <c r="I9" s="1"/>
      <c r="J9" s="1"/>
      <c r="K9" s="1"/>
      <c r="L9" s="1"/>
      <c r="M9" s="1"/>
    </row>
    <row r="10" ht="15" customHeight="1">
      <c r="A10" s="1"/>
      <c r="B10" s="1" t="s">
        <v>521</v>
      </c>
      <c r="C10" s="53">
        <v>-7</v>
      </c>
      <c r="D10" s="53">
        <v>-2</v>
      </c>
      <c r="E10" s="53">
        <v>-16</v>
      </c>
      <c r="F10" s="53">
        <v>-5</v>
      </c>
      <c r="G10" s="53">
        <v>-7</v>
      </c>
      <c r="H10" s="52">
        <f>-H26/H29</f>
        <v>-6.25</v>
      </c>
      <c r="I10" s="1"/>
      <c r="J10" s="4" t="s">
        <v>522</v>
      </c>
      <c r="K10" s="1"/>
      <c r="L10" s="1"/>
      <c r="M10" s="1"/>
    </row>
    <row r="11" ht="15" customHeight="1">
      <c r="A11" s="1"/>
      <c r="B11" s="1" t="s">
        <v>523</v>
      </c>
      <c r="C11" s="17">
        <f t="shared" si="2" ref="C11:G11">C12-C9-C10</f>
        <v>0</v>
      </c>
      <c r="D11" s="17">
        <f t="shared" si="2"/>
        <v>-1</v>
      </c>
      <c r="E11" s="17">
        <f t="shared" si="2"/>
        <v>0</v>
      </c>
      <c r="F11" s="17">
        <f t="shared" si="2"/>
        <v>1</v>
      </c>
      <c r="G11" s="17">
        <f t="shared" si="2"/>
        <v>0</v>
      </c>
      <c r="H11" s="32">
        <v>0</v>
      </c>
      <c r="I11" s="1"/>
      <c r="J11" s="4" t="s">
        <v>524</v>
      </c>
      <c r="K11" s="1"/>
      <c r="L11" s="1"/>
      <c r="M11" s="1"/>
    </row>
    <row r="12" ht="15" customHeight="1">
      <c r="A12" s="1"/>
      <c r="B12" s="3" t="s">
        <v>525</v>
      </c>
      <c r="C12" s="33">
        <v>689</v>
      </c>
      <c r="D12" s="33">
        <v>686</v>
      </c>
      <c r="E12" s="33">
        <v>686</v>
      </c>
      <c r="F12" s="33">
        <v>682</v>
      </c>
      <c r="G12" s="33">
        <v>675</v>
      </c>
      <c r="H12" s="34">
        <f>H9+H10+H11</f>
        <v>668.75</v>
      </c>
      <c r="I12" s="1"/>
      <c r="J12" s="4" t="s">
        <v>522</v>
      </c>
      <c r="K12" s="1"/>
      <c r="L12" s="1"/>
      <c r="M12" s="1"/>
    </row>
    <row r="13" ht="15" customHeight="1">
      <c r="A13" s="1"/>
      <c r="B13" s="35" t="s">
        <v>70</v>
      </c>
      <c r="C13" s="36">
        <f>C12/Inputs!C239-1</f>
        <v>-0.021306818181818232</v>
      </c>
      <c r="D13" s="36">
        <f>D12/Inputs!D239-1</f>
        <v>-0.022792022792022748</v>
      </c>
      <c r="E13" s="36">
        <f>E12/Inputs!E239-1</f>
        <v>-0.022792022792022748</v>
      </c>
      <c r="F13" s="36">
        <f>F12/Inputs!F239-1</f>
        <v>-0.02710413694721825</v>
      </c>
      <c r="G13" s="36">
        <f>G12/Inputs!G239-1</f>
        <v>-0.030172413793103425</v>
      </c>
      <c r="H13" s="37">
        <f t="shared" si="4" ref="H13:H30">H12/C12-1</f>
        <v>-0.029390420899854885</v>
      </c>
      <c r="I13" s="1"/>
      <c r="J13" s="1"/>
      <c r="K13" s="1"/>
      <c r="L13" s="1"/>
      <c r="M13" s="1"/>
    </row>
    <row r="14" ht="15" customHeight="1">
      <c r="A14" s="1"/>
      <c r="B14" s="35" t="s">
        <v>71</v>
      </c>
      <c r="C14" s="27">
        <f>C12-Inputs!C239</f>
        <v>-15</v>
      </c>
      <c r="D14" s="27">
        <f>D12-Inputs!D239</f>
        <v>-16</v>
      </c>
      <c r="E14" s="27">
        <f>E12-Inputs!E239</f>
        <v>-16</v>
      </c>
      <c r="F14" s="27">
        <f>F12-Inputs!F239</f>
        <v>-19</v>
      </c>
      <c r="G14" s="27">
        <f>G12-Inputs!G239</f>
        <v>-21</v>
      </c>
      <c r="H14" s="38">
        <f t="shared" si="5" ref="H14:H18">H12-C12</f>
        <v>-20.25</v>
      </c>
      <c r="I14" s="1"/>
      <c r="J14" s="1"/>
      <c r="K14" s="1"/>
      <c r="L14" s="1"/>
      <c r="M14" s="1"/>
    </row>
    <row r="15" ht="15" customHeight="1">
      <c r="A15" s="1"/>
      <c r="B15" s="35" t="s">
        <v>73</v>
      </c>
      <c r="C15" s="27">
        <f>C12-Inputs!G239</f>
        <v>-7</v>
      </c>
      <c r="D15" s="40">
        <f t="shared" si="3" ref="D15:H19">D12-C12</f>
        <v>-3</v>
      </c>
      <c r="E15" s="1"/>
      <c r="F15" s="40">
        <f t="shared" si="6" ref="F15:F19">F12-D12</f>
        <v>-4</v>
      </c>
      <c r="G15" s="40">
        <f t="shared" si="3"/>
        <v>-7</v>
      </c>
      <c r="H15" s="38">
        <f t="shared" si="3"/>
        <v>-6.25</v>
      </c>
      <c r="I15" s="1"/>
      <c r="J15" s="1"/>
      <c r="K15" s="1"/>
      <c r="L15" s="1"/>
      <c r="M15" s="1"/>
    </row>
    <row r="16" ht="15" customHeight="1">
      <c r="A16" s="1"/>
      <c r="B16" s="1" t="s">
        <v>526</v>
      </c>
      <c r="C16" s="53">
        <v>692</v>
      </c>
      <c r="D16" s="53">
        <v>687</v>
      </c>
      <c r="E16" s="53">
        <v>695</v>
      </c>
      <c r="F16" s="53">
        <v>685</v>
      </c>
      <c r="G16" s="53">
        <v>678</v>
      </c>
      <c r="H16" s="52">
        <f>AVERAGE(H9,H12)</f>
        <v>671.875</v>
      </c>
      <c r="I16" s="1"/>
      <c r="J16" s="4" t="s">
        <v>527</v>
      </c>
      <c r="K16" s="1"/>
      <c r="L16" s="1"/>
      <c r="M16" s="1"/>
    </row>
    <row r="17" ht="15" customHeight="1">
      <c r="A17" s="1"/>
      <c r="B17" s="35" t="s">
        <v>70</v>
      </c>
      <c r="C17" s="36">
        <f>C16/Inputs!C240-1</f>
        <v>-0.02259887005649719</v>
      </c>
      <c r="D17" s="36">
        <f>D16/Inputs!D240-1</f>
        <v>-0.022759601706970112</v>
      </c>
      <c r="E17" s="36">
        <f>E16/Inputs!E240-1</f>
        <v>-0.023876404494381998</v>
      </c>
      <c r="F17" s="36">
        <f>F16/Inputs!F240-1</f>
        <v>-0.022824536376604865</v>
      </c>
      <c r="G17" s="36">
        <f>G16/Inputs!G240-1</f>
        <v>-0.028653295128939882</v>
      </c>
      <c r="H17" s="37">
        <f t="shared" si="4"/>
        <v>-0.029082369942196484</v>
      </c>
      <c r="I17" s="1"/>
      <c r="J17" s="1"/>
      <c r="K17" s="1"/>
      <c r="L17" s="1"/>
      <c r="M17" s="1"/>
    </row>
    <row r="18" ht="15" customHeight="1">
      <c r="A18" s="1"/>
      <c r="B18" s="35" t="s">
        <v>71</v>
      </c>
      <c r="C18" s="27">
        <f>C16-Inputs!C240</f>
        <v>-16</v>
      </c>
      <c r="D18" s="27">
        <f>D16-Inputs!D240</f>
        <v>-16</v>
      </c>
      <c r="E18" s="27">
        <f>E16-Inputs!E240</f>
        <v>-17</v>
      </c>
      <c r="F18" s="27">
        <f>F16-Inputs!F240</f>
        <v>-16</v>
      </c>
      <c r="G18" s="27">
        <f>G16-Inputs!G240</f>
        <v>-20</v>
      </c>
      <c r="H18" s="38">
        <f t="shared" si="5"/>
        <v>-20.125</v>
      </c>
      <c r="I18" s="1"/>
      <c r="J18" s="1"/>
      <c r="K18" s="1"/>
      <c r="L18" s="1"/>
      <c r="M18" s="1"/>
    </row>
    <row r="19" ht="15" customHeight="1">
      <c r="A19" s="1"/>
      <c r="B19" s="35" t="s">
        <v>73</v>
      </c>
      <c r="C19" s="27">
        <f>C16-Inputs!G240</f>
        <v>-6</v>
      </c>
      <c r="D19" s="40">
        <f t="shared" si="3"/>
        <v>-5</v>
      </c>
      <c r="E19" s="1"/>
      <c r="F19" s="40">
        <f t="shared" si="6"/>
        <v>-2</v>
      </c>
      <c r="G19" s="40">
        <f t="shared" si="3"/>
        <v>-7</v>
      </c>
      <c r="H19" s="38">
        <f t="shared" si="3"/>
        <v>-6.125</v>
      </c>
      <c r="I19" s="1"/>
      <c r="J19" s="1"/>
      <c r="K19" s="1"/>
      <c r="L19" s="1"/>
      <c r="M19" s="1"/>
    </row>
    <row r="20" ht="15" customHeight="1">
      <c r="A20" s="1"/>
      <c r="B20" s="1" t="s">
        <v>528</v>
      </c>
      <c r="C20" s="17">
        <f t="shared" si="7" ref="C20:G20">C21-C16</f>
        <v>1</v>
      </c>
      <c r="D20" s="17">
        <f t="shared" si="7"/>
        <v>1</v>
      </c>
      <c r="E20" s="17">
        <f t="shared" si="7"/>
        <v>1</v>
      </c>
      <c r="F20" s="17">
        <f t="shared" si="7"/>
        <v>1</v>
      </c>
      <c r="G20" s="17">
        <f t="shared" si="7"/>
        <v>1</v>
      </c>
      <c r="H20" s="32">
        <v>1</v>
      </c>
      <c r="I20" s="1"/>
      <c r="J20" s="4" t="s">
        <v>529</v>
      </c>
      <c r="K20" s="1"/>
      <c r="L20" s="1"/>
      <c r="M20" s="1"/>
    </row>
    <row r="21" ht="15" customHeight="1">
      <c r="A21" s="1"/>
      <c r="B21" s="3" t="s">
        <v>530</v>
      </c>
      <c r="C21" s="33">
        <v>693</v>
      </c>
      <c r="D21" s="33">
        <v>688</v>
      </c>
      <c r="E21" s="33">
        <v>696</v>
      </c>
      <c r="F21" s="33">
        <v>686</v>
      </c>
      <c r="G21" s="33">
        <v>679</v>
      </c>
      <c r="H21" s="34">
        <f>H16+H20</f>
        <v>672.875</v>
      </c>
      <c r="I21" s="1"/>
      <c r="J21" s="4" t="s">
        <v>522</v>
      </c>
      <c r="K21" s="1"/>
      <c r="L21" s="1"/>
      <c r="M21" s="1"/>
    </row>
    <row r="22" ht="15" customHeight="1">
      <c r="A22" s="1"/>
      <c r="B22" s="35" t="s">
        <v>70</v>
      </c>
      <c r="C22" s="36">
        <f>C21/Inputs!C241-1</f>
        <v>-0.02256699576868826</v>
      </c>
      <c r="D22" s="36">
        <f>D21/Inputs!D241-1</f>
        <v>-0.022727272727272707</v>
      </c>
      <c r="E22" s="36">
        <f>E21/Inputs!E241-1</f>
        <v>-0.02384291725105192</v>
      </c>
      <c r="F22" s="36">
        <f>F21/Inputs!F241-1</f>
        <v>-0.022792022792022748</v>
      </c>
      <c r="G22" s="36">
        <f>G21/Inputs!G241-1</f>
        <v>-0.028612303290414864</v>
      </c>
      <c r="H22" s="37">
        <f t="shared" si="4"/>
        <v>-0.02904040404040409</v>
      </c>
      <c r="I22" s="1"/>
      <c r="J22" s="1"/>
      <c r="K22" s="1"/>
      <c r="L22" s="1"/>
      <c r="M22" s="1"/>
    </row>
    <row r="23" ht="15" customHeight="1">
      <c r="A23" s="1"/>
      <c r="B23" s="35" t="s">
        <v>73</v>
      </c>
      <c r="C23" s="27">
        <f>C21-Inputs!G241</f>
        <v>-6</v>
      </c>
      <c r="D23" s="40">
        <f t="shared" si="8" ref="D23:H31">D21-C21</f>
        <v>-5</v>
      </c>
      <c r="E23" s="1"/>
      <c r="F23" s="40">
        <f t="shared" si="9" ref="F23:F31">F21-D21</f>
        <v>-2</v>
      </c>
      <c r="G23" s="40">
        <f t="shared" si="8"/>
        <v>-7</v>
      </c>
      <c r="H23" s="38">
        <f t="shared" si="8"/>
        <v>-6.125</v>
      </c>
      <c r="I23" s="1"/>
      <c r="J23" s="1"/>
      <c r="K23" s="1"/>
      <c r="L23" s="1"/>
      <c r="M23" s="1"/>
    </row>
    <row r="24" ht="15" customHeight="1">
      <c r="A24" s="1"/>
      <c r="B24" s="1"/>
      <c r="C24" s="1"/>
      <c r="D24" s="1"/>
      <c r="E24" s="1"/>
      <c r="F24" s="1"/>
      <c r="G24" s="1"/>
      <c r="H24" s="29"/>
      <c r="I24" s="1"/>
      <c r="J24" s="1"/>
      <c r="K24" s="1"/>
      <c r="L24" s="1"/>
      <c r="M24" s="1"/>
    </row>
    <row r="25" ht="15" customHeight="1">
      <c r="A25" s="1"/>
      <c r="B25" s="30" t="s">
        <v>531</v>
      </c>
      <c r="C25" s="1"/>
      <c r="D25" s="1"/>
      <c r="E25" s="1"/>
      <c r="F25" s="1"/>
      <c r="G25" s="1"/>
      <c r="H25" s="29"/>
      <c r="I25" s="1"/>
      <c r="J25" s="1"/>
      <c r="K25" s="1"/>
      <c r="L25" s="1"/>
      <c r="M25" s="1"/>
    </row>
    <row r="26" ht="15" customHeight="1">
      <c r="A26" s="1"/>
      <c r="B26" s="1" t="s">
        <v>532</v>
      </c>
      <c r="C26" s="16">
        <f>-'Cash Flow Statement'!C38</f>
        <v>2351</v>
      </c>
      <c r="D26" s="16">
        <f>-'Cash Flow Statement'!D38</f>
        <v>899</v>
      </c>
      <c r="E26" s="16">
        <f>-'Cash Flow Statement'!E38</f>
        <v>5814</v>
      </c>
      <c r="F26" s="16">
        <f>-'Cash Flow Statement'!F38</f>
        <v>1911</v>
      </c>
      <c r="G26" s="16">
        <f>-'Cash Flow Statement'!G38</f>
        <v>2304</v>
      </c>
      <c r="H26" s="32">
        <v>2000</v>
      </c>
      <c r="I26" s="1"/>
      <c r="J26" s="4" t="s">
        <v>533</v>
      </c>
      <c r="K26" s="1"/>
      <c r="L26" s="1"/>
      <c r="M26" s="1"/>
    </row>
    <row r="27" ht="15" customHeight="1">
      <c r="A27" s="1"/>
      <c r="B27" s="35" t="s">
        <v>70</v>
      </c>
      <c r="C27" s="43" t="s">
        <v>35</v>
      </c>
      <c r="D27" s="43" t="s">
        <v>35</v>
      </c>
      <c r="E27" s="43" t="s">
        <v>35</v>
      </c>
      <c r="F27" s="43" t="s">
        <v>35</v>
      </c>
      <c r="G27" s="43" t="s">
        <v>35</v>
      </c>
      <c r="H27" s="37">
        <f t="shared" si="4"/>
        <v>-0.14929817099106768</v>
      </c>
      <c r="I27" s="1"/>
      <c r="J27" s="1"/>
      <c r="K27" s="1"/>
      <c r="L27" s="1"/>
      <c r="M27" s="1"/>
    </row>
    <row r="28" ht="15" customHeight="1">
      <c r="A28" s="1"/>
      <c r="B28" s="35" t="s">
        <v>73</v>
      </c>
      <c r="C28" s="43" t="s">
        <v>35</v>
      </c>
      <c r="D28" s="40">
        <f t="shared" si="8"/>
        <v>-1452</v>
      </c>
      <c r="E28" s="1"/>
      <c r="F28" s="40">
        <f t="shared" si="9"/>
        <v>1012</v>
      </c>
      <c r="G28" s="40">
        <f t="shared" si="8"/>
        <v>393</v>
      </c>
      <c r="H28" s="38">
        <f t="shared" si="8"/>
        <v>-304</v>
      </c>
      <c r="I28" s="1"/>
      <c r="J28" s="1"/>
      <c r="K28" s="1"/>
      <c r="L28" s="1"/>
      <c r="M28" s="1"/>
    </row>
    <row r="29" ht="15" customHeight="1">
      <c r="A29" s="1"/>
      <c r="B29" s="1" t="s">
        <v>534</v>
      </c>
      <c r="C29" s="77">
        <f t="shared" si="10" ref="C29:G29">-C26/C10</f>
        <v>335.85714285714283</v>
      </c>
      <c r="D29" s="77">
        <f t="shared" si="10"/>
        <v>449.5</v>
      </c>
      <c r="E29" s="77">
        <f t="shared" si="10"/>
        <v>363.375</v>
      </c>
      <c r="F29" s="77">
        <f t="shared" si="10"/>
        <v>382.2</v>
      </c>
      <c r="G29" s="77">
        <f t="shared" si="10"/>
        <v>329.14285714285717</v>
      </c>
      <c r="H29" s="60">
        <v>320</v>
      </c>
      <c r="I29" s="1"/>
      <c r="J29" s="4" t="s">
        <v>535</v>
      </c>
      <c r="K29" s="1"/>
      <c r="L29" s="1"/>
      <c r="M29" s="1"/>
    </row>
    <row r="30" ht="15" customHeight="1">
      <c r="A30" s="1"/>
      <c r="B30" s="35" t="s">
        <v>70</v>
      </c>
      <c r="C30" s="43" t="s">
        <v>35</v>
      </c>
      <c r="D30" s="43" t="s">
        <v>35</v>
      </c>
      <c r="E30" s="43" t="s">
        <v>35</v>
      </c>
      <c r="F30" s="43" t="s">
        <v>35</v>
      </c>
      <c r="G30" s="43" t="s">
        <v>35</v>
      </c>
      <c r="H30" s="37">
        <f t="shared" si="4"/>
        <v>-0.04721395150999563</v>
      </c>
      <c r="I30" s="1"/>
      <c r="J30" s="1"/>
      <c r="K30" s="1"/>
      <c r="L30" s="1"/>
      <c r="M30" s="1"/>
    </row>
    <row r="31" ht="15" customHeight="1">
      <c r="A31" s="1"/>
      <c r="B31" s="35" t="s">
        <v>73</v>
      </c>
      <c r="C31" s="43" t="s">
        <v>35</v>
      </c>
      <c r="D31" s="59">
        <f t="shared" si="8"/>
        <v>113.64285714285717</v>
      </c>
      <c r="E31" s="1"/>
      <c r="F31" s="59">
        <f t="shared" si="9"/>
        <v>-67.30000000000001</v>
      </c>
      <c r="G31" s="59">
        <f t="shared" si="8"/>
        <v>-53.05714285714282</v>
      </c>
      <c r="H31" s="58">
        <f t="shared" si="8"/>
        <v>-9.142857142857167</v>
      </c>
      <c r="I31" s="1"/>
      <c r="J31" s="1"/>
      <c r="K31" s="1"/>
      <c r="L31" s="1"/>
      <c r="M31" s="1"/>
    </row>
    <row r="32" ht="15" customHeight="1">
      <c r="A32" s="1"/>
      <c r="B32" s="1" t="s">
        <v>536</v>
      </c>
      <c r="C32" s="22">
        <f>'Income Statement'!C163</f>
        <v>0.82</v>
      </c>
      <c r="D32" s="22">
        <f>'Income Statement'!D163</f>
        <v>0.82</v>
      </c>
      <c r="E32" s="22">
        <f>'Income Statement'!E163</f>
        <v>3.28</v>
      </c>
      <c r="F32" s="22">
        <f>'Income Statement'!F163</f>
        <v>0.95</v>
      </c>
      <c r="G32" s="22">
        <f>'Income Statement'!G163</f>
        <v>0.95</v>
      </c>
      <c r="H32" s="21">
        <f>'Income Statement'!H163</f>
        <v>0.95</v>
      </c>
      <c r="I32" s="1"/>
      <c r="J32" s="1"/>
      <c r="K32" s="1"/>
      <c r="L32" s="1"/>
      <c r="M32" s="1"/>
    </row>
    <row r="33" ht="15" customHeight="1">
      <c r="A33" s="1"/>
      <c r="B33" s="1"/>
      <c r="C33" s="1"/>
      <c r="D33" s="1"/>
      <c r="E33" s="1"/>
      <c r="F33" s="1"/>
      <c r="G33" s="1"/>
      <c r="H33" s="29"/>
      <c r="I33" s="1"/>
      <c r="J33" s="1"/>
      <c r="K33" s="1"/>
      <c r="L33" s="1"/>
      <c r="M33" s="1"/>
    </row>
    <row r="34" ht="15" customHeight="1">
      <c r="A34" s="1"/>
      <c r="B34" s="30" t="s">
        <v>537</v>
      </c>
      <c r="C34" s="1"/>
      <c r="D34" s="1"/>
      <c r="E34" s="1"/>
      <c r="F34" s="1"/>
      <c r="G34" s="1"/>
      <c r="H34" s="29"/>
      <c r="I34" s="1"/>
      <c r="J34" s="1"/>
      <c r="K34" s="1"/>
      <c r="L34" s="1"/>
      <c r="M34" s="1"/>
    </row>
    <row r="35" ht="15" customHeight="1">
      <c r="A35" s="1"/>
      <c r="B35" s="1" t="s">
        <v>538</v>
      </c>
      <c r="C35" s="1"/>
      <c r="D35" s="1"/>
      <c r="E35" s="1"/>
      <c r="F35" s="1"/>
      <c r="G35" s="1"/>
      <c r="H35" s="52">
        <f>H21</f>
        <v>672.875</v>
      </c>
      <c r="I35" s="1"/>
      <c r="J35" s="1"/>
      <c r="K35" s="1"/>
      <c r="L35" s="1"/>
      <c r="M35" s="1"/>
    </row>
    <row r="36" ht="15" customHeight="1">
      <c r="A36" s="1"/>
      <c r="B36" s="1" t="s">
        <v>539</v>
      </c>
      <c r="C36" s="1"/>
      <c r="D36" s="1"/>
      <c r="E36" s="1"/>
      <c r="F36" s="1"/>
      <c r="G36" s="1"/>
      <c r="H36" s="15">
        <f>'Income Statement'!H172</f>
        <v>3046.8646632890977</v>
      </c>
      <c r="I36" s="1"/>
      <c r="J36" s="1"/>
      <c r="K36" s="1"/>
      <c r="L36" s="1"/>
      <c r="M36" s="1"/>
    </row>
    <row r="37" ht="15" customHeight="1">
      <c r="A37" s="1"/>
      <c r="B37" s="3" t="s">
        <v>540</v>
      </c>
      <c r="C37" s="78"/>
      <c r="D37" s="78"/>
      <c r="E37" s="78"/>
      <c r="F37" s="78"/>
      <c r="G37" s="78"/>
      <c r="H37" s="70">
        <f>H36/H35</f>
        <v>4.528128795525317</v>
      </c>
      <c r="I37" s="1"/>
      <c r="J37" s="1"/>
      <c r="K37" s="1"/>
      <c r="L37" s="1"/>
      <c r="M37" s="1"/>
    </row>
    <row r="38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46A69A4-D96C-FCE2-4D15-C6E57C36501D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50.00390625" customWidth="1"/>
    <col min="3" max="4" width="12.00390625" customWidth="1"/>
    <col min="5" max="6" width="18.00390625" customWidth="1"/>
    <col min="7" max="9" width="12.00390625" customWidth="1"/>
    <col min="10" max="10" width="4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541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4</v>
      </c>
      <c r="D5" s="5"/>
      <c r="E5" s="5"/>
      <c r="F5" s="5"/>
      <c r="G5" s="5"/>
      <c r="H5" s="5"/>
      <c r="I5" s="5"/>
      <c r="J5" s="5"/>
      <c r="K5" s="1"/>
      <c r="L5" s="1"/>
      <c r="M5" s="1"/>
    </row>
    <row r="6" ht="15" customHeight="1">
      <c r="A6" s="1"/>
      <c r="B6" s="7" t="s">
        <v>5</v>
      </c>
      <c r="C6" s="8">
        <v>46295</v>
      </c>
      <c r="D6" s="7"/>
      <c r="E6" s="7"/>
      <c r="F6" s="7"/>
      <c r="G6" s="7"/>
      <c r="H6" s="7"/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>C6-EOMONTH(C6,-3)</f>
        <v>92</v>
      </c>
      <c r="D7" s="9"/>
      <c r="E7" s="9"/>
      <c r="F7" s="9"/>
      <c r="G7" s="9"/>
      <c r="H7" s="9"/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22.5" customHeight="1">
      <c r="A9" s="1"/>
      <c r="B9" s="13" t="s">
        <v>542</v>
      </c>
      <c r="C9" s="14" t="s">
        <v>543</v>
      </c>
      <c r="D9" s="79" t="s">
        <v>3</v>
      </c>
      <c r="E9" s="14" t="s">
        <v>544</v>
      </c>
      <c r="F9" s="14" t="s">
        <v>545</v>
      </c>
      <c r="G9" s="14" t="s">
        <v>546</v>
      </c>
      <c r="H9" s="14" t="s">
        <v>547</v>
      </c>
      <c r="I9" s="79" t="s">
        <v>548</v>
      </c>
      <c r="J9" s="79" t="s">
        <v>61</v>
      </c>
      <c r="K9" s="1"/>
      <c r="L9" s="1"/>
      <c r="M9" s="1"/>
    </row>
    <row r="10" ht="15" customHeight="1">
      <c r="A10" s="1"/>
      <c r="B10" s="1" t="s">
        <v>549</v>
      </c>
      <c r="C10" s="80">
        <v>45681</v>
      </c>
      <c r="D10" s="1" t="s">
        <v>550</v>
      </c>
      <c r="E10" s="81">
        <v>0.08</v>
      </c>
      <c r="F10" s="81">
        <v>0.1</v>
      </c>
      <c r="G10" s="18">
        <f t="shared" si="0" ref="G10:G25">AVERAGE(E10,F10)</f>
        <v>0.09</v>
      </c>
      <c r="H10" s="82">
        <f>'Income Statement'!E34/Inputs!E216-1</f>
        <v>0.09522509818192848</v>
      </c>
      <c r="I10" s="18" t="str">
        <f t="shared" si="1" ref="I10:I13">IF(H10&gt;G10,"Beat",IF(H10&lt;G10,"Miss","In line"))</f>
        <v>Beat</v>
      </c>
      <c r="J10" s="1" t="s">
        <v>552</v>
      </c>
      <c r="K10" s="1"/>
      <c r="L10" s="1"/>
      <c r="M10" s="1"/>
    </row>
    <row r="11" ht="15" customHeight="1">
      <c r="A11" s="1"/>
      <c r="B11" s="1" t="s">
        <v>369</v>
      </c>
      <c r="C11" s="80">
        <v>45681</v>
      </c>
      <c r="D11" s="1" t="s">
        <v>550</v>
      </c>
      <c r="E11" s="71">
        <v>15</v>
      </c>
      <c r="F11" s="71">
        <v>15.5</v>
      </c>
      <c r="G11" s="23">
        <f t="shared" si="0"/>
        <v>15.25</v>
      </c>
      <c r="H11" s="22">
        <f>'Income Statement'!E161</f>
        <v>15.38</v>
      </c>
      <c r="I11" s="23" t="str">
        <f t="shared" si="1"/>
        <v>Beat</v>
      </c>
      <c r="J11" s="1" t="s">
        <v>552</v>
      </c>
      <c r="K11" s="1"/>
      <c r="L11" s="1"/>
      <c r="M11" s="1"/>
    </row>
    <row r="12" ht="15" customHeight="1">
      <c r="A12" s="1"/>
      <c r="B12" s="1" t="s">
        <v>553</v>
      </c>
      <c r="C12" s="80">
        <v>45947</v>
      </c>
      <c r="D12" s="1" t="s">
        <v>550</v>
      </c>
      <c r="E12" s="81">
        <v>0.09</v>
      </c>
      <c r="F12" s="81">
        <v>0.1</v>
      </c>
      <c r="G12" s="18">
        <f t="shared" si="0"/>
        <v>0.095</v>
      </c>
      <c r="H12" s="82">
        <f>'Income Statement'!E34/Inputs!E216-1</f>
        <v>0.09522509818192848</v>
      </c>
      <c r="I12" s="18" t="str">
        <f t="shared" si="1"/>
        <v>Beat</v>
      </c>
      <c r="J12" s="1" t="s">
        <v>554</v>
      </c>
      <c r="K12" s="1"/>
      <c r="L12" s="1"/>
      <c r="M12" s="1"/>
    </row>
    <row r="13" ht="15" customHeight="1">
      <c r="A13" s="1"/>
      <c r="B13" s="1" t="s">
        <v>555</v>
      </c>
      <c r="C13" s="80">
        <v>45947</v>
      </c>
      <c r="D13" s="1" t="s">
        <v>550</v>
      </c>
      <c r="E13" s="71">
        <v>15.2</v>
      </c>
      <c r="F13" s="71">
        <v>15.5</v>
      </c>
      <c r="G13" s="23">
        <f t="shared" si="0"/>
        <v>15.35</v>
      </c>
      <c r="H13" s="22">
        <f>'Income Statement'!E161</f>
        <v>15.38</v>
      </c>
      <c r="I13" s="23" t="str">
        <f t="shared" si="1"/>
        <v>Beat</v>
      </c>
      <c r="J13" s="1" t="s">
        <v>556</v>
      </c>
      <c r="K13" s="1"/>
      <c r="L13" s="1"/>
      <c r="M13" s="1"/>
    </row>
    <row r="14" ht="15" customHeight="1">
      <c r="A14" s="1"/>
      <c r="B14" s="1" t="s">
        <v>549</v>
      </c>
      <c r="C14" s="80">
        <v>46052</v>
      </c>
      <c r="D14" s="1" t="s">
        <v>557</v>
      </c>
      <c r="E14" s="81">
        <v>0.09</v>
      </c>
      <c r="F14" s="81">
        <v>0.1</v>
      </c>
      <c r="G14" s="18">
        <f t="shared" si="0"/>
        <v>0.095</v>
      </c>
      <c r="H14" s="19" t="s">
        <v>558</v>
      </c>
      <c r="I14" s="1" t="s">
        <v>559</v>
      </c>
      <c r="J14" s="1" t="s">
        <v>560</v>
      </c>
      <c r="K14" s="1"/>
      <c r="L14" s="1"/>
      <c r="M14" s="1"/>
    </row>
    <row r="15" ht="15" customHeight="1">
      <c r="A15" s="1"/>
      <c r="B15" s="1" t="s">
        <v>561</v>
      </c>
      <c r="C15" s="80">
        <v>46052</v>
      </c>
      <c r="D15" s="1" t="s">
        <v>557</v>
      </c>
      <c r="E15" s="71">
        <v>17.3</v>
      </c>
      <c r="F15" s="71">
        <v>17.9</v>
      </c>
      <c r="G15" s="23">
        <f t="shared" si="0"/>
        <v>17.6</v>
      </c>
      <c r="H15" s="19" t="s">
        <v>558</v>
      </c>
      <c r="I15" s="1" t="s">
        <v>559</v>
      </c>
      <c r="J15" s="1" t="s">
        <v>560</v>
      </c>
      <c r="K15" s="1"/>
      <c r="L15" s="1"/>
      <c r="M15" s="1"/>
    </row>
    <row r="16" ht="15" customHeight="1">
      <c r="A16" s="1"/>
      <c r="B16" s="1" t="s">
        <v>562</v>
      </c>
      <c r="C16" s="80">
        <v>46135</v>
      </c>
      <c r="D16" s="1" t="s">
        <v>557</v>
      </c>
      <c r="E16" s="81">
        <v>0.09</v>
      </c>
      <c r="F16" s="81">
        <v>0.1</v>
      </c>
      <c r="G16" s="18">
        <f t="shared" si="0"/>
        <v>0.095</v>
      </c>
      <c r="H16" s="19" t="s">
        <v>558</v>
      </c>
      <c r="I16" s="1" t="s">
        <v>559</v>
      </c>
      <c r="J16" s="1" t="s">
        <v>563</v>
      </c>
      <c r="K16" s="1"/>
      <c r="L16" s="1"/>
      <c r="M16" s="1"/>
    </row>
    <row r="17" ht="15" customHeight="1">
      <c r="A17" s="1"/>
      <c r="B17" s="1" t="s">
        <v>564</v>
      </c>
      <c r="C17" s="80">
        <v>46135</v>
      </c>
      <c r="D17" s="1" t="s">
        <v>557</v>
      </c>
      <c r="E17" s="71">
        <v>17.3</v>
      </c>
      <c r="F17" s="71">
        <v>17.9</v>
      </c>
      <c r="G17" s="23">
        <f t="shared" si="0"/>
        <v>17.6</v>
      </c>
      <c r="H17" s="19" t="s">
        <v>558</v>
      </c>
      <c r="I17" s="1" t="s">
        <v>559</v>
      </c>
      <c r="J17" s="1" t="s">
        <v>563</v>
      </c>
      <c r="K17" s="1"/>
      <c r="L17" s="1"/>
      <c r="M17" s="1"/>
    </row>
    <row r="18" ht="15" customHeight="1">
      <c r="A18" s="1"/>
      <c r="B18" s="1" t="s">
        <v>565</v>
      </c>
      <c r="C18" s="80">
        <v>46227</v>
      </c>
      <c r="D18" s="1" t="s">
        <v>557</v>
      </c>
      <c r="E18" s="81">
        <v>0.1</v>
      </c>
      <c r="F18" s="81">
        <v>0.1</v>
      </c>
      <c r="G18" s="18">
        <f t="shared" si="0"/>
        <v>0.1</v>
      </c>
      <c r="H18" s="19" t="s">
        <v>558</v>
      </c>
      <c r="I18" s="1" t="s">
        <v>559</v>
      </c>
      <c r="J18" s="1" t="s">
        <v>566</v>
      </c>
      <c r="K18" s="1"/>
      <c r="L18" s="1"/>
      <c r="M18" s="1"/>
    </row>
    <row r="19" ht="15" customHeight="1">
      <c r="A19" s="1"/>
      <c r="B19" s="1" t="s">
        <v>567</v>
      </c>
      <c r="C19" s="80">
        <v>46227</v>
      </c>
      <c r="D19" s="1" t="s">
        <v>557</v>
      </c>
      <c r="E19" s="71">
        <v>17.3</v>
      </c>
      <c r="F19" s="71">
        <v>17.9</v>
      </c>
      <c r="G19" s="23">
        <f t="shared" si="0"/>
        <v>17.6</v>
      </c>
      <c r="H19" s="19" t="s">
        <v>558</v>
      </c>
      <c r="I19" s="1" t="s">
        <v>559</v>
      </c>
      <c r="J19" s="1" t="s">
        <v>568</v>
      </c>
      <c r="K19" s="1"/>
      <c r="L19" s="1"/>
      <c r="M19" s="1"/>
    </row>
    <row r="20" ht="15" customHeight="1">
      <c r="A20" s="1"/>
      <c r="B20" s="1" t="s">
        <v>569</v>
      </c>
      <c r="C20" s="80">
        <v>46227</v>
      </c>
      <c r="D20" s="1" t="s">
        <v>570</v>
      </c>
      <c r="E20" s="81">
        <v>0.1</v>
      </c>
      <c r="F20" s="81">
        <v>0.1</v>
      </c>
      <c r="G20" s="18">
        <f t="shared" si="0"/>
        <v>0.1</v>
      </c>
      <c r="H20" s="19" t="s">
        <v>558</v>
      </c>
      <c r="I20" s="1" t="s">
        <v>559</v>
      </c>
      <c r="J20" s="1" t="s">
        <v>571</v>
      </c>
      <c r="K20" s="1"/>
      <c r="L20" s="1"/>
      <c r="M20" s="1"/>
    </row>
    <row r="21" ht="15" customHeight="1">
      <c r="A21" s="1"/>
      <c r="B21" s="1" t="s">
        <v>572</v>
      </c>
      <c r="C21" s="80">
        <v>46227</v>
      </c>
      <c r="D21" s="1" t="s">
        <v>557</v>
      </c>
      <c r="E21" s="1" t="s">
        <v>573</v>
      </c>
      <c r="F21" s="1" t="s">
        <v>573</v>
      </c>
      <c r="G21" s="19" t="s">
        <v>35</v>
      </c>
      <c r="H21" s="19" t="s">
        <v>558</v>
      </c>
      <c r="I21" s="1" t="s">
        <v>559</v>
      </c>
      <c r="J21" s="1" t="s">
        <v>571</v>
      </c>
      <c r="K21" s="1"/>
      <c r="L21" s="1"/>
      <c r="M21" s="1"/>
    </row>
    <row r="22" ht="15" customHeight="1">
      <c r="A22" s="1"/>
      <c r="B22" s="1" t="s">
        <v>574</v>
      </c>
      <c r="C22" s="80">
        <v>46227</v>
      </c>
      <c r="D22" s="1" t="s">
        <v>557</v>
      </c>
      <c r="E22" s="81">
        <v>0.44</v>
      </c>
      <c r="F22" s="81">
        <v>0.45</v>
      </c>
      <c r="G22" s="18">
        <f t="shared" si="0"/>
        <v>0.445</v>
      </c>
      <c r="H22" s="19" t="s">
        <v>558</v>
      </c>
      <c r="I22" s="1" t="s">
        <v>559</v>
      </c>
      <c r="J22" s="1" t="s">
        <v>571</v>
      </c>
      <c r="K22" s="1"/>
      <c r="L22" s="1"/>
      <c r="M22" s="1"/>
    </row>
    <row r="23" ht="15" customHeight="1">
      <c r="A23" s="1"/>
      <c r="B23" s="1" t="s">
        <v>575</v>
      </c>
      <c r="C23" s="80">
        <v>46227</v>
      </c>
      <c r="D23" s="1" t="s">
        <v>576</v>
      </c>
      <c r="E23" s="1" t="s">
        <v>577</v>
      </c>
      <c r="F23" s="1" t="s">
        <v>578</v>
      </c>
      <c r="G23" s="19" t="s">
        <v>35</v>
      </c>
      <c r="H23" s="19" t="s">
        <v>558</v>
      </c>
      <c r="I23" s="1" t="s">
        <v>559</v>
      </c>
      <c r="J23" s="1" t="s">
        <v>571</v>
      </c>
      <c r="K23" s="1"/>
      <c r="L23" s="1"/>
      <c r="M23" s="1"/>
    </row>
    <row r="24" ht="15" customHeight="1">
      <c r="A24" s="1"/>
      <c r="B24" s="1" t="s">
        <v>579</v>
      </c>
      <c r="C24" s="80">
        <v>46227</v>
      </c>
      <c r="D24" s="1" t="s">
        <v>570</v>
      </c>
      <c r="E24" s="1" t="s">
        <v>580</v>
      </c>
      <c r="F24" s="1" t="s">
        <v>580</v>
      </c>
      <c r="G24" s="19" t="s">
        <v>35</v>
      </c>
      <c r="H24" s="19" t="s">
        <v>558</v>
      </c>
      <c r="I24" s="1" t="s">
        <v>559</v>
      </c>
      <c r="J24" s="1" t="s">
        <v>571</v>
      </c>
      <c r="K24" s="1"/>
      <c r="L24" s="1"/>
      <c r="M24" s="1"/>
    </row>
    <row r="25" ht="15" customHeight="1">
      <c r="A25" s="1"/>
      <c r="B25" s="1" t="s">
        <v>581</v>
      </c>
      <c r="C25" s="80">
        <v>46146</v>
      </c>
      <c r="D25" s="1" t="s">
        <v>576</v>
      </c>
      <c r="E25" s="53">
        <v>975</v>
      </c>
      <c r="F25" s="53">
        <v>975</v>
      </c>
      <c r="G25" s="17">
        <f t="shared" si="0"/>
        <v>975</v>
      </c>
      <c r="H25" s="19" t="s">
        <v>558</v>
      </c>
      <c r="I25" s="1" t="s">
        <v>559</v>
      </c>
      <c r="J25" s="1" t="s">
        <v>582</v>
      </c>
      <c r="K25" s="1"/>
      <c r="L25" s="1"/>
      <c r="M25" s="1"/>
    </row>
    <row r="26" ht="15" customHeight="1">
      <c r="A26" s="1"/>
      <c r="B26" s="1" t="s">
        <v>583</v>
      </c>
      <c r="C26" s="80">
        <v>46303</v>
      </c>
      <c r="D26" s="1" t="s">
        <v>557</v>
      </c>
      <c r="E26" s="53">
        <v>350</v>
      </c>
      <c r="F26" s="53">
        <v>350</v>
      </c>
      <c r="G26" s="19" t="s">
        <v>35</v>
      </c>
      <c r="H26" s="19" t="s">
        <v>558</v>
      </c>
      <c r="I26" s="1" t="s">
        <v>559</v>
      </c>
      <c r="J26" s="1" t="s">
        <v>584</v>
      </c>
      <c r="K26" s="1"/>
      <c r="L26" s="1"/>
      <c r="M26" s="1"/>
    </row>
    <row r="27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15" customHeight="1">
      <c r="A28" s="1"/>
      <c r="B28" s="30" t="s">
        <v>585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ht="15" customHeight="1">
      <c r="A29" s="1"/>
      <c r="B29" s="1" t="s">
        <v>586</v>
      </c>
      <c r="C29" s="23">
        <f>G19</f>
        <v>17.6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ht="15" customHeight="1">
      <c r="A30" s="1"/>
      <c r="B30" s="1" t="s">
        <v>587</v>
      </c>
      <c r="C30" s="22">
        <f>Inputs!C353</f>
        <v>8.81</v>
      </c>
      <c r="D30" s="1"/>
      <c r="E30" s="1"/>
      <c r="F30" s="1"/>
      <c r="G30" s="1"/>
      <c r="H30" s="1"/>
      <c r="I30" s="1"/>
      <c r="J30" s="1" t="s">
        <v>588</v>
      </c>
      <c r="K30" s="1"/>
      <c r="L30" s="1"/>
      <c r="M30" s="1"/>
    </row>
    <row r="31" ht="15" customHeight="1">
      <c r="A31" s="1"/>
      <c r="B31" s="1" t="s">
        <v>589</v>
      </c>
      <c r="C31" s="23">
        <f t="shared" si="2" ref="C31:C37">C29-C30</f>
        <v>8.790000000000001</v>
      </c>
      <c r="D31" s="1"/>
      <c r="E31" s="1"/>
      <c r="F31" s="1"/>
      <c r="G31" s="1"/>
      <c r="H31" s="1"/>
      <c r="I31" s="1"/>
      <c r="J31" s="1" t="s">
        <v>590</v>
      </c>
      <c r="K31" s="1"/>
      <c r="L31" s="1"/>
      <c r="M31" s="1"/>
    </row>
    <row r="32" ht="15" customHeight="1">
      <c r="A32" s="1"/>
      <c r="B32" s="1" t="s">
        <v>591</v>
      </c>
      <c r="C32" s="22">
        <f>'Income Statement'!H173</f>
        <v>4.528128795525317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ht="15" customHeight="1">
      <c r="A33" s="1"/>
      <c r="B33" s="1" t="s">
        <v>592</v>
      </c>
      <c r="C33" s="23">
        <f t="shared" si="2"/>
        <v>4.261871204474684</v>
      </c>
      <c r="D33" s="1"/>
      <c r="E33" s="1"/>
      <c r="F33" s="1"/>
      <c r="G33" s="1"/>
      <c r="H33" s="1"/>
      <c r="I33" s="1"/>
      <c r="J33" s="1" t="s">
        <v>593</v>
      </c>
      <c r="K33" s="1"/>
      <c r="L33" s="1"/>
      <c r="M33" s="1"/>
    </row>
    <row r="34" ht="15" customHeight="1">
      <c r="A34" s="1"/>
      <c r="B34" s="1" t="s">
        <v>594</v>
      </c>
      <c r="C34" s="16">
        <f>'Income Statement'!E34*(1+G18)</f>
        <v>79451.90000000001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ht="15" customHeight="1">
      <c r="A35" s="1"/>
      <c r="B35" s="1" t="s">
        <v>595</v>
      </c>
      <c r="C35" s="16">
        <f>C34-'Income Statement'!F34-'Income Statement'!G34</f>
        <v>40907.90000000001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ht="15" customHeight="1">
      <c r="A36" s="1"/>
      <c r="B36" s="1" t="s">
        <v>596</v>
      </c>
      <c r="C36" s="16">
        <f>'Income Statement'!H34</f>
        <v>20055.77756027397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ht="15" customHeight="1">
      <c r="A37" s="1"/>
      <c r="B37" s="1" t="s">
        <v>597</v>
      </c>
      <c r="C37" s="17">
        <f t="shared" si="2"/>
        <v>20852.122439726038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ht="15" customHeight="1">
      <c r="A38" s="1"/>
      <c r="B38" s="1" t="s">
        <v>598</v>
      </c>
      <c r="C38" s="82">
        <f>C37/'Income Statement'!D34-1</f>
        <v>0.09863658797292074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ht="15" customHeight="1">
      <c r="A39" s="1"/>
      <c r="B39" s="4" t="s">
        <v>599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1AFE5B8-6CF8-2938-F0A5-D5342B94082F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80.00390625" customWidth="1"/>
    <col min="3" max="3" width="12.00390625" customWidth="1"/>
    <col min="4" max="4" width="36.00390625" customWidth="1"/>
    <col min="5" max="5" width="95.00390625" customWidth="1"/>
    <col min="6" max="6" width="14.00390625" customWidth="1"/>
    <col min="7" max="7" width="11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600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4</v>
      </c>
      <c r="D5" s="5"/>
      <c r="E5" s="5"/>
      <c r="F5" s="5"/>
      <c r="G5" s="5"/>
      <c r="H5" s="5"/>
      <c r="I5" s="5"/>
      <c r="J5" s="5"/>
      <c r="K5" s="1"/>
      <c r="L5" s="1"/>
      <c r="M5" s="1"/>
    </row>
    <row r="6" ht="15" customHeight="1">
      <c r="A6" s="1"/>
      <c r="B6" s="7" t="s">
        <v>5</v>
      </c>
      <c r="C6" s="8">
        <v>46295</v>
      </c>
      <c r="D6" s="7"/>
      <c r="E6" s="7"/>
      <c r="F6" s="7"/>
      <c r="G6" s="7"/>
      <c r="H6" s="7"/>
      <c r="I6" s="7"/>
      <c r="J6" s="7"/>
      <c r="K6" s="1"/>
      <c r="L6" s="1"/>
      <c r="M6" s="1"/>
    </row>
    <row r="7" ht="15" customHeight="1">
      <c r="A7" s="1"/>
      <c r="B7" s="9" t="s">
        <v>6</v>
      </c>
      <c r="C7" s="10">
        <f>C6-EOMONTH(C6,-3)</f>
        <v>92</v>
      </c>
      <c r="D7" s="9"/>
      <c r="E7" s="9"/>
      <c r="F7" s="9"/>
      <c r="G7" s="9"/>
      <c r="H7" s="9"/>
      <c r="I7" s="9"/>
      <c r="J7" s="9"/>
      <c r="K7" s="1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22.5" customHeight="1">
      <c r="A9" s="1"/>
      <c r="B9" s="13" t="s">
        <v>601</v>
      </c>
      <c r="C9" s="14" t="s">
        <v>602</v>
      </c>
      <c r="D9" s="79" t="s">
        <v>603</v>
      </c>
      <c r="E9" s="79" t="s">
        <v>604</v>
      </c>
      <c r="F9" s="14" t="s">
        <v>605</v>
      </c>
      <c r="G9" s="79" t="s">
        <v>606</v>
      </c>
      <c r="H9" s="13"/>
      <c r="I9" s="13"/>
      <c r="J9" s="13"/>
      <c r="K9" s="1"/>
      <c r="L9" s="1"/>
      <c r="M9" s="1"/>
    </row>
    <row r="10" ht="15" customHeight="1">
      <c r="A10" s="1"/>
      <c r="B10" s="1" t="s">
        <v>607</v>
      </c>
      <c r="C10" s="80">
        <v>46313</v>
      </c>
      <c r="D10" s="12" t="s">
        <v>608</v>
      </c>
      <c r="E10" s="12" t="s">
        <v>609</v>
      </c>
      <c r="F10" s="80">
        <v>46314</v>
      </c>
      <c r="G10" s="12" t="s">
        <v>610</v>
      </c>
      <c r="H10" s="1"/>
      <c r="I10" s="1"/>
      <c r="J10" s="1"/>
      <c r="K10" s="1"/>
      <c r="L10" s="1"/>
      <c r="M10" s="1"/>
    </row>
    <row r="11" ht="15" customHeight="1">
      <c r="A11" s="1"/>
      <c r="B11" s="1" t="s">
        <v>611</v>
      </c>
      <c r="C11" s="80">
        <v>46313</v>
      </c>
      <c r="D11" s="12" t="s">
        <v>608</v>
      </c>
      <c r="E11" s="12" t="s">
        <v>612</v>
      </c>
      <c r="F11" s="80">
        <v>46314</v>
      </c>
      <c r="G11" s="12" t="s">
        <v>613</v>
      </c>
      <c r="H11" s="1"/>
      <c r="I11" s="1"/>
      <c r="J11" s="1"/>
      <c r="K11" s="1"/>
      <c r="L11" s="1"/>
      <c r="M11" s="1"/>
    </row>
    <row r="12" ht="15" customHeight="1">
      <c r="A12" s="1"/>
      <c r="B12" s="1" t="s">
        <v>614</v>
      </c>
      <c r="C12" s="80">
        <v>45947</v>
      </c>
      <c r="D12" s="12" t="s">
        <v>615</v>
      </c>
      <c r="E12" s="12" t="s">
        <v>616</v>
      </c>
      <c r="F12" s="80">
        <v>46314</v>
      </c>
      <c r="G12" s="12" t="s">
        <v>617</v>
      </c>
      <c r="H12" s="1"/>
      <c r="I12" s="1"/>
      <c r="J12" s="1"/>
      <c r="K12" s="1"/>
      <c r="L12" s="1"/>
      <c r="M12" s="1"/>
    </row>
    <row r="13" ht="15" customHeight="1">
      <c r="A13" s="1"/>
      <c r="B13" s="1" t="s">
        <v>618</v>
      </c>
      <c r="C13" s="80">
        <v>46135</v>
      </c>
      <c r="D13" s="12" t="s">
        <v>615</v>
      </c>
      <c r="E13" s="12" t="s">
        <v>619</v>
      </c>
      <c r="F13" s="80">
        <v>46314</v>
      </c>
      <c r="G13" s="12" t="s">
        <v>620</v>
      </c>
      <c r="H13" s="1"/>
      <c r="I13" s="1"/>
      <c r="J13" s="1"/>
      <c r="K13" s="1"/>
      <c r="L13" s="1"/>
      <c r="M13" s="1"/>
    </row>
    <row r="14" ht="15" customHeight="1">
      <c r="A14" s="1"/>
      <c r="B14" s="1" t="s">
        <v>621</v>
      </c>
      <c r="C14" s="80">
        <v>46227</v>
      </c>
      <c r="D14" s="12" t="s">
        <v>615</v>
      </c>
      <c r="E14" s="12" t="s">
        <v>622</v>
      </c>
      <c r="F14" s="80">
        <v>46314</v>
      </c>
      <c r="G14" s="12" t="s">
        <v>623</v>
      </c>
      <c r="H14" s="1"/>
      <c r="I14" s="1"/>
      <c r="J14" s="1"/>
      <c r="K14" s="1"/>
      <c r="L14" s="1"/>
      <c r="M14" s="1"/>
    </row>
    <row r="15" ht="15" customHeight="1">
      <c r="A15" s="1"/>
      <c r="B15" s="1" t="s">
        <v>624</v>
      </c>
      <c r="C15" s="80">
        <v>46059</v>
      </c>
      <c r="D15" s="12" t="s">
        <v>625</v>
      </c>
      <c r="E15" s="12" t="s">
        <v>626</v>
      </c>
      <c r="F15" s="80">
        <v>46314</v>
      </c>
      <c r="G15" s="12" t="s">
        <v>627</v>
      </c>
      <c r="H15" s="1"/>
      <c r="I15" s="1"/>
      <c r="J15" s="1"/>
      <c r="K15" s="1"/>
      <c r="L15" s="1"/>
      <c r="M15" s="1"/>
    </row>
    <row r="16" ht="15" customHeight="1">
      <c r="A16" s="1"/>
      <c r="B16" s="1" t="s">
        <v>628</v>
      </c>
      <c r="C16" s="80">
        <v>46227</v>
      </c>
      <c r="D16" s="12" t="s">
        <v>629</v>
      </c>
      <c r="E16" s="12" t="s">
        <v>630</v>
      </c>
      <c r="F16" s="80">
        <v>46314</v>
      </c>
      <c r="G16" s="12" t="s">
        <v>631</v>
      </c>
      <c r="H16" s="1"/>
      <c r="I16" s="1"/>
      <c r="J16" s="1"/>
      <c r="K16" s="1"/>
      <c r="L16" s="1"/>
      <c r="M16" s="1"/>
    </row>
    <row r="17" ht="15" customHeight="1">
      <c r="A17" s="1"/>
      <c r="B17" s="1" t="s">
        <v>632</v>
      </c>
      <c r="C17" s="80">
        <v>46052</v>
      </c>
      <c r="D17" s="12" t="s">
        <v>629</v>
      </c>
      <c r="E17" s="12" t="s">
        <v>633</v>
      </c>
      <c r="F17" s="80">
        <v>46314</v>
      </c>
      <c r="G17" s="12" t="s">
        <v>634</v>
      </c>
      <c r="H17" s="1"/>
      <c r="I17" s="1"/>
      <c r="J17" s="1"/>
      <c r="K17" s="1"/>
      <c r="L17" s="1"/>
      <c r="M17" s="1"/>
    </row>
    <row r="18" ht="15" customHeight="1">
      <c r="A18" s="1"/>
      <c r="B18" s="1" t="s">
        <v>635</v>
      </c>
      <c r="C18" s="80">
        <v>45947</v>
      </c>
      <c r="D18" s="12" t="s">
        <v>629</v>
      </c>
      <c r="E18" s="12" t="s">
        <v>636</v>
      </c>
      <c r="F18" s="80">
        <v>46314</v>
      </c>
      <c r="G18" s="12" t="s">
        <v>637</v>
      </c>
      <c r="H18" s="1"/>
      <c r="I18" s="1"/>
      <c r="J18" s="1"/>
      <c r="K18" s="1"/>
      <c r="L18" s="1"/>
      <c r="M18" s="1"/>
    </row>
    <row r="19" ht="15" customHeight="1">
      <c r="A19" s="1"/>
      <c r="B19" s="1" t="s">
        <v>638</v>
      </c>
      <c r="C19" s="80">
        <v>46227</v>
      </c>
      <c r="D19" s="12" t="s">
        <v>639</v>
      </c>
      <c r="E19" s="12" t="s">
        <v>640</v>
      </c>
      <c r="F19" s="80">
        <v>46314</v>
      </c>
      <c r="G19" s="12" t="s">
        <v>641</v>
      </c>
      <c r="H19" s="1"/>
      <c r="I19" s="1"/>
      <c r="J19" s="1"/>
      <c r="K19" s="1"/>
      <c r="L19" s="1"/>
      <c r="M19" s="1"/>
    </row>
    <row r="20" ht="15" customHeight="1">
      <c r="A20" s="1"/>
      <c r="B20" s="1" t="s">
        <v>642</v>
      </c>
      <c r="C20" s="80">
        <v>46135</v>
      </c>
      <c r="D20" s="12" t="s">
        <v>639</v>
      </c>
      <c r="E20" s="12" t="s">
        <v>643</v>
      </c>
      <c r="F20" s="80">
        <v>46314</v>
      </c>
      <c r="G20" s="12" t="s">
        <v>644</v>
      </c>
      <c r="H20" s="1"/>
      <c r="I20" s="1"/>
      <c r="J20" s="1"/>
      <c r="K20" s="1"/>
      <c r="L20" s="1"/>
      <c r="M20" s="1"/>
    </row>
    <row r="21" ht="15" customHeight="1">
      <c r="A21" s="1"/>
      <c r="B21" s="1" t="s">
        <v>645</v>
      </c>
      <c r="C21" s="80">
        <v>46052</v>
      </c>
      <c r="D21" s="12" t="s">
        <v>639</v>
      </c>
      <c r="E21" s="12" t="s">
        <v>646</v>
      </c>
      <c r="F21" s="80">
        <v>46314</v>
      </c>
      <c r="G21" s="12" t="s">
        <v>647</v>
      </c>
      <c r="H21" s="1"/>
      <c r="I21" s="1"/>
      <c r="J21" s="1"/>
      <c r="K21" s="1"/>
      <c r="L21" s="1"/>
      <c r="M21" s="1"/>
    </row>
    <row r="22" ht="15" customHeight="1">
      <c r="A22" s="1"/>
      <c r="B22" s="1" t="s">
        <v>648</v>
      </c>
      <c r="C22" s="80">
        <v>45947</v>
      </c>
      <c r="D22" s="12" t="s">
        <v>639</v>
      </c>
      <c r="E22" s="12" t="s">
        <v>649</v>
      </c>
      <c r="F22" s="80">
        <v>46314</v>
      </c>
      <c r="G22" s="12" t="s">
        <v>650</v>
      </c>
      <c r="H22" s="1"/>
      <c r="I22" s="1"/>
      <c r="J22" s="1"/>
      <c r="K22" s="1"/>
      <c r="L22" s="1"/>
      <c r="M22" s="1"/>
    </row>
    <row r="23" ht="15" customHeight="1">
      <c r="A23" s="1"/>
      <c r="B23" s="1" t="s">
        <v>651</v>
      </c>
      <c r="C23" s="80">
        <v>45681</v>
      </c>
      <c r="D23" s="12" t="s">
        <v>639</v>
      </c>
      <c r="E23" s="12" t="s">
        <v>652</v>
      </c>
      <c r="F23" s="80">
        <v>46314</v>
      </c>
      <c r="G23" s="12" t="s">
        <v>653</v>
      </c>
      <c r="H23" s="1"/>
      <c r="I23" s="1"/>
      <c r="J23" s="1"/>
      <c r="K23" s="1"/>
      <c r="L23" s="1"/>
      <c r="M23" s="1"/>
    </row>
    <row r="24" ht="15" customHeight="1">
      <c r="A24" s="1"/>
      <c r="B24" s="1" t="s">
        <v>654</v>
      </c>
      <c r="C24" s="80">
        <v>46227</v>
      </c>
      <c r="D24" s="12" t="s">
        <v>655</v>
      </c>
      <c r="E24" s="12" t="s">
        <v>656</v>
      </c>
      <c r="F24" s="80">
        <v>46314</v>
      </c>
      <c r="G24" s="12" t="s">
        <v>657</v>
      </c>
      <c r="H24" s="1"/>
      <c r="I24" s="1"/>
      <c r="J24" s="1"/>
      <c r="K24" s="1"/>
      <c r="L24" s="1"/>
      <c r="M24" s="1"/>
    </row>
    <row r="25" ht="15" customHeight="1">
      <c r="A25" s="1"/>
      <c r="B25" s="1" t="s">
        <v>658</v>
      </c>
      <c r="C25" s="80">
        <v>46281</v>
      </c>
      <c r="D25" s="12" t="s">
        <v>659</v>
      </c>
      <c r="E25" s="12" t="s">
        <v>660</v>
      </c>
      <c r="F25" s="80">
        <v>46314</v>
      </c>
      <c r="G25" s="12" t="s">
        <v>661</v>
      </c>
      <c r="H25" s="1"/>
      <c r="I25" s="1"/>
      <c r="J25" s="1"/>
      <c r="K25" s="1"/>
      <c r="L25" s="1"/>
      <c r="M25" s="1"/>
    </row>
    <row r="26" ht="15" customHeight="1">
      <c r="A26" s="1"/>
      <c r="B26" s="1" t="s">
        <v>662</v>
      </c>
      <c r="C26" s="80">
        <v>46146</v>
      </c>
      <c r="D26" s="12" t="s">
        <v>663</v>
      </c>
      <c r="E26" s="12" t="s">
        <v>664</v>
      </c>
      <c r="F26" s="80">
        <v>46314</v>
      </c>
      <c r="G26" s="12" t="s">
        <v>665</v>
      </c>
      <c r="H26" s="1"/>
      <c r="I26" s="1"/>
      <c r="J26" s="1"/>
      <c r="K26" s="1"/>
      <c r="L26" s="1"/>
      <c r="M26" s="1"/>
    </row>
    <row r="27" ht="15" customHeight="1">
      <c r="A27" s="1"/>
      <c r="B27" s="1" t="s">
        <v>666</v>
      </c>
      <c r="C27" s="80">
        <v>46296</v>
      </c>
      <c r="D27" s="12" t="s">
        <v>667</v>
      </c>
      <c r="E27" s="12" t="s">
        <v>668</v>
      </c>
      <c r="F27" s="80">
        <v>46314</v>
      </c>
      <c r="G27" s="12" t="s">
        <v>669</v>
      </c>
      <c r="H27" s="1"/>
      <c r="I27" s="1"/>
      <c r="J27" s="1"/>
      <c r="K27" s="1"/>
      <c r="L27" s="1"/>
      <c r="M27" s="1"/>
    </row>
    <row r="28" ht="15" customHeight="1">
      <c r="A28" s="1"/>
      <c r="B28" s="1" t="s">
        <v>670</v>
      </c>
      <c r="C28" s="80">
        <v>46303</v>
      </c>
      <c r="D28" s="12" t="s">
        <v>663</v>
      </c>
      <c r="E28" s="12" t="s">
        <v>671</v>
      </c>
      <c r="F28" s="80">
        <v>46314</v>
      </c>
      <c r="G28" s="12" t="s">
        <v>672</v>
      </c>
      <c r="H28" s="1"/>
      <c r="I28" s="1"/>
      <c r="J28" s="1"/>
      <c r="K28" s="1"/>
      <c r="L28" s="1"/>
      <c r="M28" s="1"/>
    </row>
    <row r="29" ht="15" customHeight="1">
      <c r="A29" s="1"/>
      <c r="B29" s="1" t="s">
        <v>673</v>
      </c>
      <c r="C29" s="80">
        <v>46310</v>
      </c>
      <c r="D29" s="12" t="s">
        <v>674</v>
      </c>
      <c r="E29" s="12" t="s">
        <v>675</v>
      </c>
      <c r="F29" s="80">
        <v>46314</v>
      </c>
      <c r="G29" s="12" t="s">
        <v>676</v>
      </c>
      <c r="H29" s="1"/>
      <c r="I29" s="1"/>
      <c r="J29" s="1"/>
      <c r="K29" s="1"/>
      <c r="L29" s="1"/>
      <c r="M29" s="1"/>
    </row>
    <row r="30" ht="15" customHeight="1">
      <c r="A30" s="1"/>
      <c r="B30" s="1" t="s">
        <v>677</v>
      </c>
      <c r="C30" s="80">
        <v>46251</v>
      </c>
      <c r="D30" s="12" t="s">
        <v>663</v>
      </c>
      <c r="E30" s="12" t="s">
        <v>678</v>
      </c>
      <c r="F30" s="80">
        <v>46314</v>
      </c>
      <c r="G30" s="12" t="s">
        <v>679</v>
      </c>
      <c r="H30" s="1"/>
      <c r="I30" s="1"/>
      <c r="J30" s="1"/>
      <c r="K30" s="1"/>
      <c r="L30" s="1"/>
      <c r="M30" s="1"/>
    </row>
    <row r="31" ht="15" customHeight="1">
      <c r="A31" s="1"/>
      <c r="B31" s="1" t="s">
        <v>680</v>
      </c>
      <c r="C31" s="80">
        <v>46288</v>
      </c>
      <c r="D31" s="12" t="s">
        <v>681</v>
      </c>
      <c r="E31" s="12" t="s">
        <v>682</v>
      </c>
      <c r="F31" s="80">
        <v>46314</v>
      </c>
      <c r="G31" s="12" t="s">
        <v>683</v>
      </c>
      <c r="H31" s="1"/>
      <c r="I31" s="1"/>
      <c r="J31" s="1"/>
      <c r="K31" s="1"/>
      <c r="L31" s="1"/>
      <c r="M31" s="1"/>
    </row>
    <row r="32" ht="15" customHeight="1">
      <c r="A32" s="1"/>
      <c r="B32" s="1" t="s">
        <v>684</v>
      </c>
      <c r="C32" s="80">
        <v>46308</v>
      </c>
      <c r="D32" s="12" t="s">
        <v>685</v>
      </c>
      <c r="E32" s="12" t="s">
        <v>686</v>
      </c>
      <c r="F32" s="80">
        <v>46314</v>
      </c>
      <c r="G32" s="12" t="s">
        <v>687</v>
      </c>
      <c r="H32" s="1"/>
      <c r="I32" s="1"/>
      <c r="J32" s="1"/>
      <c r="K32" s="1"/>
      <c r="L32" s="1"/>
      <c r="M32" s="1"/>
    </row>
    <row r="33" ht="15" customHeight="1">
      <c r="A33" s="1"/>
      <c r="B33" s="1" t="s">
        <v>688</v>
      </c>
      <c r="C33" s="80">
        <v>46308</v>
      </c>
      <c r="D33" s="12" t="s">
        <v>689</v>
      </c>
      <c r="E33" s="12" t="s">
        <v>690</v>
      </c>
      <c r="F33" s="80">
        <v>46314</v>
      </c>
      <c r="G33" s="12" t="s">
        <v>691</v>
      </c>
      <c r="H33" s="1"/>
      <c r="I33" s="1"/>
      <c r="J33" s="1"/>
      <c r="K33" s="1"/>
      <c r="L33" s="1"/>
      <c r="M33" s="1"/>
    </row>
    <row r="34" ht="15" customHeight="1">
      <c r="A34" s="1"/>
      <c r="B34" s="1" t="s">
        <v>692</v>
      </c>
      <c r="C34" s="80">
        <v>46309</v>
      </c>
      <c r="D34" s="12" t="s">
        <v>693</v>
      </c>
      <c r="E34" s="12" t="s">
        <v>690</v>
      </c>
      <c r="F34" s="80">
        <v>46314</v>
      </c>
      <c r="G34" s="12" t="s">
        <v>694</v>
      </c>
      <c r="H34" s="1"/>
      <c r="I34" s="1"/>
      <c r="J34" s="1"/>
      <c r="K34" s="1"/>
      <c r="L34" s="1"/>
      <c r="M34" s="1"/>
    </row>
    <row r="35" ht="15" customHeight="1">
      <c r="A35" s="1"/>
      <c r="B35" s="1" t="s">
        <v>695</v>
      </c>
      <c r="C35" s="80">
        <v>46304</v>
      </c>
      <c r="D35" s="12" t="s">
        <v>696</v>
      </c>
      <c r="E35" s="12" t="s">
        <v>697</v>
      </c>
      <c r="F35" s="80">
        <v>46314</v>
      </c>
      <c r="G35" s="12" t="s">
        <v>698</v>
      </c>
      <c r="H35" s="1"/>
      <c r="I35" s="1"/>
      <c r="J35" s="1"/>
      <c r="K35" s="1"/>
      <c r="L35" s="1"/>
      <c r="M35" s="1"/>
    </row>
    <row r="36" ht="15" customHeight="1">
      <c r="A36" s="1"/>
      <c r="B36" s="1" t="s">
        <v>699</v>
      </c>
      <c r="C36" s="80">
        <v>46310</v>
      </c>
      <c r="D36" s="12" t="s">
        <v>700</v>
      </c>
      <c r="E36" s="12" t="s">
        <v>701</v>
      </c>
      <c r="F36" s="80">
        <v>46314</v>
      </c>
      <c r="G36" s="12" t="s">
        <v>702</v>
      </c>
      <c r="H36" s="1"/>
      <c r="I36" s="1"/>
      <c r="J36" s="1"/>
      <c r="K36" s="1"/>
      <c r="L36" s="1"/>
      <c r="M36" s="1"/>
    </row>
    <row r="37" ht="15" customHeight="1">
      <c r="A37" s="1"/>
      <c r="B37" s="1" t="s">
        <v>703</v>
      </c>
      <c r="C37" s="80">
        <v>46311</v>
      </c>
      <c r="D37" s="12" t="s">
        <v>704</v>
      </c>
      <c r="E37" s="12" t="s">
        <v>705</v>
      </c>
      <c r="F37" s="80">
        <v>46314</v>
      </c>
      <c r="G37" s="12" t="s">
        <v>706</v>
      </c>
      <c r="H37" s="1"/>
      <c r="I37" s="1"/>
      <c r="J37" s="1"/>
      <c r="K37" s="1"/>
      <c r="L37" s="1"/>
      <c r="M37" s="1"/>
    </row>
    <row r="38" ht="15" customHeight="1">
      <c r="A38" s="1"/>
      <c r="B38" s="1" t="s">
        <v>707</v>
      </c>
      <c r="C38" s="80">
        <v>46313</v>
      </c>
      <c r="D38" s="12" t="s">
        <v>708</v>
      </c>
      <c r="E38" s="12" t="s">
        <v>709</v>
      </c>
      <c r="F38" s="80">
        <v>46314</v>
      </c>
      <c r="G38" s="12" t="s">
        <v>710</v>
      </c>
      <c r="H38" s="1"/>
      <c r="I38" s="1"/>
      <c r="J38" s="1"/>
      <c r="K38" s="1"/>
      <c r="L38" s="1"/>
      <c r="M38" s="1"/>
    </row>
    <row r="39" ht="15" customHeight="1">
      <c r="A39" s="1"/>
      <c r="B39" s="1" t="s">
        <v>711</v>
      </c>
      <c r="C39" s="80">
        <v>46311</v>
      </c>
      <c r="D39" s="12" t="s">
        <v>712</v>
      </c>
      <c r="E39" s="12" t="s">
        <v>713</v>
      </c>
      <c r="F39" s="80">
        <v>46314</v>
      </c>
      <c r="G39" s="12" t="s">
        <v>714</v>
      </c>
      <c r="H39" s="1"/>
      <c r="I39" s="1"/>
      <c r="J39" s="1"/>
      <c r="K39" s="1"/>
      <c r="L39" s="1"/>
      <c r="M39" s="1"/>
    </row>
    <row r="40" ht="15" customHeight="1">
      <c r="A40" s="1"/>
      <c r="B40" s="1" t="s">
        <v>715</v>
      </c>
      <c r="C40" s="80">
        <v>46310</v>
      </c>
      <c r="D40" s="12" t="s">
        <v>716</v>
      </c>
      <c r="E40" s="12" t="s">
        <v>713</v>
      </c>
      <c r="F40" s="80">
        <v>46314</v>
      </c>
      <c r="G40" s="12" t="s">
        <v>717</v>
      </c>
      <c r="H40" s="1"/>
      <c r="I40" s="1"/>
      <c r="J40" s="1"/>
      <c r="K40" s="1"/>
      <c r="L40" s="1"/>
      <c r="M40" s="1"/>
    </row>
    <row r="41" ht="15" customHeight="1">
      <c r="A41" s="1"/>
      <c r="B41" s="1" t="s">
        <v>718</v>
      </c>
      <c r="C41" s="80">
        <v>46237</v>
      </c>
      <c r="D41" s="12" t="s">
        <v>719</v>
      </c>
      <c r="E41" s="12" t="s">
        <v>720</v>
      </c>
      <c r="F41" s="80">
        <v>46314</v>
      </c>
      <c r="G41" s="12" t="s">
        <v>721</v>
      </c>
      <c r="H41" s="1"/>
      <c r="I41" s="1"/>
      <c r="J41" s="1"/>
      <c r="K41" s="1"/>
      <c r="L41" s="1"/>
      <c r="M41" s="1"/>
    </row>
    <row r="42" ht="15" customHeight="1">
      <c r="A42" s="1"/>
      <c r="B42" s="1" t="s">
        <v>722</v>
      </c>
      <c r="C42" s="80">
        <v>45492</v>
      </c>
      <c r="D42" s="12" t="s">
        <v>639</v>
      </c>
      <c r="E42" s="12" t="s">
        <v>723</v>
      </c>
      <c r="F42" s="80">
        <v>46314</v>
      </c>
      <c r="G42" s="12" t="s">
        <v>724</v>
      </c>
      <c r="H42" s="1"/>
      <c r="I42" s="1"/>
      <c r="J42" s="1"/>
      <c r="K42" s="1"/>
      <c r="L42" s="1"/>
      <c r="M42" s="1"/>
    </row>
    <row r="43" ht="15" customHeight="1">
      <c r="A43" s="1"/>
      <c r="B43" s="1" t="s">
        <v>725</v>
      </c>
      <c r="C43" s="19" t="s">
        <v>35</v>
      </c>
      <c r="D43" s="12" t="s">
        <v>726</v>
      </c>
      <c r="E43" s="12" t="s">
        <v>727</v>
      </c>
      <c r="F43" s="80">
        <v>46314</v>
      </c>
      <c r="G43" s="12" t="s">
        <v>728</v>
      </c>
      <c r="H43" s="1"/>
      <c r="I43" s="1"/>
      <c r="J43" s="1"/>
      <c r="K43" s="1"/>
      <c r="L43" s="1"/>
      <c r="M43" s="1"/>
    </row>
    <row r="44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ht="15" customHeight="1">
      <c r="A45" s="1"/>
      <c r="B45" s="4" t="s">
        <v>729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15" customHeight="1">
      <c r="A46" s="1"/>
      <c r="B46" s="4" t="s">
        <v>730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ht="15" customHeight="1">
      <c r="A47" s="1"/>
      <c r="B47" s="4" t="s">
        <v>731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0EBDC12-62A8-DB75-B658-78C2CF1EF5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58.00390625" customWidth="1"/>
    <col min="3" max="10" width="18.00390625" customWidth="1"/>
    <col min="11" max="11" width="14.00390625" customWidth="1"/>
    <col min="12" max="12" width="18.00390625" customWidth="1"/>
    <col min="13" max="13" width="60.00390625" customWidth="1"/>
  </cols>
  <sheetData>
    <row r="1" ht="1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732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4</v>
      </c>
      <c r="D5" s="5"/>
      <c r="E5" s="5"/>
      <c r="F5" s="5"/>
      <c r="G5" s="5"/>
      <c r="H5" s="5"/>
      <c r="I5" s="5"/>
      <c r="J5" s="5"/>
      <c r="K5" s="5"/>
      <c r="L5" s="5"/>
      <c r="M5" s="1"/>
    </row>
    <row r="6" ht="15" customHeight="1">
      <c r="A6" s="1"/>
      <c r="B6" s="7" t="s">
        <v>5</v>
      </c>
      <c r="C6" s="8">
        <v>46295</v>
      </c>
      <c r="D6" s="7"/>
      <c r="E6" s="7"/>
      <c r="F6" s="7"/>
      <c r="G6" s="7"/>
      <c r="H6" s="7"/>
      <c r="I6" s="7"/>
      <c r="J6" s="7"/>
      <c r="K6" s="7"/>
      <c r="L6" s="7"/>
      <c r="M6" s="1"/>
    </row>
    <row r="7" ht="15" customHeight="1">
      <c r="A7" s="1"/>
      <c r="B7" s="9" t="s">
        <v>6</v>
      </c>
      <c r="C7" s="10">
        <f>C6-EOMONTH(C6,-3)</f>
        <v>92</v>
      </c>
      <c r="D7" s="9"/>
      <c r="E7" s="9"/>
      <c r="F7" s="9"/>
      <c r="G7" s="9"/>
      <c r="H7" s="9"/>
      <c r="I7" s="9"/>
      <c r="J7" s="9"/>
      <c r="K7" s="9"/>
      <c r="L7" s="9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15" customHeight="1">
      <c r="A9" s="1"/>
      <c r="B9" s="30" t="s">
        <v>733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ht="34.5" customHeight="1">
      <c r="A10" s="1"/>
      <c r="B10" s="13" t="s">
        <v>734</v>
      </c>
      <c r="C10" s="79" t="s">
        <v>735</v>
      </c>
      <c r="D10" s="79" t="s">
        <v>736</v>
      </c>
      <c r="E10" s="13"/>
      <c r="F10" s="13"/>
      <c r="G10" s="13"/>
      <c r="H10" s="13"/>
      <c r="I10" s="13"/>
      <c r="J10" s="13"/>
      <c r="K10" s="13"/>
      <c r="L10" s="13"/>
      <c r="M10" s="1"/>
    </row>
    <row r="11" ht="15" customHeight="1">
      <c r="A11" s="1"/>
      <c r="B11" s="1" t="s">
        <v>737</v>
      </c>
      <c r="C11" s="83" t="s">
        <v>738</v>
      </c>
      <c r="D11" s="1"/>
      <c r="E11" s="1"/>
      <c r="F11" s="1"/>
      <c r="G11" s="1"/>
      <c r="H11" s="1"/>
      <c r="I11" s="1"/>
      <c r="J11" s="1"/>
      <c r="K11" s="1"/>
      <c r="L11" s="1"/>
      <c r="M11" s="4" t="s">
        <v>739</v>
      </c>
    </row>
    <row r="12" ht="15" customHeight="1">
      <c r="A12" s="1"/>
      <c r="B12" s="1" t="s">
        <v>740</v>
      </c>
      <c r="C12" s="83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4" t="s">
        <v>739</v>
      </c>
    </row>
    <row r="13" ht="15" customHeight="1">
      <c r="A13" s="1"/>
      <c r="B13" s="1" t="s">
        <v>741</v>
      </c>
      <c r="C13" s="83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4" t="s">
        <v>739</v>
      </c>
    </row>
    <row r="14" ht="15" customHeight="1">
      <c r="A14" s="1"/>
      <c r="B14" s="1" t="s">
        <v>742</v>
      </c>
      <c r="C14" s="83" t="s">
        <v>743</v>
      </c>
      <c r="D14" s="1"/>
      <c r="E14" s="1"/>
      <c r="F14" s="1"/>
      <c r="G14" s="1"/>
      <c r="H14" s="1"/>
      <c r="I14" s="1"/>
      <c r="J14" s="1"/>
      <c r="K14" s="1"/>
      <c r="L14" s="1"/>
      <c r="M14" s="4" t="s">
        <v>739</v>
      </c>
    </row>
    <row r="15" ht="15" customHeight="1">
      <c r="A15" s="1"/>
      <c r="B15" s="1" t="s">
        <v>744</v>
      </c>
      <c r="C15" s="84">
        <v>46295</v>
      </c>
      <c r="D15" s="1"/>
      <c r="E15" s="1"/>
      <c r="F15" s="1"/>
      <c r="G15" s="1"/>
      <c r="H15" s="1"/>
      <c r="I15" s="1"/>
      <c r="J15" s="1"/>
      <c r="K15" s="1"/>
      <c r="L15" s="1"/>
      <c r="M15" s="4" t="s">
        <v>739</v>
      </c>
    </row>
    <row r="16" ht="15" customHeight="1">
      <c r="A16" s="1"/>
      <c r="B16" s="1" t="s">
        <v>745</v>
      </c>
      <c r="C16" s="84">
        <v>46313</v>
      </c>
      <c r="D16" s="1"/>
      <c r="E16" s="1"/>
      <c r="F16" s="1"/>
      <c r="G16" s="1"/>
      <c r="H16" s="1"/>
      <c r="I16" s="1"/>
      <c r="J16" s="1"/>
      <c r="K16" s="1"/>
      <c r="L16" s="1"/>
      <c r="M16" s="4" t="s">
        <v>739</v>
      </c>
    </row>
    <row r="17" ht="15" customHeight="1">
      <c r="A17" s="1"/>
      <c r="B17" s="1" t="s">
        <v>746</v>
      </c>
      <c r="C17" s="83">
        <v>20</v>
      </c>
      <c r="D17" s="12">
        <f t="shared" si="0" ref="D17:D113">VALUE(C17)</f>
        <v>20</v>
      </c>
      <c r="E17" s="1"/>
      <c r="F17" s="1"/>
      <c r="G17" s="1"/>
      <c r="H17" s="1"/>
      <c r="I17" s="1"/>
      <c r="J17" s="1"/>
      <c r="K17" s="1"/>
      <c r="L17" s="1"/>
      <c r="M17" s="4" t="s">
        <v>739</v>
      </c>
    </row>
    <row r="18" ht="15" customHeight="1">
      <c r="A18" s="1"/>
      <c r="B18" s="1" t="s">
        <v>747</v>
      </c>
      <c r="C18" s="83">
        <v>4.49</v>
      </c>
      <c r="D18" s="12">
        <f t="shared" si="0"/>
        <v>4.49</v>
      </c>
      <c r="E18" s="1"/>
      <c r="F18" s="1"/>
      <c r="G18" s="1"/>
      <c r="H18" s="1"/>
      <c r="I18" s="1"/>
      <c r="J18" s="1"/>
      <c r="K18" s="1"/>
      <c r="L18" s="1"/>
      <c r="M18" s="4" t="s">
        <v>739</v>
      </c>
    </row>
    <row r="19" ht="15" customHeight="1">
      <c r="A19" s="1"/>
      <c r="B19" s="1" t="s">
        <v>748</v>
      </c>
      <c r="C19" s="83" t="s">
        <v>749</v>
      </c>
      <c r="D19" s="1"/>
      <c r="E19" s="1"/>
      <c r="F19" s="1"/>
      <c r="G19" s="1"/>
      <c r="H19" s="1"/>
      <c r="I19" s="1"/>
      <c r="J19" s="1"/>
      <c r="K19" s="1"/>
      <c r="L19" s="1"/>
      <c r="M19" s="4" t="s">
        <v>739</v>
      </c>
    </row>
    <row r="20" ht="15" customHeight="1">
      <c r="A20" s="1"/>
      <c r="B20" s="1" t="s">
        <v>750</v>
      </c>
      <c r="C20" s="83">
        <v>20115.51</v>
      </c>
      <c r="D20" s="12">
        <f t="shared" si="0"/>
        <v>20115.51</v>
      </c>
      <c r="E20" s="1"/>
      <c r="F20" s="1"/>
      <c r="G20" s="1"/>
      <c r="H20" s="1"/>
      <c r="I20" s="1"/>
      <c r="J20" s="1"/>
      <c r="K20" s="1"/>
      <c r="L20" s="1"/>
      <c r="M20" s="4" t="s">
        <v>739</v>
      </c>
    </row>
    <row r="21" ht="15" customHeight="1">
      <c r="A21" s="1"/>
      <c r="B21" s="1" t="s">
        <v>751</v>
      </c>
      <c r="C21" s="83" t="s">
        <v>752</v>
      </c>
      <c r="D21" s="1"/>
      <c r="E21" s="1"/>
      <c r="F21" s="1"/>
      <c r="G21" s="1"/>
      <c r="H21" s="1"/>
      <c r="I21" s="1"/>
      <c r="J21" s="1"/>
      <c r="K21" s="1"/>
      <c r="L21" s="1"/>
      <c r="M21" s="4" t="s">
        <v>739</v>
      </c>
    </row>
    <row r="22" ht="15" customHeight="1">
      <c r="A22" s="1"/>
      <c r="B22" s="1" t="s">
        <v>753</v>
      </c>
      <c r="C22" s="83" t="s">
        <v>754</v>
      </c>
      <c r="D22" s="1"/>
      <c r="E22" s="1"/>
      <c r="F22" s="1"/>
      <c r="G22" s="1"/>
      <c r="H22" s="1"/>
      <c r="I22" s="1"/>
      <c r="J22" s="1"/>
      <c r="K22" s="1"/>
      <c r="L22" s="1"/>
      <c r="M22" s="4" t="s">
        <v>739</v>
      </c>
    </row>
    <row r="23" ht="15" customHeight="1">
      <c r="A23" s="1"/>
      <c r="B23" s="1" t="s">
        <v>755</v>
      </c>
      <c r="C23" s="83" t="s">
        <v>756</v>
      </c>
      <c r="D23" s="1"/>
      <c r="E23" s="1"/>
      <c r="F23" s="1"/>
      <c r="G23" s="1"/>
      <c r="H23" s="1"/>
      <c r="I23" s="1"/>
      <c r="J23" s="1"/>
      <c r="K23" s="1"/>
      <c r="L23" s="1"/>
      <c r="M23" s="4" t="s">
        <v>739</v>
      </c>
    </row>
    <row r="24" ht="15" customHeight="1">
      <c r="A24" s="1"/>
      <c r="B24" s="1" t="s">
        <v>757</v>
      </c>
      <c r="C24" s="83" t="s">
        <v>752</v>
      </c>
      <c r="D24" s="1"/>
      <c r="E24" s="1"/>
      <c r="F24" s="1"/>
      <c r="G24" s="1"/>
      <c r="H24" s="1"/>
      <c r="I24" s="1"/>
      <c r="J24" s="1"/>
      <c r="K24" s="1"/>
      <c r="L24" s="1"/>
      <c r="M24" s="4" t="s">
        <v>739</v>
      </c>
    </row>
    <row r="25" ht="15" customHeight="1">
      <c r="A25" s="1"/>
      <c r="B25" s="1" t="s">
        <v>758</v>
      </c>
      <c r="C25" s="85" t="s">
        <v>752</v>
      </c>
      <c r="D25" s="1"/>
      <c r="E25" s="1"/>
      <c r="F25" s="1"/>
      <c r="G25" s="1"/>
      <c r="H25" s="1"/>
      <c r="I25" s="1"/>
      <c r="J25" s="1"/>
      <c r="K25" s="1"/>
      <c r="L25" s="1"/>
      <c r="M25" s="4" t="s">
        <v>739</v>
      </c>
    </row>
    <row r="26" ht="15" customHeight="1">
      <c r="A26" s="1"/>
      <c r="B26" s="1" t="s">
        <v>759</v>
      </c>
      <c r="C26" s="85" t="s">
        <v>760</v>
      </c>
      <c r="D26" s="1"/>
      <c r="E26" s="1"/>
      <c r="F26" s="1"/>
      <c r="G26" s="1"/>
      <c r="H26" s="1"/>
      <c r="I26" s="1"/>
      <c r="J26" s="1"/>
      <c r="K26" s="1"/>
      <c r="L26" s="1"/>
      <c r="M26" s="4" t="s">
        <v>739</v>
      </c>
    </row>
    <row r="27" ht="15" customHeight="1">
      <c r="A27" s="1"/>
      <c r="B27" s="1" t="s">
        <v>761</v>
      </c>
      <c r="C27" s="85" t="s">
        <v>752</v>
      </c>
      <c r="D27" s="1"/>
      <c r="E27" s="1"/>
      <c r="F27" s="1"/>
      <c r="G27" s="1"/>
      <c r="H27" s="1"/>
      <c r="I27" s="1"/>
      <c r="J27" s="1"/>
      <c r="K27" s="1"/>
      <c r="L27" s="1"/>
      <c r="M27" s="4" t="s">
        <v>739</v>
      </c>
    </row>
    <row r="28" ht="15" customHeight="1">
      <c r="A28" s="1"/>
      <c r="B28" s="1" t="s">
        <v>762</v>
      </c>
      <c r="C28" s="85" t="s">
        <v>763</v>
      </c>
      <c r="D28" s="1"/>
      <c r="E28" s="1"/>
      <c r="F28" s="1"/>
      <c r="G28" s="1"/>
      <c r="H28" s="1"/>
      <c r="I28" s="1"/>
      <c r="J28" s="1"/>
      <c r="K28" s="1"/>
      <c r="L28" s="1"/>
      <c r="M28" s="4" t="s">
        <v>739</v>
      </c>
    </row>
    <row r="29" ht="15" customHeight="1">
      <c r="A29" s="1"/>
      <c r="B29" s="1" t="s">
        <v>764</v>
      </c>
      <c r="C29" s="85" t="s">
        <v>765</v>
      </c>
      <c r="D29" s="1"/>
      <c r="E29" s="1"/>
      <c r="F29" s="1"/>
      <c r="G29" s="1"/>
      <c r="H29" s="1"/>
      <c r="I29" s="1"/>
      <c r="J29" s="1"/>
      <c r="K29" s="1"/>
      <c r="L29" s="1"/>
      <c r="M29" s="4" t="s">
        <v>739</v>
      </c>
    </row>
    <row r="30" ht="15" customHeight="1">
      <c r="A30" s="1"/>
      <c r="B30" s="1" t="s">
        <v>766</v>
      </c>
      <c r="C30" s="85" t="s">
        <v>767</v>
      </c>
      <c r="D30" s="1"/>
      <c r="E30" s="1"/>
      <c r="F30" s="1"/>
      <c r="G30" s="1"/>
      <c r="H30" s="1"/>
      <c r="I30" s="1"/>
      <c r="J30" s="1"/>
      <c r="K30" s="1"/>
      <c r="L30" s="1"/>
      <c r="M30" s="4" t="s">
        <v>739</v>
      </c>
    </row>
    <row r="31" ht="15" customHeight="1">
      <c r="A31" s="1"/>
      <c r="B31" s="1" t="s">
        <v>768</v>
      </c>
      <c r="C31" s="85" t="s">
        <v>769</v>
      </c>
      <c r="D31" s="1"/>
      <c r="E31" s="1"/>
      <c r="F31" s="1"/>
      <c r="G31" s="1"/>
      <c r="H31" s="1"/>
      <c r="I31" s="1"/>
      <c r="J31" s="1"/>
      <c r="K31" s="1"/>
      <c r="L31" s="1"/>
      <c r="M31" s="4" t="s">
        <v>739</v>
      </c>
    </row>
    <row r="32" ht="15" customHeight="1">
      <c r="A32" s="1"/>
      <c r="B32" s="1" t="s">
        <v>770</v>
      </c>
      <c r="C32" s="85" t="s">
        <v>771</v>
      </c>
      <c r="D32" s="1"/>
      <c r="E32" s="1"/>
      <c r="F32" s="1"/>
      <c r="G32" s="1"/>
      <c r="H32" s="1"/>
      <c r="I32" s="1"/>
      <c r="J32" s="1"/>
      <c r="K32" s="1"/>
      <c r="L32" s="1"/>
      <c r="M32" s="4" t="s">
        <v>739</v>
      </c>
    </row>
    <row r="33" ht="15" customHeight="1">
      <c r="A33" s="1"/>
      <c r="B33" s="1" t="s">
        <v>772</v>
      </c>
      <c r="C33" s="85" t="s">
        <v>773</v>
      </c>
      <c r="D33" s="1"/>
      <c r="E33" s="1"/>
      <c r="F33" s="1"/>
      <c r="G33" s="1"/>
      <c r="H33" s="1"/>
      <c r="I33" s="1"/>
      <c r="J33" s="1"/>
      <c r="K33" s="1"/>
      <c r="L33" s="1"/>
      <c r="M33" s="4" t="s">
        <v>739</v>
      </c>
    </row>
    <row r="34" ht="15" customHeight="1">
      <c r="A34" s="1"/>
      <c r="B34" s="1" t="s">
        <v>774</v>
      </c>
      <c r="C34" s="85" t="s">
        <v>775</v>
      </c>
      <c r="D34" s="1"/>
      <c r="E34" s="1"/>
      <c r="F34" s="1"/>
      <c r="G34" s="1"/>
      <c r="H34" s="1"/>
      <c r="I34" s="1"/>
      <c r="J34" s="1"/>
      <c r="K34" s="1"/>
      <c r="L34" s="1"/>
      <c r="M34" s="4" t="s">
        <v>739</v>
      </c>
    </row>
    <row r="35" ht="15" customHeight="1">
      <c r="A35" s="1"/>
      <c r="B35" s="1" t="s">
        <v>776</v>
      </c>
      <c r="C35" s="85" t="s">
        <v>777</v>
      </c>
      <c r="D35" s="1"/>
      <c r="E35" s="1"/>
      <c r="F35" s="1"/>
      <c r="G35" s="1"/>
      <c r="H35" s="1"/>
      <c r="I35" s="1"/>
      <c r="J35" s="1"/>
      <c r="K35" s="1"/>
      <c r="L35" s="1"/>
      <c r="M35" s="4" t="s">
        <v>739</v>
      </c>
    </row>
    <row r="36" ht="15" customHeight="1">
      <c r="A36" s="1"/>
      <c r="B36" s="1" t="s">
        <v>778</v>
      </c>
      <c r="C36" s="85" t="s">
        <v>779</v>
      </c>
      <c r="D36" s="1"/>
      <c r="E36" s="1"/>
      <c r="F36" s="1"/>
      <c r="G36" s="1"/>
      <c r="H36" s="1"/>
      <c r="I36" s="1"/>
      <c r="J36" s="1"/>
      <c r="K36" s="1"/>
      <c r="L36" s="1"/>
      <c r="M36" s="4" t="s">
        <v>739</v>
      </c>
    </row>
    <row r="37" ht="15" customHeight="1">
      <c r="A37" s="1"/>
      <c r="B37" s="1" t="s">
        <v>780</v>
      </c>
      <c r="C37" s="85" t="s">
        <v>781</v>
      </c>
      <c r="D37" s="1"/>
      <c r="E37" s="1"/>
      <c r="F37" s="1"/>
      <c r="G37" s="1"/>
      <c r="H37" s="1"/>
      <c r="I37" s="1"/>
      <c r="J37" s="1"/>
      <c r="K37" s="1"/>
      <c r="L37" s="1"/>
      <c r="M37" s="4" t="s">
        <v>739</v>
      </c>
    </row>
    <row r="38" ht="15" customHeight="1">
      <c r="A38" s="1"/>
      <c r="B38" s="1" t="s">
        <v>782</v>
      </c>
      <c r="C38" s="85" t="s">
        <v>783</v>
      </c>
      <c r="D38" s="1"/>
      <c r="E38" s="1"/>
      <c r="F38" s="1"/>
      <c r="G38" s="1"/>
      <c r="H38" s="1"/>
      <c r="I38" s="1"/>
      <c r="J38" s="1"/>
      <c r="K38" s="1"/>
      <c r="L38" s="1"/>
      <c r="M38" s="4" t="s">
        <v>739</v>
      </c>
    </row>
    <row r="39" ht="15" customHeight="1">
      <c r="A39" s="1"/>
      <c r="B39" s="1" t="s">
        <v>784</v>
      </c>
      <c r="C39" s="85" t="s">
        <v>785</v>
      </c>
      <c r="D39" s="1"/>
      <c r="E39" s="1"/>
      <c r="F39" s="1"/>
      <c r="G39" s="1"/>
      <c r="H39" s="1"/>
      <c r="I39" s="1"/>
      <c r="J39" s="1"/>
      <c r="K39" s="1"/>
      <c r="L39" s="1"/>
      <c r="M39" s="4" t="s">
        <v>739</v>
      </c>
    </row>
    <row r="40" ht="15" customHeight="1">
      <c r="A40" s="1"/>
      <c r="B40" s="1" t="s">
        <v>786</v>
      </c>
      <c r="C40" s="85" t="s">
        <v>787</v>
      </c>
      <c r="D40" s="1"/>
      <c r="E40" s="1"/>
      <c r="F40" s="1"/>
      <c r="G40" s="1"/>
      <c r="H40" s="1"/>
      <c r="I40" s="1"/>
      <c r="J40" s="1"/>
      <c r="K40" s="1"/>
      <c r="L40" s="1"/>
      <c r="M40" s="4" t="s">
        <v>739</v>
      </c>
    </row>
    <row r="41" ht="15" customHeight="1">
      <c r="A41" s="1"/>
      <c r="B41" s="1" t="s">
        <v>788</v>
      </c>
      <c r="C41" s="85" t="s">
        <v>789</v>
      </c>
      <c r="D41" s="1"/>
      <c r="E41" s="1"/>
      <c r="F41" s="1"/>
      <c r="G41" s="1"/>
      <c r="H41" s="1"/>
      <c r="I41" s="1"/>
      <c r="J41" s="1"/>
      <c r="K41" s="1"/>
      <c r="L41" s="1"/>
      <c r="M41" s="4" t="s">
        <v>739</v>
      </c>
    </row>
    <row r="42" ht="15" customHeight="1">
      <c r="A42" s="1"/>
      <c r="B42" s="1" t="s">
        <v>790</v>
      </c>
      <c r="C42" s="85" t="s">
        <v>791</v>
      </c>
      <c r="D42" s="1"/>
      <c r="E42" s="1"/>
      <c r="F42" s="1"/>
      <c r="G42" s="1"/>
      <c r="H42" s="1"/>
      <c r="I42" s="1"/>
      <c r="J42" s="1"/>
      <c r="K42" s="1"/>
      <c r="L42" s="1"/>
      <c r="M42" s="4" t="s">
        <v>739</v>
      </c>
    </row>
    <row r="43" ht="15" customHeight="1">
      <c r="A43" s="1"/>
      <c r="B43" s="1" t="s">
        <v>792</v>
      </c>
      <c r="C43" s="85" t="s">
        <v>793</v>
      </c>
      <c r="D43" s="1"/>
      <c r="E43" s="1"/>
      <c r="F43" s="1"/>
      <c r="G43" s="1"/>
      <c r="H43" s="1"/>
      <c r="I43" s="1"/>
      <c r="J43" s="1"/>
      <c r="K43" s="1"/>
      <c r="L43" s="1"/>
      <c r="M43" s="4" t="s">
        <v>739</v>
      </c>
    </row>
    <row r="44" ht="15" customHeight="1">
      <c r="A44" s="1"/>
      <c r="B44" s="1" t="s">
        <v>794</v>
      </c>
      <c r="C44" s="85" t="s">
        <v>795</v>
      </c>
      <c r="D44" s="1"/>
      <c r="E44" s="1"/>
      <c r="F44" s="1"/>
      <c r="G44" s="1"/>
      <c r="H44" s="1"/>
      <c r="I44" s="1"/>
      <c r="J44" s="1"/>
      <c r="K44" s="1"/>
      <c r="L44" s="1"/>
      <c r="M44" s="4" t="s">
        <v>739</v>
      </c>
    </row>
    <row r="45" ht="15" customHeight="1">
      <c r="A45" s="1"/>
      <c r="B45" s="1" t="s">
        <v>796</v>
      </c>
      <c r="C45" s="85" t="s">
        <v>797</v>
      </c>
      <c r="D45" s="1"/>
      <c r="E45" s="1"/>
      <c r="F45" s="1"/>
      <c r="G45" s="1"/>
      <c r="H45" s="1"/>
      <c r="I45" s="1"/>
      <c r="J45" s="1"/>
      <c r="K45" s="1"/>
      <c r="L45" s="1"/>
      <c r="M45" s="4" t="s">
        <v>739</v>
      </c>
    </row>
    <row r="46" ht="15" customHeight="1">
      <c r="A46" s="1"/>
      <c r="B46" s="1" t="s">
        <v>798</v>
      </c>
      <c r="C46" s="85" t="s">
        <v>799</v>
      </c>
      <c r="D46" s="1"/>
      <c r="E46" s="1"/>
      <c r="F46" s="1"/>
      <c r="G46" s="1"/>
      <c r="H46" s="1"/>
      <c r="I46" s="1"/>
      <c r="J46" s="1"/>
      <c r="K46" s="1"/>
      <c r="L46" s="1"/>
      <c r="M46" s="4" t="s">
        <v>739</v>
      </c>
    </row>
    <row r="47" ht="15" customHeight="1">
      <c r="A47" s="1"/>
      <c r="B47" s="1" t="s">
        <v>800</v>
      </c>
      <c r="C47" s="85" t="s">
        <v>801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34.5" customHeight="1">
      <c r="A48" s="1"/>
      <c r="B48" s="13" t="s">
        <v>802</v>
      </c>
      <c r="C48" s="79" t="s">
        <v>735</v>
      </c>
      <c r="D48" s="79" t="s">
        <v>736</v>
      </c>
      <c r="E48" s="13"/>
      <c r="F48" s="13"/>
      <c r="G48" s="13"/>
      <c r="H48" s="13"/>
      <c r="I48" s="13"/>
      <c r="J48" s="13"/>
      <c r="K48" s="13"/>
      <c r="L48" s="13"/>
      <c r="M48" s="1"/>
    </row>
    <row r="49" ht="15" customHeight="1">
      <c r="A49" s="1"/>
      <c r="B49" s="1" t="s">
        <v>740</v>
      </c>
      <c r="C49" s="85" t="s">
        <v>11</v>
      </c>
      <c r="D49" s="1"/>
      <c r="E49" s="1"/>
      <c r="F49" s="1"/>
      <c r="G49" s="1"/>
      <c r="H49" s="1"/>
      <c r="I49" s="1"/>
      <c r="J49" s="1"/>
      <c r="K49" s="1"/>
      <c r="L49" s="1"/>
      <c r="M49" s="4" t="s">
        <v>739</v>
      </c>
    </row>
    <row r="50" ht="15" customHeight="1">
      <c r="A50" s="1"/>
      <c r="B50" s="1" t="s">
        <v>803</v>
      </c>
      <c r="C50" s="85" t="s">
        <v>9</v>
      </c>
      <c r="D50" s="1"/>
      <c r="E50" s="1"/>
      <c r="F50" s="1"/>
      <c r="G50" s="1"/>
      <c r="H50" s="1"/>
      <c r="I50" s="1"/>
      <c r="J50" s="1"/>
      <c r="K50" s="1"/>
      <c r="L50" s="1"/>
      <c r="M50" s="4" t="s">
        <v>739</v>
      </c>
    </row>
    <row r="51" ht="15" customHeight="1">
      <c r="A51" s="1"/>
      <c r="B51" s="1" t="s">
        <v>804</v>
      </c>
      <c r="C51" s="85" t="s">
        <v>805</v>
      </c>
      <c r="D51" s="1"/>
      <c r="E51" s="1"/>
      <c r="F51" s="1"/>
      <c r="G51" s="1"/>
      <c r="H51" s="1"/>
      <c r="I51" s="1"/>
      <c r="J51" s="1"/>
      <c r="K51" s="1"/>
      <c r="L51" s="1"/>
      <c r="M51" s="4" t="s">
        <v>739</v>
      </c>
    </row>
    <row r="52" ht="15" customHeight="1">
      <c r="A52" s="1"/>
      <c r="B52" s="1" t="s">
        <v>806</v>
      </c>
      <c r="C52" s="85">
        <v>92001</v>
      </c>
      <c r="D52" s="1"/>
      <c r="E52" s="1"/>
      <c r="F52" s="1"/>
      <c r="G52" s="1"/>
      <c r="H52" s="1"/>
      <c r="I52" s="1"/>
      <c r="J52" s="1"/>
      <c r="K52" s="1"/>
      <c r="L52" s="1"/>
      <c r="M52" s="4" t="s">
        <v>739</v>
      </c>
    </row>
    <row r="53" ht="15" customHeight="1">
      <c r="A53" s="1"/>
      <c r="B53" s="1" t="s">
        <v>807</v>
      </c>
      <c r="C53" s="85" t="s">
        <v>752</v>
      </c>
      <c r="D53" s="1"/>
      <c r="E53" s="1"/>
      <c r="F53" s="1"/>
      <c r="G53" s="1"/>
      <c r="H53" s="1"/>
      <c r="I53" s="1"/>
      <c r="J53" s="1"/>
      <c r="K53" s="1"/>
      <c r="L53" s="1"/>
      <c r="M53" s="4" t="s">
        <v>739</v>
      </c>
    </row>
    <row r="54" ht="15" customHeight="1">
      <c r="A54" s="1"/>
      <c r="B54" s="1" t="s">
        <v>808</v>
      </c>
      <c r="C54" s="85" t="s">
        <v>809</v>
      </c>
      <c r="D54" s="1"/>
      <c r="E54" s="1"/>
      <c r="F54" s="1"/>
      <c r="G54" s="1"/>
      <c r="H54" s="1"/>
      <c r="I54" s="1"/>
      <c r="J54" s="1"/>
      <c r="K54" s="1"/>
      <c r="L54" s="1"/>
      <c r="M54" s="4" t="s">
        <v>739</v>
      </c>
    </row>
    <row r="55" ht="15" customHeight="1">
      <c r="A55" s="1"/>
      <c r="B55" s="1" t="s">
        <v>810</v>
      </c>
      <c r="C55" s="85" t="s">
        <v>743</v>
      </c>
      <c r="D55" s="1"/>
      <c r="E55" s="1"/>
      <c r="F55" s="1"/>
      <c r="G55" s="1"/>
      <c r="H55" s="1"/>
      <c r="I55" s="1"/>
      <c r="J55" s="1"/>
      <c r="K55" s="1"/>
      <c r="L55" s="1"/>
      <c r="M55" s="4" t="s">
        <v>739</v>
      </c>
    </row>
    <row r="56" ht="15" customHeight="1">
      <c r="A56" s="1"/>
      <c r="B56" s="1" t="s">
        <v>811</v>
      </c>
      <c r="C56" s="86">
        <v>46295</v>
      </c>
      <c r="D56" s="1"/>
      <c r="E56" s="1"/>
      <c r="F56" s="1"/>
      <c r="G56" s="1"/>
      <c r="H56" s="1"/>
      <c r="I56" s="1"/>
      <c r="J56" s="1"/>
      <c r="K56" s="1"/>
      <c r="L56" s="1"/>
      <c r="M56" s="4" t="s">
        <v>739</v>
      </c>
    </row>
    <row r="57" ht="15" customHeight="1">
      <c r="A57" s="1"/>
      <c r="B57" s="1" t="s">
        <v>812</v>
      </c>
      <c r="C57" s="86">
        <v>46318</v>
      </c>
      <c r="D57" s="1"/>
      <c r="E57" s="1"/>
      <c r="F57" s="1"/>
      <c r="G57" s="1"/>
      <c r="H57" s="1"/>
      <c r="I57" s="1"/>
      <c r="J57" s="1"/>
      <c r="K57" s="1"/>
      <c r="L57" s="1"/>
      <c r="M57" s="4" t="s">
        <v>739</v>
      </c>
    </row>
    <row r="58" ht="15" customHeight="1">
      <c r="A58" s="1"/>
      <c r="B58" s="1" t="s">
        <v>748</v>
      </c>
      <c r="C58" s="85" t="s">
        <v>813</v>
      </c>
      <c r="D58" s="1"/>
      <c r="E58" s="1"/>
      <c r="F58" s="1"/>
      <c r="G58" s="1"/>
      <c r="H58" s="1"/>
      <c r="I58" s="1"/>
      <c r="J58" s="1"/>
      <c r="K58" s="1"/>
      <c r="L58" s="1"/>
      <c r="M58" s="4" t="s">
        <v>739</v>
      </c>
    </row>
    <row r="59" ht="15" customHeight="1">
      <c r="A59" s="1"/>
      <c r="B59" s="1" t="s">
        <v>814</v>
      </c>
      <c r="C59" s="85">
        <v>20</v>
      </c>
      <c r="D59" s="1">
        <f t="shared" si="0"/>
        <v>20</v>
      </c>
      <c r="E59" s="1"/>
      <c r="F59" s="1"/>
      <c r="G59" s="1"/>
      <c r="H59" s="1"/>
      <c r="I59" s="1"/>
      <c r="J59" s="1"/>
      <c r="K59" s="1"/>
      <c r="L59" s="1"/>
      <c r="M59" s="4" t="s">
        <v>739</v>
      </c>
    </row>
    <row r="60" ht="15" customHeight="1">
      <c r="A60" s="1"/>
      <c r="B60" s="1" t="s">
        <v>815</v>
      </c>
      <c r="C60" s="85">
        <v>20</v>
      </c>
      <c r="D60" s="1">
        <f t="shared" si="0"/>
        <v>20</v>
      </c>
      <c r="E60" s="1"/>
      <c r="F60" s="1"/>
      <c r="G60" s="1"/>
      <c r="H60" s="1"/>
      <c r="I60" s="1"/>
      <c r="J60" s="1"/>
      <c r="K60" s="1"/>
      <c r="L60" s="1"/>
      <c r="M60" s="4" t="s">
        <v>739</v>
      </c>
    </row>
    <row r="61" ht="15" customHeight="1">
      <c r="A61" s="1"/>
      <c r="B61" s="1" t="s">
        <v>816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4" t="s">
        <v>739</v>
      </c>
    </row>
    <row r="62" ht="15" customHeight="1">
      <c r="A62" s="1"/>
      <c r="B62" s="1" t="s">
        <v>817</v>
      </c>
      <c r="C62" s="85">
        <v>4.49</v>
      </c>
      <c r="D62" s="1">
        <f t="shared" si="0"/>
        <v>4.49</v>
      </c>
      <c r="E62" s="1"/>
      <c r="F62" s="1"/>
      <c r="G62" s="1"/>
      <c r="H62" s="1"/>
      <c r="I62" s="1"/>
      <c r="J62" s="1"/>
      <c r="K62" s="1"/>
      <c r="L62" s="1"/>
      <c r="M62" s="4" t="s">
        <v>739</v>
      </c>
    </row>
    <row r="63" ht="15" customHeight="1">
      <c r="A63" s="1"/>
      <c r="B63" s="1" t="s">
        <v>818</v>
      </c>
      <c r="C63" s="85">
        <v>4.48</v>
      </c>
      <c r="D63" s="1">
        <f t="shared" si="0"/>
        <v>4.48</v>
      </c>
      <c r="E63" s="1"/>
      <c r="F63" s="1"/>
      <c r="G63" s="1"/>
      <c r="H63" s="1"/>
      <c r="I63" s="1"/>
      <c r="J63" s="1"/>
      <c r="K63" s="1"/>
      <c r="L63" s="1"/>
      <c r="M63" s="4" t="s">
        <v>739</v>
      </c>
    </row>
    <row r="64" ht="15" customHeight="1">
      <c r="A64" s="1"/>
      <c r="B64" s="1" t="s">
        <v>819</v>
      </c>
      <c r="C64" s="85">
        <v>4.68</v>
      </c>
      <c r="D64" s="1">
        <f t="shared" si="0"/>
        <v>4.68</v>
      </c>
      <c r="E64" s="1"/>
      <c r="F64" s="1"/>
      <c r="G64" s="1"/>
      <c r="H64" s="1"/>
      <c r="I64" s="1"/>
      <c r="J64" s="1"/>
      <c r="K64" s="1"/>
      <c r="L64" s="1"/>
      <c r="M64" s="4" t="s">
        <v>739</v>
      </c>
    </row>
    <row r="65" ht="15" customHeight="1">
      <c r="A65" s="1"/>
      <c r="B65" s="1" t="s">
        <v>820</v>
      </c>
      <c r="C65" s="85">
        <v>4.31</v>
      </c>
      <c r="D65" s="1">
        <f t="shared" si="0"/>
        <v>4.31</v>
      </c>
      <c r="E65" s="1"/>
      <c r="F65" s="1"/>
      <c r="G65" s="1"/>
      <c r="H65" s="1"/>
      <c r="I65" s="1"/>
      <c r="J65" s="1"/>
      <c r="K65" s="1"/>
      <c r="L65" s="1"/>
      <c r="M65" s="4" t="s">
        <v>739</v>
      </c>
    </row>
    <row r="66" ht="15" customHeight="1">
      <c r="A66" s="1"/>
      <c r="B66" s="1" t="s">
        <v>821</v>
      </c>
      <c r="C66" s="85">
        <v>0.09</v>
      </c>
      <c r="D66" s="1">
        <f t="shared" si="0"/>
        <v>0.09</v>
      </c>
      <c r="E66" s="1"/>
      <c r="F66" s="1"/>
      <c r="G66" s="1"/>
      <c r="H66" s="1"/>
      <c r="I66" s="1"/>
      <c r="J66" s="1"/>
      <c r="K66" s="1"/>
      <c r="L66" s="1"/>
      <c r="M66" s="4" t="s">
        <v>739</v>
      </c>
    </row>
    <row r="67" ht="15" customHeight="1">
      <c r="A67" s="1"/>
      <c r="B67" s="1" t="s">
        <v>822</v>
      </c>
      <c r="C67" s="85">
        <v>20</v>
      </c>
      <c r="D67" s="1">
        <f t="shared" si="0"/>
        <v>20</v>
      </c>
      <c r="E67" s="1"/>
      <c r="F67" s="1"/>
      <c r="G67" s="1"/>
      <c r="H67" s="1"/>
      <c r="I67" s="1"/>
      <c r="J67" s="1"/>
      <c r="K67" s="1"/>
      <c r="L67" s="1"/>
      <c r="M67" s="4" t="s">
        <v>739</v>
      </c>
    </row>
    <row r="68" ht="15" customHeight="1">
      <c r="A68" s="1"/>
      <c r="B68" s="1" t="s">
        <v>823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4" t="s">
        <v>739</v>
      </c>
    </row>
    <row r="69" ht="15" customHeight="1">
      <c r="A69" s="1"/>
      <c r="B69" s="1" t="s">
        <v>824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4" t="s">
        <v>739</v>
      </c>
    </row>
    <row r="70" ht="15" customHeight="1">
      <c r="A70" s="1"/>
      <c r="B70" s="1" t="s">
        <v>825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4" t="s">
        <v>739</v>
      </c>
    </row>
    <row r="71" ht="15" customHeight="1">
      <c r="A71" s="1"/>
      <c r="B71" s="1" t="s">
        <v>826</v>
      </c>
      <c r="C71" s="85">
        <v>4.51</v>
      </c>
      <c r="D71" s="1">
        <f t="shared" si="0"/>
        <v>4.51</v>
      </c>
      <c r="E71" s="1"/>
      <c r="F71" s="1"/>
      <c r="G71" s="1"/>
      <c r="H71" s="1"/>
      <c r="I71" s="1"/>
      <c r="J71" s="1"/>
      <c r="K71" s="1"/>
      <c r="L71" s="1"/>
      <c r="M71" s="4" t="s">
        <v>739</v>
      </c>
    </row>
    <row r="72" ht="15" customHeight="1">
      <c r="A72" s="1"/>
      <c r="B72" s="1" t="s">
        <v>827</v>
      </c>
      <c r="C72" s="85">
        <v>4.5</v>
      </c>
      <c r="D72" s="1">
        <f t="shared" si="0"/>
        <v>4.5</v>
      </c>
      <c r="E72" s="1"/>
      <c r="F72" s="1"/>
      <c r="G72" s="1"/>
      <c r="H72" s="1"/>
      <c r="I72" s="1"/>
      <c r="J72" s="1"/>
      <c r="K72" s="1"/>
      <c r="L72" s="1"/>
      <c r="M72" s="4" t="s">
        <v>739</v>
      </c>
    </row>
    <row r="73" ht="15" customHeight="1">
      <c r="A73" s="1"/>
      <c r="B73" s="1" t="s">
        <v>828</v>
      </c>
      <c r="C73" s="85">
        <v>4.68</v>
      </c>
      <c r="D73" s="1">
        <f t="shared" si="0"/>
        <v>4.68</v>
      </c>
      <c r="E73" s="1"/>
      <c r="F73" s="1"/>
      <c r="G73" s="1"/>
      <c r="H73" s="1"/>
      <c r="I73" s="1"/>
      <c r="J73" s="1"/>
      <c r="K73" s="1"/>
      <c r="L73" s="1"/>
      <c r="M73" s="4" t="s">
        <v>739</v>
      </c>
    </row>
    <row r="74" ht="15" customHeight="1">
      <c r="A74" s="1"/>
      <c r="B74" s="1" t="s">
        <v>829</v>
      </c>
      <c r="C74" s="85">
        <v>4.32</v>
      </c>
      <c r="D74" s="1">
        <f t="shared" si="0"/>
        <v>4.32</v>
      </c>
      <c r="E74" s="1"/>
      <c r="F74" s="1"/>
      <c r="G74" s="1"/>
      <c r="H74" s="1"/>
      <c r="I74" s="1"/>
      <c r="J74" s="1"/>
      <c r="K74" s="1"/>
      <c r="L74" s="1"/>
      <c r="M74" s="4" t="s">
        <v>739</v>
      </c>
    </row>
    <row r="75" ht="15" customHeight="1">
      <c r="A75" s="1"/>
      <c r="B75" s="1" t="s">
        <v>830</v>
      </c>
      <c r="C75" s="85">
        <v>0.09</v>
      </c>
      <c r="D75" s="1">
        <f t="shared" si="0"/>
        <v>0.09</v>
      </c>
      <c r="E75" s="1"/>
      <c r="F75" s="1"/>
      <c r="G75" s="1"/>
      <c r="H75" s="1"/>
      <c r="I75" s="1"/>
      <c r="J75" s="1"/>
      <c r="K75" s="1"/>
      <c r="L75" s="1"/>
      <c r="M75" s="4" t="s">
        <v>739</v>
      </c>
    </row>
    <row r="76" ht="15" customHeight="1">
      <c r="A76" s="1"/>
      <c r="B76" s="1" t="s">
        <v>831</v>
      </c>
      <c r="C76" s="85">
        <v>21</v>
      </c>
      <c r="D76" s="1">
        <f t="shared" si="0"/>
        <v>21</v>
      </c>
      <c r="E76" s="1"/>
      <c r="F76" s="1"/>
      <c r="G76" s="1"/>
      <c r="H76" s="1"/>
      <c r="I76" s="1"/>
      <c r="J76" s="1"/>
      <c r="K76" s="1"/>
      <c r="L76" s="1"/>
      <c r="M76" s="4" t="s">
        <v>739</v>
      </c>
    </row>
    <row r="77" ht="15" customHeight="1">
      <c r="A77" s="1"/>
      <c r="B77" s="1" t="s">
        <v>832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4" t="s">
        <v>739</v>
      </c>
    </row>
    <row r="78" ht="15" customHeight="1">
      <c r="A78" s="1"/>
      <c r="B78" s="1" t="s">
        <v>833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4" t="s">
        <v>739</v>
      </c>
    </row>
    <row r="79" ht="15" customHeight="1">
      <c r="A79" s="1"/>
      <c r="B79" s="1" t="s">
        <v>834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4" t="s">
        <v>739</v>
      </c>
    </row>
    <row r="80" ht="15" customHeight="1">
      <c r="A80" s="1"/>
      <c r="B80" s="1" t="s">
        <v>835</v>
      </c>
      <c r="C80" s="85">
        <v>20115.51</v>
      </c>
      <c r="D80" s="1">
        <f t="shared" si="0"/>
        <v>20115.51</v>
      </c>
      <c r="E80" s="1"/>
      <c r="F80" s="1"/>
      <c r="G80" s="1"/>
      <c r="H80" s="1"/>
      <c r="I80" s="1"/>
      <c r="J80" s="1"/>
      <c r="K80" s="1"/>
      <c r="L80" s="1"/>
      <c r="M80" s="4" t="s">
        <v>739</v>
      </c>
    </row>
    <row r="81" ht="15" customHeight="1">
      <c r="A81" s="1"/>
      <c r="B81" s="1" t="s">
        <v>836</v>
      </c>
      <c r="C81" s="85">
        <v>20101.67</v>
      </c>
      <c r="D81" s="1">
        <f t="shared" si="0"/>
        <v>20101.67</v>
      </c>
      <c r="E81" s="1"/>
      <c r="F81" s="1"/>
      <c r="G81" s="1"/>
      <c r="H81" s="1"/>
      <c r="I81" s="1"/>
      <c r="J81" s="1"/>
      <c r="K81" s="1"/>
      <c r="L81" s="1"/>
      <c r="M81" s="4" t="s">
        <v>739</v>
      </c>
    </row>
    <row r="82" ht="15" customHeight="1">
      <c r="A82" s="1"/>
      <c r="B82" s="1" t="s">
        <v>837</v>
      </c>
      <c r="C82" s="85">
        <v>20365</v>
      </c>
      <c r="D82" s="1">
        <f t="shared" si="0"/>
        <v>20365</v>
      </c>
      <c r="E82" s="1"/>
      <c r="F82" s="1"/>
      <c r="G82" s="1"/>
      <c r="H82" s="1"/>
      <c r="I82" s="1"/>
      <c r="J82" s="1"/>
      <c r="K82" s="1"/>
      <c r="L82" s="1"/>
      <c r="M82" s="4" t="s">
        <v>739</v>
      </c>
    </row>
    <row r="83" ht="15" customHeight="1">
      <c r="A83" s="1"/>
      <c r="B83" s="1" t="s">
        <v>838</v>
      </c>
      <c r="C83" s="85">
        <v>19924</v>
      </c>
      <c r="D83" s="1">
        <f t="shared" si="0"/>
        <v>19924</v>
      </c>
      <c r="E83" s="1"/>
      <c r="F83" s="1"/>
      <c r="G83" s="1"/>
      <c r="H83" s="1"/>
      <c r="I83" s="1"/>
      <c r="J83" s="1"/>
      <c r="K83" s="1"/>
      <c r="L83" s="1"/>
      <c r="M83" s="4" t="s">
        <v>739</v>
      </c>
    </row>
    <row r="84" ht="15" customHeight="1">
      <c r="A84" s="1"/>
      <c r="B84" s="1" t="s">
        <v>839</v>
      </c>
      <c r="C84" s="85">
        <v>100.71</v>
      </c>
      <c r="D84" s="1">
        <f t="shared" si="0"/>
        <v>100.71</v>
      </c>
      <c r="E84" s="1"/>
      <c r="F84" s="1"/>
      <c r="G84" s="1"/>
      <c r="H84" s="1"/>
      <c r="I84" s="1"/>
      <c r="J84" s="1"/>
      <c r="K84" s="1"/>
      <c r="L84" s="1"/>
      <c r="M84" s="4" t="s">
        <v>739</v>
      </c>
    </row>
    <row r="85" ht="15" customHeight="1">
      <c r="A85" s="1"/>
      <c r="B85" s="1" t="s">
        <v>840</v>
      </c>
      <c r="C85" s="85">
        <v>19</v>
      </c>
      <c r="D85" s="1">
        <f t="shared" si="0"/>
        <v>19</v>
      </c>
      <c r="E85" s="1"/>
      <c r="F85" s="1"/>
      <c r="G85" s="1"/>
      <c r="H85" s="1"/>
      <c r="I85" s="1"/>
      <c r="J85" s="1"/>
      <c r="K85" s="1"/>
      <c r="L85" s="1"/>
      <c r="M85" s="4" t="s">
        <v>739</v>
      </c>
    </row>
    <row r="86" ht="15" customHeight="1">
      <c r="A86" s="1"/>
      <c r="B86" s="1" t="s">
        <v>841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4" t="s">
        <v>739</v>
      </c>
    </row>
    <row r="87" ht="15" customHeight="1">
      <c r="A87" s="1"/>
      <c r="B87" s="1" t="s">
        <v>842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4" t="s">
        <v>739</v>
      </c>
    </row>
    <row r="88" ht="15" customHeight="1">
      <c r="A88" s="1"/>
      <c r="B88" s="1" t="s">
        <v>843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4" t="s">
        <v>739</v>
      </c>
    </row>
    <row r="89" ht="15" customHeight="1">
      <c r="A89" s="1"/>
      <c r="B89" s="1" t="s">
        <v>844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4" t="s">
        <v>739</v>
      </c>
    </row>
    <row r="90" ht="15" customHeight="1">
      <c r="A90" s="1"/>
      <c r="B90" s="1" t="s">
        <v>845</v>
      </c>
      <c r="C90" s="85">
        <v>5266.14</v>
      </c>
      <c r="D90" s="1">
        <f t="shared" si="0"/>
        <v>5266.14</v>
      </c>
      <c r="E90" s="1"/>
      <c r="F90" s="1"/>
      <c r="G90" s="1"/>
      <c r="H90" s="1"/>
      <c r="I90" s="1"/>
      <c r="J90" s="1"/>
      <c r="K90" s="1"/>
      <c r="L90" s="1"/>
      <c r="M90" s="4" t="s">
        <v>739</v>
      </c>
    </row>
    <row r="91" ht="15" customHeight="1">
      <c r="A91" s="1"/>
      <c r="B91" s="1" t="s">
        <v>846</v>
      </c>
      <c r="C91" s="85">
        <v>3946.36</v>
      </c>
      <c r="D91" s="1">
        <f t="shared" si="0"/>
        <v>3946.36</v>
      </c>
      <c r="E91" s="1"/>
      <c r="F91" s="1"/>
      <c r="G91" s="1"/>
      <c r="H91" s="1"/>
      <c r="I91" s="1"/>
      <c r="J91" s="1"/>
      <c r="K91" s="1"/>
      <c r="L91" s="1"/>
      <c r="M91" s="4" t="s">
        <v>739</v>
      </c>
    </row>
    <row r="92" ht="15" customHeight="1">
      <c r="A92" s="1"/>
      <c r="B92" s="1" t="s">
        <v>847</v>
      </c>
      <c r="C92" s="85">
        <v>3935.2</v>
      </c>
      <c r="D92" s="1">
        <f t="shared" si="0"/>
        <v>3935.2</v>
      </c>
      <c r="E92" s="1"/>
      <c r="F92" s="1"/>
      <c r="G92" s="1"/>
      <c r="H92" s="1"/>
      <c r="I92" s="1"/>
      <c r="J92" s="1"/>
      <c r="K92" s="1"/>
      <c r="L92" s="1"/>
      <c r="M92" s="4" t="s">
        <v>739</v>
      </c>
    </row>
    <row r="93" ht="15" customHeight="1">
      <c r="A93" s="1"/>
      <c r="B93" s="1" t="s">
        <v>848</v>
      </c>
      <c r="C93" s="85">
        <v>3034.34</v>
      </c>
      <c r="D93" s="1">
        <f t="shared" si="0"/>
        <v>3034.34</v>
      </c>
      <c r="E93" s="1"/>
      <c r="F93" s="1"/>
      <c r="G93" s="1"/>
      <c r="H93" s="1"/>
      <c r="I93" s="1"/>
      <c r="J93" s="1"/>
      <c r="K93" s="1"/>
      <c r="L93" s="1"/>
      <c r="M93" s="4" t="s">
        <v>739</v>
      </c>
    </row>
    <row r="94" ht="15" customHeight="1">
      <c r="A94" s="1"/>
      <c r="B94" s="1" t="s">
        <v>849</v>
      </c>
      <c r="C94" s="85">
        <v>3026.17</v>
      </c>
      <c r="D94" s="1">
        <f t="shared" si="0"/>
        <v>3026.17</v>
      </c>
      <c r="E94" s="1"/>
      <c r="F94" s="1"/>
      <c r="G94" s="1"/>
      <c r="H94" s="1"/>
      <c r="I94" s="1"/>
      <c r="J94" s="1"/>
      <c r="K94" s="1"/>
      <c r="L94" s="1"/>
      <c r="M94" s="4" t="s">
        <v>739</v>
      </c>
    </row>
    <row r="95" ht="15" customHeight="1">
      <c r="A95" s="1"/>
      <c r="B95" s="1" t="s">
        <v>850</v>
      </c>
      <c r="C95" s="85">
        <v>8.66</v>
      </c>
      <c r="D95" s="1">
        <f t="shared" si="0"/>
        <v>8.66</v>
      </c>
      <c r="E95" s="1"/>
      <c r="F95" s="1"/>
      <c r="G95" s="1"/>
      <c r="H95" s="1"/>
      <c r="I95" s="1"/>
      <c r="J95" s="1"/>
      <c r="K95" s="1"/>
      <c r="L95" s="1"/>
      <c r="M95" s="4" t="s">
        <v>739</v>
      </c>
    </row>
    <row r="96" ht="15" customHeight="1">
      <c r="A96" s="1"/>
      <c r="B96" s="1" t="s">
        <v>851</v>
      </c>
      <c r="C96" s="85">
        <v>22.22</v>
      </c>
      <c r="D96" s="1">
        <f t="shared" si="0"/>
        <v>22.22</v>
      </c>
      <c r="E96" s="1"/>
      <c r="F96" s="1"/>
      <c r="G96" s="1"/>
      <c r="H96" s="1"/>
      <c r="I96" s="1"/>
      <c r="J96" s="1"/>
      <c r="K96" s="1"/>
      <c r="L96" s="1"/>
      <c r="M96" s="4" t="s">
        <v>739</v>
      </c>
    </row>
    <row r="97" ht="15" customHeight="1">
      <c r="A97" s="1"/>
      <c r="B97" s="1" t="s">
        <v>852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4" t="s">
        <v>739</v>
      </c>
    </row>
    <row r="98" ht="15" customHeight="1">
      <c r="A98" s="1"/>
      <c r="B98" s="1" t="s">
        <v>853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4" t="s">
        <v>739</v>
      </c>
    </row>
    <row r="99" ht="15" customHeight="1">
      <c r="A99" s="1"/>
      <c r="B99" s="1" t="s">
        <v>854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4" t="s">
        <v>739</v>
      </c>
    </row>
    <row r="100" ht="15" customHeight="1">
      <c r="A100" s="1"/>
      <c r="B100" s="1" t="s">
        <v>855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4" t="s">
        <v>739</v>
      </c>
    </row>
    <row r="101" ht="15" customHeight="1">
      <c r="A101" s="1"/>
      <c r="B101" s="1" t="s">
        <v>856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4" t="s">
        <v>739</v>
      </c>
    </row>
    <row r="102" ht="15" customHeight="1">
      <c r="A102" s="1"/>
      <c r="B102" s="1" t="s">
        <v>857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4" t="s">
        <v>739</v>
      </c>
    </row>
    <row r="103" ht="15" customHeight="1">
      <c r="A103" s="1"/>
      <c r="B103" s="1" t="s">
        <v>858</v>
      </c>
      <c r="C103" s="85">
        <v>32419.25</v>
      </c>
      <c r="D103" s="1">
        <f t="shared" si="0"/>
        <v>32419.25</v>
      </c>
      <c r="E103" s="1"/>
      <c r="F103" s="1"/>
      <c r="G103" s="1"/>
      <c r="H103" s="1"/>
      <c r="I103" s="1"/>
      <c r="J103" s="1"/>
      <c r="K103" s="1"/>
      <c r="L103" s="1"/>
      <c r="M103" s="4" t="s">
        <v>739</v>
      </c>
    </row>
    <row r="104" ht="15" customHeight="1">
      <c r="A104" s="1"/>
      <c r="B104" s="1" t="s">
        <v>859</v>
      </c>
      <c r="C104" s="85">
        <v>36.55</v>
      </c>
      <c r="D104" s="1">
        <f t="shared" si="0"/>
        <v>36.55</v>
      </c>
      <c r="E104" s="1"/>
      <c r="F104" s="1"/>
      <c r="G104" s="1"/>
      <c r="H104" s="1"/>
      <c r="I104" s="1"/>
      <c r="J104" s="1"/>
      <c r="K104" s="1"/>
      <c r="L104" s="1"/>
      <c r="M104" s="4" t="s">
        <v>739</v>
      </c>
    </row>
    <row r="105" ht="15" customHeight="1">
      <c r="A105" s="1"/>
      <c r="B105" s="1" t="s">
        <v>860</v>
      </c>
      <c r="C105" s="85">
        <v>369.44</v>
      </c>
      <c r="D105" s="1">
        <f t="shared" si="0"/>
        <v>369.44</v>
      </c>
      <c r="E105" s="1"/>
      <c r="F105" s="1"/>
      <c r="G105" s="1"/>
      <c r="H105" s="1"/>
      <c r="I105" s="1"/>
      <c r="J105" s="1"/>
      <c r="K105" s="1"/>
      <c r="L105" s="1"/>
      <c r="M105" s="4" t="s">
        <v>739</v>
      </c>
    </row>
    <row r="106" ht="15" customHeight="1">
      <c r="A106" s="1"/>
      <c r="B106" s="1" t="s">
        <v>861</v>
      </c>
      <c r="C106" s="85">
        <v>370</v>
      </c>
      <c r="D106" s="1">
        <f t="shared" si="0"/>
        <v>370</v>
      </c>
      <c r="E106" s="1"/>
      <c r="F106" s="1"/>
      <c r="G106" s="1"/>
      <c r="H106" s="1"/>
      <c r="I106" s="1"/>
      <c r="J106" s="1"/>
      <c r="K106" s="1"/>
      <c r="L106" s="1"/>
      <c r="M106" s="4" t="s">
        <v>739</v>
      </c>
    </row>
    <row r="107" ht="15" customHeight="1">
      <c r="A107" s="1"/>
      <c r="B107" s="1" t="s">
        <v>862</v>
      </c>
      <c r="C107" s="85">
        <v>450</v>
      </c>
      <c r="D107" s="1">
        <f t="shared" si="0"/>
        <v>450</v>
      </c>
      <c r="E107" s="1"/>
      <c r="F107" s="1"/>
      <c r="G107" s="1"/>
      <c r="H107" s="1"/>
      <c r="I107" s="1"/>
      <c r="J107" s="1"/>
      <c r="K107" s="1"/>
      <c r="L107" s="1"/>
      <c r="M107" s="4" t="s">
        <v>739</v>
      </c>
    </row>
    <row r="108" ht="15" customHeight="1">
      <c r="A108" s="1"/>
      <c r="B108" s="1" t="s">
        <v>863</v>
      </c>
      <c r="C108" s="85">
        <v>320</v>
      </c>
      <c r="D108" s="1">
        <f t="shared" si="0"/>
        <v>320</v>
      </c>
      <c r="E108" s="1"/>
      <c r="F108" s="1"/>
      <c r="G108" s="1"/>
      <c r="H108" s="1"/>
      <c r="I108" s="1"/>
      <c r="J108" s="1"/>
      <c r="K108" s="1"/>
      <c r="L108" s="1"/>
      <c r="M108" s="4" t="s">
        <v>739</v>
      </c>
    </row>
    <row r="109" ht="15" customHeight="1">
      <c r="A109" s="1"/>
      <c r="B109" s="1" t="s">
        <v>864</v>
      </c>
      <c r="C109" s="85">
        <v>32.41</v>
      </c>
      <c r="D109" s="1">
        <f t="shared" si="0"/>
        <v>32.41</v>
      </c>
      <c r="E109" s="1"/>
      <c r="F109" s="1"/>
      <c r="G109" s="1"/>
      <c r="H109" s="1"/>
      <c r="I109" s="1"/>
      <c r="J109" s="1"/>
      <c r="K109" s="1"/>
      <c r="L109" s="1"/>
      <c r="M109" s="4" t="s">
        <v>739</v>
      </c>
    </row>
    <row r="110" ht="15" customHeight="1">
      <c r="A110" s="1"/>
      <c r="B110" s="1" t="s">
        <v>865</v>
      </c>
      <c r="C110" s="85">
        <v>25</v>
      </c>
      <c r="D110" s="1">
        <f t="shared" si="0"/>
        <v>25</v>
      </c>
      <c r="E110" s="1"/>
      <c r="F110" s="1"/>
      <c r="G110" s="1"/>
      <c r="H110" s="1"/>
      <c r="I110" s="1"/>
      <c r="J110" s="1"/>
      <c r="K110" s="1"/>
      <c r="L110" s="1"/>
      <c r="M110" s="4" t="s">
        <v>739</v>
      </c>
    </row>
    <row r="111" ht="15" customHeight="1">
      <c r="A111" s="1"/>
      <c r="B111" s="1" t="s">
        <v>866</v>
      </c>
      <c r="C111" s="85" t="s">
        <v>867</v>
      </c>
      <c r="D111" s="1"/>
      <c r="E111" s="1"/>
      <c r="F111" s="1"/>
      <c r="G111" s="1"/>
      <c r="H111" s="1"/>
      <c r="I111" s="1"/>
      <c r="J111" s="1"/>
      <c r="K111" s="1"/>
      <c r="L111" s="1"/>
      <c r="M111" s="4" t="s">
        <v>739</v>
      </c>
    </row>
    <row r="112" ht="15" customHeight="1">
      <c r="A112" s="1"/>
      <c r="B112" s="1" t="s">
        <v>868</v>
      </c>
      <c r="C112" s="85">
        <v>2.13</v>
      </c>
      <c r="D112" s="1">
        <f t="shared" si="0"/>
        <v>2.13</v>
      </c>
      <c r="E112" s="1"/>
      <c r="F112" s="1"/>
      <c r="G112" s="1"/>
      <c r="H112" s="1"/>
      <c r="I112" s="1"/>
      <c r="J112" s="1"/>
      <c r="K112" s="1"/>
      <c r="L112" s="1"/>
      <c r="M112" s="4" t="s">
        <v>739</v>
      </c>
    </row>
    <row r="113" ht="15" customHeight="1">
      <c r="A113" s="1"/>
      <c r="B113" s="1" t="s">
        <v>869</v>
      </c>
      <c r="C113" s="85">
        <v>313.59</v>
      </c>
      <c r="D113" s="1">
        <f t="shared" si="0"/>
        <v>313.59</v>
      </c>
      <c r="E113" s="1"/>
      <c r="F113" s="1"/>
      <c r="G113" s="1"/>
      <c r="H113" s="1"/>
      <c r="I113" s="1"/>
      <c r="J113" s="1"/>
      <c r="K113" s="1"/>
      <c r="L113" s="1"/>
      <c r="M113" s="4" t="s">
        <v>739</v>
      </c>
    </row>
    <row r="114" ht="15" customHeight="1">
      <c r="A114" s="1"/>
      <c r="B114" s="1" t="s">
        <v>870</v>
      </c>
      <c r="C114" s="85" t="s">
        <v>871</v>
      </c>
      <c r="D114" s="1"/>
      <c r="E114" s="1"/>
      <c r="F114" s="1"/>
      <c r="G114" s="1"/>
      <c r="H114" s="1"/>
      <c r="I114" s="1"/>
      <c r="J114" s="1"/>
      <c r="K114" s="1"/>
      <c r="L114" s="1"/>
      <c r="M114" s="4" t="s">
        <v>739</v>
      </c>
    </row>
    <row r="115" ht="15" customHeight="1">
      <c r="A115" s="1"/>
      <c r="B115" s="1" t="s">
        <v>872</v>
      </c>
      <c r="C115" s="86">
        <v>46313</v>
      </c>
      <c r="D115" s="1"/>
      <c r="E115" s="1"/>
      <c r="F115" s="1"/>
      <c r="G115" s="1"/>
      <c r="H115" s="1"/>
      <c r="I115" s="1"/>
      <c r="J115" s="1"/>
      <c r="K115" s="1"/>
      <c r="L115" s="1"/>
      <c r="M115" s="4" t="s">
        <v>739</v>
      </c>
    </row>
    <row r="116" ht="15" customHeight="1">
      <c r="A116" s="1"/>
      <c r="B116" s="1" t="s">
        <v>873</v>
      </c>
      <c r="C116" s="85" t="s">
        <v>874</v>
      </c>
      <c r="D116" s="1"/>
      <c r="E116" s="1"/>
      <c r="F116" s="1"/>
      <c r="G116" s="1"/>
      <c r="H116" s="1"/>
      <c r="I116" s="1"/>
      <c r="J116" s="1"/>
      <c r="K116" s="1"/>
      <c r="L116" s="1"/>
      <c r="M116" s="4" t="s">
        <v>739</v>
      </c>
    </row>
    <row r="117" ht="1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ht="15" customHeight="1">
      <c r="A118" s="1"/>
      <c r="B118" s="30" t="s">
        <v>875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ht="34.5" customHeight="1">
      <c r="A119" s="1"/>
      <c r="B119" s="13" t="s">
        <v>744</v>
      </c>
      <c r="C119" s="14" t="s">
        <v>876</v>
      </c>
      <c r="D119" s="14" t="s">
        <v>877</v>
      </c>
      <c r="E119" s="14" t="s">
        <v>878</v>
      </c>
      <c r="F119" s="14" t="s">
        <v>879</v>
      </c>
      <c r="G119" s="14" t="s">
        <v>880</v>
      </c>
      <c r="H119" s="14" t="s">
        <v>881</v>
      </c>
      <c r="I119" s="14" t="s">
        <v>882</v>
      </c>
      <c r="J119" s="14" t="s">
        <v>883</v>
      </c>
      <c r="K119" s="14" t="s">
        <v>884</v>
      </c>
      <c r="L119" s="14" t="s">
        <v>885</v>
      </c>
      <c r="M119" s="1"/>
    </row>
    <row r="120" ht="15" customHeight="1">
      <c r="A120" s="1"/>
      <c r="B120" s="86">
        <v>45747</v>
      </c>
      <c r="C120" s="80">
        <v>45764</v>
      </c>
      <c r="D120" s="87">
        <v>3.47</v>
      </c>
      <c r="E120" s="87">
        <v>3.64</v>
      </c>
      <c r="F120" s="87">
        <v>3.47</v>
      </c>
      <c r="G120" s="87">
        <v>3.64</v>
      </c>
      <c r="H120" s="87">
        <v>16927.86</v>
      </c>
      <c r="I120" s="87">
        <v>16967</v>
      </c>
      <c r="J120" s="88">
        <f t="shared" si="1" ref="J120:J125">E120-D120</f>
        <v>0.16999999999999993</v>
      </c>
      <c r="K120" s="88" t="b">
        <f t="shared" si="2" ref="K120:K125">E120&gt;D120</f>
        <v>1</v>
      </c>
      <c r="L120" s="88">
        <f t="shared" si="3" ref="L120:L125">I120-H120</f>
        <v>39.13999999999942</v>
      </c>
      <c r="M120" s="1"/>
    </row>
    <row r="121" ht="15" customHeight="1">
      <c r="A121" s="1"/>
      <c r="B121" s="86">
        <v>45838</v>
      </c>
      <c r="C121" s="80">
        <v>45856</v>
      </c>
      <c r="D121" s="87">
        <v>3.88</v>
      </c>
      <c r="E121" s="87">
        <v>4.08</v>
      </c>
      <c r="F121" s="87">
        <v>3.88</v>
      </c>
      <c r="G121" s="87">
        <v>4.08</v>
      </c>
      <c r="H121" s="87">
        <v>17704.72</v>
      </c>
      <c r="I121" s="87">
        <v>17856</v>
      </c>
      <c r="J121" s="88">
        <f t="shared" si="1"/>
        <v>0.20000000000000018</v>
      </c>
      <c r="K121" s="88" t="b">
        <f t="shared" si="2"/>
        <v>1</v>
      </c>
      <c r="L121" s="88">
        <f t="shared" si="3"/>
        <v>151.27999999999884</v>
      </c>
      <c r="M121" s="1"/>
    </row>
    <row r="122" ht="15" customHeight="1">
      <c r="A122" s="1"/>
      <c r="B122" s="86">
        <v>45930</v>
      </c>
      <c r="C122" s="80">
        <v>45947</v>
      </c>
      <c r="D122" s="87">
        <v>3.98</v>
      </c>
      <c r="E122" s="87">
        <v>4.14</v>
      </c>
      <c r="F122" s="87">
        <v>4</v>
      </c>
      <c r="G122" s="87">
        <v>4.14</v>
      </c>
      <c r="H122" s="87">
        <v>18048.64</v>
      </c>
      <c r="I122" s="87">
        <v>18426</v>
      </c>
      <c r="J122" s="88">
        <f t="shared" si="1"/>
        <v>0.1599999999999997</v>
      </c>
      <c r="K122" s="88" t="b">
        <f t="shared" si="2"/>
        <v>1</v>
      </c>
      <c r="L122" s="88">
        <f t="shared" si="3"/>
        <v>377.3600000000006</v>
      </c>
      <c r="M122" s="1"/>
    </row>
    <row r="123" ht="15" customHeight="1">
      <c r="A123" s="1"/>
      <c r="B123" s="86">
        <v>46022</v>
      </c>
      <c r="C123" s="80">
        <v>46052</v>
      </c>
      <c r="D123" s="87">
        <v>3.55</v>
      </c>
      <c r="E123" s="87">
        <v>3.53</v>
      </c>
      <c r="F123" s="87">
        <v>3.53</v>
      </c>
      <c r="G123" s="87">
        <v>3.53</v>
      </c>
      <c r="H123" s="87">
        <v>18926.49</v>
      </c>
      <c r="I123" s="87">
        <v>18980</v>
      </c>
      <c r="J123" s="88">
        <f t="shared" si="1"/>
        <v>-0.020000000000000018</v>
      </c>
      <c r="K123" s="88" t="b">
        <f t="shared" si="2"/>
        <v>0</v>
      </c>
      <c r="L123" s="88">
        <f t="shared" si="3"/>
        <v>53.5099999999984</v>
      </c>
      <c r="M123" s="1"/>
    </row>
    <row r="124" ht="15" customHeight="1">
      <c r="A124" s="1"/>
      <c r="B124" s="86">
        <v>46112</v>
      </c>
      <c r="C124" s="80">
        <v>46135</v>
      </c>
      <c r="D124" s="87">
        <v>3.99</v>
      </c>
      <c r="E124" s="87">
        <v>4.28</v>
      </c>
      <c r="F124" s="87">
        <v>3.99</v>
      </c>
      <c r="G124" s="87">
        <v>4.28</v>
      </c>
      <c r="H124" s="87">
        <v>18608.8</v>
      </c>
      <c r="I124" s="87">
        <v>18907</v>
      </c>
      <c r="J124" s="88">
        <f t="shared" si="1"/>
        <v>0.29000000000000004</v>
      </c>
      <c r="K124" s="88" t="b">
        <f t="shared" si="2"/>
        <v>1</v>
      </c>
      <c r="L124" s="88">
        <f t="shared" si="3"/>
        <v>298.2000000000007</v>
      </c>
      <c r="M124" s="1"/>
    </row>
    <row r="125" ht="15" customHeight="1">
      <c r="A125" s="1"/>
      <c r="B125" s="86">
        <v>46203</v>
      </c>
      <c r="C125" s="80">
        <v>46227</v>
      </c>
      <c r="D125" s="87">
        <v>4.41</v>
      </c>
      <c r="E125" s="87">
        <v>4.53</v>
      </c>
      <c r="F125" s="87">
        <v>4.4</v>
      </c>
      <c r="G125" s="87">
        <v>4.53</v>
      </c>
      <c r="H125" s="87">
        <v>19702.98</v>
      </c>
      <c r="I125" s="87">
        <v>19637</v>
      </c>
      <c r="J125" s="88">
        <f t="shared" si="1"/>
        <v>0.1200000000000001</v>
      </c>
      <c r="K125" s="88" t="b">
        <f t="shared" si="2"/>
        <v>1</v>
      </c>
      <c r="L125" s="88">
        <f t="shared" si="3"/>
        <v>-65.97999999999956</v>
      </c>
      <c r="M125" s="1"/>
    </row>
    <row r="126" ht="1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ht="15" customHeight="1">
      <c r="A127" s="1"/>
      <c r="B127" s="30" t="s">
        <v>886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ht="15" customHeight="1">
      <c r="A128" s="1"/>
      <c r="B128" s="1" t="s">
        <v>887</v>
      </c>
      <c r="C128" s="53">
        <v>211.77</v>
      </c>
      <c r="D128" s="1"/>
      <c r="E128" s="1"/>
      <c r="F128" s="1"/>
      <c r="G128" s="1"/>
      <c r="H128" s="1"/>
      <c r="I128" s="1"/>
      <c r="J128" s="1"/>
      <c r="K128" s="1"/>
      <c r="L128" s="1"/>
      <c r="M128" s="4" t="s">
        <v>888</v>
      </c>
    </row>
    <row r="129" ht="15" customHeight="1">
      <c r="A129" s="1"/>
      <c r="B129" s="1" t="s">
        <v>889</v>
      </c>
      <c r="C129" s="89">
        <v>2</v>
      </c>
      <c r="D129" s="1"/>
      <c r="E129" s="1"/>
      <c r="F129" s="1"/>
      <c r="G129" s="1"/>
      <c r="H129" s="1"/>
      <c r="I129" s="1"/>
      <c r="J129" s="1"/>
      <c r="K129" s="1"/>
      <c r="L129" s="1"/>
      <c r="M129" s="4" t="s">
        <v>890</v>
      </c>
    </row>
    <row r="130" ht="15" customHeight="1">
      <c r="A130" s="1"/>
      <c r="B130" s="1" t="s">
        <v>891</v>
      </c>
      <c r="C130" s="89">
        <v>10</v>
      </c>
      <c r="D130" s="1"/>
      <c r="E130" s="1"/>
      <c r="F130" s="1"/>
      <c r="G130" s="1"/>
      <c r="H130" s="1"/>
      <c r="I130" s="1"/>
      <c r="J130" s="1"/>
      <c r="K130" s="1"/>
      <c r="L130" s="1"/>
      <c r="M130" s="4" t="s">
        <v>890</v>
      </c>
    </row>
    <row r="131" ht="15" customHeight="1">
      <c r="A131" s="1"/>
      <c r="B131" s="1" t="s">
        <v>892</v>
      </c>
      <c r="C131" s="81">
        <v>0.6</v>
      </c>
      <c r="D131" s="1"/>
      <c r="E131" s="1"/>
      <c r="F131" s="1"/>
      <c r="G131" s="1"/>
      <c r="H131" s="1"/>
      <c r="I131" s="1"/>
      <c r="J131" s="1"/>
      <c r="K131" s="1"/>
      <c r="L131" s="1"/>
      <c r="M131" s="4" t="s">
        <v>890</v>
      </c>
    </row>
    <row r="132" ht="15" customHeight="1">
      <c r="A132" s="1"/>
      <c r="B132" s="1" t="s">
        <v>893</v>
      </c>
      <c r="C132" s="81">
        <v>0.7</v>
      </c>
      <c r="D132" s="1"/>
      <c r="E132" s="1"/>
      <c r="F132" s="1"/>
      <c r="G132" s="1"/>
      <c r="H132" s="1"/>
      <c r="I132" s="1"/>
      <c r="J132" s="1"/>
      <c r="K132" s="1"/>
      <c r="L132" s="1"/>
      <c r="M132" s="4" t="s">
        <v>890</v>
      </c>
    </row>
    <row r="133" ht="15" customHeight="1">
      <c r="A133" s="1"/>
      <c r="B133" s="1" t="s">
        <v>894</v>
      </c>
      <c r="C133" s="81">
        <v>0.78</v>
      </c>
      <c r="D133" s="1"/>
      <c r="E133" s="1"/>
      <c r="F133" s="1"/>
      <c r="G133" s="1"/>
      <c r="H133" s="1"/>
      <c r="I133" s="1"/>
      <c r="J133" s="1"/>
      <c r="K133" s="1"/>
      <c r="L133" s="1"/>
      <c r="M133" s="4" t="s">
        <v>890</v>
      </c>
    </row>
    <row r="134" ht="15" customHeight="1">
      <c r="A134" s="1"/>
      <c r="B134" s="1" t="s">
        <v>895</v>
      </c>
      <c r="C134" s="1" t="str">
        <f>IF(C128&gt;C130,"large",IF(C128&gt;C129,"mid","small"))</f>
        <v>large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ht="15" customHeight="1">
      <c r="A135" s="1"/>
      <c r="B135" s="1" t="s">
        <v>897</v>
      </c>
      <c r="C135" s="85" t="b">
        <v>1</v>
      </c>
      <c r="D135" s="1"/>
      <c r="E135" s="1"/>
      <c r="F135" s="1"/>
      <c r="G135" s="1"/>
      <c r="H135" s="1"/>
      <c r="I135" s="1"/>
      <c r="J135" s="1"/>
      <c r="K135" s="1"/>
      <c r="L135" s="1"/>
      <c r="M135" s="4" t="s">
        <v>898</v>
      </c>
    </row>
    <row r="136" ht="15" customHeight="1">
      <c r="A136" s="1"/>
      <c r="B136" s="1" t="s">
        <v>899</v>
      </c>
      <c r="C136" s="18">
        <f>IF(OR(C134="large",C135),C133,IF(C134="mid",C132,C131))</f>
        <v>0.78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ht="15" customHeight="1">
      <c r="A137" s="1"/>
      <c r="B137" s="1" t="s">
        <v>900</v>
      </c>
      <c r="C137" s="90">
        <f>SUM(IF(E120&gt;D120,1,0),IF(E121&gt;D121,1,0),IF(E122&gt;D122,1,0),IF(E123&gt;D123,1,0),IF(E124&gt;D124,1,0),IF(E125&gt;D125,1,0))</f>
        <v>5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ht="15" customHeight="1">
      <c r="A138" s="1"/>
      <c r="B138" s="1" t="s">
        <v>901</v>
      </c>
      <c r="C138" s="90">
        <f>COUNT(J120:J125)</f>
        <v>6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ht="15" customHeight="1">
      <c r="A139" s="1"/>
      <c r="B139" s="1" t="s">
        <v>902</v>
      </c>
      <c r="C139" s="91">
        <v>8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ht="15" customHeight="1">
      <c r="A140" s="1"/>
      <c r="B140" s="1" t="s">
        <v>903</v>
      </c>
      <c r="C140" s="18">
        <f>(C139*C136+C137)/(C139+C138)</f>
        <v>0.8028571428571428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ht="15" customHeight="1">
      <c r="A141" s="1"/>
      <c r="B141" s="1" t="s">
        <v>904</v>
      </c>
      <c r="C141" s="81">
        <v>0.02</v>
      </c>
      <c r="D141" s="1"/>
      <c r="E141" s="1"/>
      <c r="F141" s="1"/>
      <c r="G141" s="1"/>
      <c r="H141" s="1"/>
      <c r="I141" s="1"/>
      <c r="J141" s="1"/>
      <c r="K141" s="1"/>
      <c r="L141" s="1"/>
      <c r="M141" s="4" t="s">
        <v>905</v>
      </c>
    </row>
    <row r="142" ht="15" customHeight="1">
      <c r="A142" s="1"/>
      <c r="B142" s="1" t="s">
        <v>906</v>
      </c>
      <c r="C142" s="81">
        <v>-0.07</v>
      </c>
      <c r="D142" s="1"/>
      <c r="E142" s="1"/>
      <c r="F142" s="1"/>
      <c r="G142" s="1"/>
      <c r="H142" s="1"/>
      <c r="I142" s="1"/>
      <c r="J142" s="1"/>
      <c r="K142" s="1"/>
      <c r="L142" s="1"/>
      <c r="M142" s="4" t="s">
        <v>907</v>
      </c>
    </row>
    <row r="143" ht="15" customHeight="1">
      <c r="A143" s="1"/>
      <c r="B143" s="1" t="s">
        <v>908</v>
      </c>
      <c r="C143" s="81">
        <v>-0.04</v>
      </c>
      <c r="D143" s="1"/>
      <c r="E143" s="1"/>
      <c r="F143" s="1"/>
      <c r="G143" s="1"/>
      <c r="H143" s="1"/>
      <c r="I143" s="1"/>
      <c r="J143" s="1"/>
      <c r="K143" s="1"/>
      <c r="L143" s="1"/>
      <c r="M143" s="4" t="s">
        <v>909</v>
      </c>
    </row>
    <row r="144" ht="15" customHeight="1">
      <c r="A144" s="1"/>
      <c r="B144" s="1" t="s">
        <v>910</v>
      </c>
      <c r="C144" s="81">
        <v>-0.03</v>
      </c>
      <c r="D144" s="1"/>
      <c r="E144" s="1"/>
      <c r="F144" s="1"/>
      <c r="G144" s="1"/>
      <c r="H144" s="1"/>
      <c r="I144" s="1"/>
      <c r="J144" s="1"/>
      <c r="K144" s="1"/>
      <c r="L144" s="1"/>
      <c r="M144" s="4" t="s">
        <v>911</v>
      </c>
    </row>
    <row r="145" ht="15" customHeight="1">
      <c r="A145" s="1"/>
      <c r="B145" s="1" t="s">
        <v>912</v>
      </c>
      <c r="C145" s="81">
        <v>0.02</v>
      </c>
      <c r="D145" s="1"/>
      <c r="E145" s="1"/>
      <c r="F145" s="1"/>
      <c r="G145" s="1"/>
      <c r="H145" s="1"/>
      <c r="I145" s="1"/>
      <c r="J145" s="1"/>
      <c r="K145" s="1"/>
      <c r="L145" s="1"/>
      <c r="M145" s="4" t="s">
        <v>913</v>
      </c>
    </row>
    <row r="146" ht="15" customHeight="1">
      <c r="A146" s="1"/>
      <c r="B146" s="3" t="s">
        <v>914</v>
      </c>
      <c r="C146" s="92">
        <f>ROUND(C140+SUM(C141:C145),2)</f>
        <v>0.7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ht="15" customHeight="1">
      <c r="A147" s="1"/>
      <c r="B147" s="1" t="s">
        <v>915</v>
      </c>
      <c r="C147" s="85" t="s">
        <v>49</v>
      </c>
      <c r="D147" s="1"/>
      <c r="E147" s="1"/>
      <c r="F147" s="1"/>
      <c r="G147" s="1"/>
      <c r="H147" s="1"/>
      <c r="I147" s="1"/>
      <c r="J147" s="1"/>
      <c r="K147" s="1"/>
      <c r="L147" s="1"/>
      <c r="M147" s="4" t="s">
        <v>916</v>
      </c>
    </row>
    <row r="148" ht="15" customHeight="1">
      <c r="A148" s="1"/>
      <c r="B148" s="1" t="s">
        <v>917</v>
      </c>
      <c r="C148" s="93">
        <f>AVERAGE(J120:J125)</f>
        <v>0.15333333333333332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ht="15" customHeight="1">
      <c r="A149" s="1"/>
      <c r="B149" s="1" t="s">
        <v>918</v>
      </c>
      <c r="C149" s="93">
        <f>MEDIAN(J120:J125)</f>
        <v>0.1649999999999998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ht="1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ht="15" customHeight="1">
      <c r="A151" s="1"/>
      <c r="B151" s="30" t="s">
        <v>919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ht="15" customHeight="1">
      <c r="A152" s="1"/>
      <c r="B152" s="1" t="s">
        <v>920</v>
      </c>
      <c r="C152" s="89">
        <v>0.5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ht="15" customHeight="1">
      <c r="A153" s="1"/>
      <c r="B153" s="1" t="s">
        <v>921</v>
      </c>
      <c r="C153" s="89">
        <v>1.5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ht="15" customHeight="1">
      <c r="A154" s="1"/>
      <c r="B154" s="1" t="s">
        <v>922</v>
      </c>
      <c r="C154" s="85">
        <v>0.006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ht="15" customHeight="1">
      <c r="A155" s="1"/>
      <c r="B155" s="1" t="s">
        <v>923</v>
      </c>
      <c r="C155" s="85">
        <v>0.0001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ht="1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ht="15" customHeight="1">
      <c r="A157" s="1"/>
      <c r="B157" s="30" t="s">
        <v>924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ht="34.5" customHeight="1">
      <c r="A158" s="1"/>
      <c r="B158" s="13" t="s">
        <v>925</v>
      </c>
      <c r="C158" s="14" t="s">
        <v>926</v>
      </c>
      <c r="D158" s="14" t="s">
        <v>927</v>
      </c>
      <c r="E158" s="79" t="s">
        <v>928</v>
      </c>
      <c r="F158" s="13"/>
      <c r="G158" s="13"/>
      <c r="H158" s="13"/>
      <c r="I158" s="13"/>
      <c r="J158" s="13"/>
      <c r="K158" s="13"/>
      <c r="L158" s="13"/>
      <c r="M158" s="1"/>
    </row>
    <row r="159" ht="15" customHeight="1">
      <c r="A159" s="1"/>
      <c r="B159" s="1" t="s">
        <v>929</v>
      </c>
      <c r="C159" s="94">
        <v>4.47</v>
      </c>
      <c r="D159" s="94">
        <v>20130</v>
      </c>
      <c r="E159" s="1" t="s">
        <v>930</v>
      </c>
      <c r="F159" s="1"/>
      <c r="G159" s="1"/>
      <c r="H159" s="1"/>
      <c r="I159" s="1"/>
      <c r="J159" s="1"/>
      <c r="K159" s="1"/>
      <c r="L159" s="1"/>
      <c r="M159" s="1"/>
    </row>
    <row r="160" ht="15" customHeight="1">
      <c r="A160" s="1"/>
      <c r="B160" s="1" t="s">
        <v>931</v>
      </c>
      <c r="C160" s="94">
        <v>4.47</v>
      </c>
      <c r="D160" s="94">
        <v>20130</v>
      </c>
      <c r="E160" s="1" t="s">
        <v>932</v>
      </c>
      <c r="F160" s="1"/>
      <c r="G160" s="1"/>
      <c r="H160" s="1"/>
      <c r="I160" s="1"/>
      <c r="J160" s="1"/>
      <c r="K160" s="1"/>
      <c r="L160" s="1"/>
      <c r="M160" s="1"/>
    </row>
    <row r="161" ht="15" customHeight="1">
      <c r="A161" s="1"/>
      <c r="B161" s="1" t="s">
        <v>933</v>
      </c>
      <c r="C161" s="94">
        <v>4.54</v>
      </c>
      <c r="D161" s="94">
        <v>20115</v>
      </c>
      <c r="E161" s="1" t="s">
        <v>934</v>
      </c>
      <c r="F161" s="1"/>
      <c r="G161" s="1"/>
      <c r="H161" s="1"/>
      <c r="I161" s="1"/>
      <c r="J161" s="1"/>
      <c r="K161" s="1"/>
      <c r="L161" s="1"/>
      <c r="M161" s="1"/>
    </row>
    <row r="162" ht="15" customHeight="1">
      <c r="A162" s="1"/>
      <c r="B162" s="1" t="s">
        <v>935</v>
      </c>
      <c r="C162" s="94">
        <v>4.58</v>
      </c>
      <c r="D162" s="94">
        <v>20120</v>
      </c>
      <c r="E162" s="1" t="s">
        <v>936</v>
      </c>
      <c r="F162" s="1"/>
      <c r="G162" s="1"/>
      <c r="H162" s="1"/>
      <c r="I162" s="1"/>
      <c r="J162" s="1"/>
      <c r="K162" s="1"/>
      <c r="L162" s="1"/>
      <c r="M162" s="1"/>
    </row>
    <row r="163" ht="1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ht="15" customHeight="1">
      <c r="A164" s="1"/>
      <c r="B164" s="30" t="s">
        <v>937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ht="15" customHeight="1">
      <c r="A165" s="1"/>
      <c r="B165" s="1" t="s">
        <v>938</v>
      </c>
      <c r="C165" s="53">
        <v>34823</v>
      </c>
      <c r="D165" s="1"/>
      <c r="E165" s="1"/>
      <c r="F165" s="1"/>
      <c r="G165" s="1"/>
      <c r="H165" s="1"/>
      <c r="I165" s="1"/>
      <c r="J165" s="1"/>
      <c r="K165" s="1"/>
      <c r="L165" s="1"/>
      <c r="M165" s="4" t="s">
        <v>235</v>
      </c>
    </row>
    <row r="166" ht="15" customHeight="1">
      <c r="A166" s="1"/>
      <c r="B166" s="1" t="s">
        <v>148</v>
      </c>
      <c r="C166" s="53">
        <v>2555</v>
      </c>
      <c r="D166" s="1"/>
      <c r="E166" s="1"/>
      <c r="F166" s="1"/>
      <c r="G166" s="1"/>
      <c r="H166" s="1"/>
      <c r="I166" s="1"/>
      <c r="J166" s="1"/>
      <c r="K166" s="1"/>
      <c r="L166" s="1"/>
      <c r="M166" s="4" t="s">
        <v>235</v>
      </c>
    </row>
    <row r="167" ht="15" customHeight="1">
      <c r="A167" s="1"/>
      <c r="B167" s="1" t="s">
        <v>225</v>
      </c>
      <c r="C167" s="53">
        <v>25388</v>
      </c>
      <c r="D167" s="1"/>
      <c r="E167" s="1"/>
      <c r="F167" s="1"/>
      <c r="G167" s="1"/>
      <c r="H167" s="1"/>
      <c r="I167" s="1"/>
      <c r="J167" s="1"/>
      <c r="K167" s="1"/>
      <c r="L167" s="1"/>
      <c r="M167" s="4" t="s">
        <v>235</v>
      </c>
    </row>
    <row r="168" ht="15" customHeight="1">
      <c r="A168" s="1"/>
      <c r="B168" s="1" t="s">
        <v>344</v>
      </c>
      <c r="C168" s="53">
        <v>6880</v>
      </c>
      <c r="D168" s="1"/>
      <c r="E168" s="1"/>
      <c r="F168" s="1"/>
      <c r="G168" s="1"/>
      <c r="H168" s="1"/>
      <c r="I168" s="1"/>
      <c r="J168" s="1"/>
      <c r="K168" s="1"/>
      <c r="L168" s="1"/>
      <c r="M168" s="4" t="s">
        <v>235</v>
      </c>
    </row>
    <row r="169" ht="15" customHeight="1">
      <c r="A169" s="1"/>
      <c r="B169" s="1" t="s">
        <v>357</v>
      </c>
      <c r="C169" s="53">
        <v>5469</v>
      </c>
      <c r="D169" s="1"/>
      <c r="E169" s="1"/>
      <c r="F169" s="1"/>
      <c r="G169" s="1"/>
      <c r="H169" s="1"/>
      <c r="I169" s="1"/>
      <c r="J169" s="1"/>
      <c r="K169" s="1"/>
      <c r="L169" s="1"/>
      <c r="M169" s="4" t="s">
        <v>235</v>
      </c>
    </row>
    <row r="170" ht="15" customHeight="1">
      <c r="A170" s="1"/>
      <c r="B170" s="1" t="s">
        <v>939</v>
      </c>
      <c r="C170" s="53">
        <v>5404</v>
      </c>
      <c r="D170" s="1"/>
      <c r="E170" s="1"/>
      <c r="F170" s="1"/>
      <c r="G170" s="1"/>
      <c r="H170" s="1"/>
      <c r="I170" s="1"/>
      <c r="J170" s="1"/>
      <c r="K170" s="1"/>
      <c r="L170" s="1"/>
      <c r="M170" s="4" t="s">
        <v>235</v>
      </c>
    </row>
    <row r="171" ht="1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ht="15" customHeight="1">
      <c r="A172" s="1"/>
      <c r="B172" s="30" t="s">
        <v>940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ht="34.5" customHeight="1">
      <c r="A173" s="1"/>
      <c r="B173" s="13" t="s">
        <v>941</v>
      </c>
      <c r="C173" s="14" t="s">
        <v>942</v>
      </c>
      <c r="D173" s="14" t="s">
        <v>943</v>
      </c>
      <c r="E173" s="14" t="s">
        <v>944</v>
      </c>
      <c r="F173" s="14" t="s">
        <v>945</v>
      </c>
      <c r="G173" s="14" t="s">
        <v>946</v>
      </c>
      <c r="H173" s="13"/>
      <c r="I173" s="13"/>
      <c r="J173" s="13"/>
      <c r="K173" s="13"/>
      <c r="L173" s="13"/>
      <c r="M173" s="1"/>
    </row>
    <row r="174" ht="15" customHeight="1">
      <c r="A174" s="1"/>
      <c r="B174" s="1" t="s">
        <v>357</v>
      </c>
      <c r="C174" s="53">
        <v>5469</v>
      </c>
      <c r="D174" s="53">
        <v>8371</v>
      </c>
      <c r="E174" s="53">
        <v>10833</v>
      </c>
      <c r="F174" s="53">
        <v>2971</v>
      </c>
      <c r="G174" s="53">
        <v>6082</v>
      </c>
      <c r="H174" s="1"/>
      <c r="I174" s="1"/>
      <c r="J174" s="1"/>
      <c r="K174" s="1"/>
      <c r="L174" s="1"/>
      <c r="M174" s="4" t="s">
        <v>947</v>
      </c>
    </row>
    <row r="175" ht="15" customHeight="1">
      <c r="A175" s="1"/>
      <c r="B175" s="1" t="s">
        <v>148</v>
      </c>
      <c r="C175" s="53">
        <v>2555</v>
      </c>
      <c r="D175" s="53">
        <v>3842</v>
      </c>
      <c r="E175" s="53">
        <v>5256</v>
      </c>
      <c r="F175" s="53">
        <v>1251</v>
      </c>
      <c r="G175" s="53">
        <v>2336</v>
      </c>
      <c r="H175" s="1"/>
      <c r="I175" s="1"/>
      <c r="J175" s="1"/>
      <c r="K175" s="1"/>
      <c r="L175" s="1"/>
      <c r="M175" s="4" t="s">
        <v>947</v>
      </c>
    </row>
    <row r="176" ht="15" customHeight="1">
      <c r="A176" s="1"/>
      <c r="B176" s="1" t="s">
        <v>466</v>
      </c>
      <c r="C176" s="53">
        <v>860</v>
      </c>
      <c r="D176" s="53">
        <v>1315</v>
      </c>
      <c r="E176" s="53">
        <v>1777</v>
      </c>
      <c r="F176" s="53">
        <v>468</v>
      </c>
      <c r="G176" s="53">
        <v>956</v>
      </c>
      <c r="H176" s="1"/>
      <c r="I176" s="1"/>
      <c r="J176" s="1"/>
      <c r="K176" s="1"/>
      <c r="L176" s="1"/>
      <c r="M176" s="4" t="s">
        <v>947</v>
      </c>
    </row>
    <row r="177" ht="15" customHeight="1">
      <c r="A177" s="1"/>
      <c r="B177" s="1" t="s">
        <v>468</v>
      </c>
      <c r="C177" s="53">
        <v>285</v>
      </c>
      <c r="D177" s="53">
        <v>410</v>
      </c>
      <c r="E177" s="53">
        <v>551</v>
      </c>
      <c r="F177" s="53">
        <v>203</v>
      </c>
      <c r="G177" s="53">
        <v>358</v>
      </c>
      <c r="H177" s="1"/>
      <c r="I177" s="1"/>
      <c r="J177" s="1"/>
      <c r="K177" s="1"/>
      <c r="L177" s="1"/>
      <c r="M177" s="4" t="s">
        <v>947</v>
      </c>
    </row>
    <row r="178" ht="15" customHeight="1">
      <c r="A178" s="1"/>
      <c r="B178" s="1" t="s">
        <v>470</v>
      </c>
      <c r="C178" s="53">
        <v>-385</v>
      </c>
      <c r="D178" s="53">
        <v>-642</v>
      </c>
      <c r="E178" s="53">
        <v>-542</v>
      </c>
      <c r="F178" s="53">
        <v>145</v>
      </c>
      <c r="G178" s="53">
        <v>71</v>
      </c>
      <c r="H178" s="1"/>
      <c r="I178" s="1"/>
      <c r="J178" s="1"/>
      <c r="K178" s="1"/>
      <c r="L178" s="1"/>
      <c r="M178" s="4" t="s">
        <v>947</v>
      </c>
    </row>
    <row r="179" ht="15" customHeight="1">
      <c r="A179" s="1"/>
      <c r="B179" s="1" t="s">
        <v>948</v>
      </c>
      <c r="C179" s="53">
        <v>61</v>
      </c>
      <c r="D179" s="53">
        <v>74</v>
      </c>
      <c r="E179" s="53">
        <v>-237</v>
      </c>
      <c r="F179" s="53">
        <v>-282</v>
      </c>
      <c r="G179" s="53">
        <v>-937</v>
      </c>
      <c r="H179" s="1"/>
      <c r="I179" s="1"/>
      <c r="J179" s="1"/>
      <c r="K179" s="1"/>
      <c r="L179" s="1"/>
      <c r="M179" s="4" t="s">
        <v>947</v>
      </c>
    </row>
    <row r="180" ht="15" customHeight="1">
      <c r="A180" s="1"/>
      <c r="B180" s="1" t="s">
        <v>949</v>
      </c>
      <c r="C180" s="53">
        <v>0</v>
      </c>
      <c r="D180" s="53">
        <v>0</v>
      </c>
      <c r="E180" s="53">
        <v>-74</v>
      </c>
      <c r="F180" s="53">
        <v>-42</v>
      </c>
      <c r="G180" s="53">
        <v>-67</v>
      </c>
      <c r="H180" s="1"/>
      <c r="I180" s="1"/>
      <c r="J180" s="1"/>
      <c r="K180" s="1"/>
      <c r="L180" s="1"/>
      <c r="M180" s="4" t="s">
        <v>947</v>
      </c>
    </row>
    <row r="181" ht="15" customHeight="1">
      <c r="A181" s="1"/>
      <c r="B181" s="1" t="s">
        <v>424</v>
      </c>
      <c r="C181" s="53">
        <v>-1152</v>
      </c>
      <c r="D181" s="53">
        <v>-1333</v>
      </c>
      <c r="E181" s="53">
        <v>-2781</v>
      </c>
      <c r="F181" s="53">
        <v>-1386</v>
      </c>
      <c r="G181" s="53">
        <v>-1836</v>
      </c>
      <c r="H181" s="1"/>
      <c r="I181" s="1"/>
      <c r="J181" s="1"/>
      <c r="K181" s="1"/>
      <c r="L181" s="1"/>
      <c r="M181" s="4" t="s">
        <v>947</v>
      </c>
    </row>
    <row r="182" ht="15" customHeight="1">
      <c r="A182" s="1"/>
      <c r="B182" s="1" t="s">
        <v>950</v>
      </c>
      <c r="C182" s="53">
        <v>1435</v>
      </c>
      <c r="D182" s="53">
        <v>3324</v>
      </c>
      <c r="E182" s="53">
        <v>3645</v>
      </c>
      <c r="F182" s="53">
        <v>476</v>
      </c>
      <c r="G182" s="53">
        <v>2212</v>
      </c>
      <c r="H182" s="1"/>
      <c r="I182" s="1"/>
      <c r="J182" s="1"/>
      <c r="K182" s="1"/>
      <c r="L182" s="1"/>
      <c r="M182" s="4" t="s">
        <v>947</v>
      </c>
    </row>
    <row r="183" ht="15" customHeight="1">
      <c r="A183" s="1"/>
      <c r="B183" s="1" t="s">
        <v>480</v>
      </c>
      <c r="C183" s="53">
        <v>1</v>
      </c>
      <c r="D183" s="53">
        <v>42</v>
      </c>
      <c r="E183" s="53">
        <v>47</v>
      </c>
      <c r="F183" s="53">
        <v>8</v>
      </c>
      <c r="G183" s="53">
        <v>24</v>
      </c>
      <c r="H183" s="1"/>
      <c r="I183" s="1"/>
      <c r="J183" s="1"/>
      <c r="K183" s="1"/>
      <c r="L183" s="1"/>
      <c r="M183" s="4" t="s">
        <v>947</v>
      </c>
    </row>
    <row r="184" ht="15" customHeight="1">
      <c r="A184" s="1"/>
      <c r="B184" s="1" t="s">
        <v>951</v>
      </c>
      <c r="C184" s="53">
        <v>587</v>
      </c>
      <c r="D184" s="53">
        <v>876</v>
      </c>
      <c r="E184" s="53">
        <v>1453</v>
      </c>
      <c r="F184" s="53">
        <v>233</v>
      </c>
      <c r="G184" s="53">
        <v>536</v>
      </c>
      <c r="H184" s="1"/>
      <c r="I184" s="1"/>
      <c r="J184" s="1"/>
      <c r="K184" s="1"/>
      <c r="L184" s="1"/>
      <c r="M184" s="4" t="s">
        <v>947</v>
      </c>
    </row>
    <row r="185" ht="15" customHeight="1">
      <c r="A185" s="1"/>
      <c r="B185" s="1" t="s">
        <v>952</v>
      </c>
      <c r="C185" s="53">
        <v>-769</v>
      </c>
      <c r="D185" s="53">
        <v>-1314</v>
      </c>
      <c r="E185" s="53">
        <v>-1760</v>
      </c>
      <c r="F185" s="53">
        <v>-1978</v>
      </c>
      <c r="G185" s="53">
        <v>-3855</v>
      </c>
      <c r="H185" s="1"/>
      <c r="I185" s="1"/>
      <c r="J185" s="1"/>
      <c r="K185" s="1"/>
      <c r="L185" s="1"/>
      <c r="M185" s="4" t="s">
        <v>947</v>
      </c>
    </row>
    <row r="186" ht="15" customHeight="1">
      <c r="A186" s="1"/>
      <c r="B186" s="1" t="s">
        <v>953</v>
      </c>
      <c r="C186" s="53">
        <v>-4483</v>
      </c>
      <c r="D186" s="53">
        <v>-10212</v>
      </c>
      <c r="E186" s="53">
        <v>-19573</v>
      </c>
      <c r="F186" s="53">
        <v>512</v>
      </c>
      <c r="G186" s="53">
        <v>-5983</v>
      </c>
      <c r="H186" s="1"/>
      <c r="I186" s="1"/>
      <c r="J186" s="1"/>
      <c r="K186" s="1"/>
      <c r="L186" s="1"/>
      <c r="M186" s="4" t="s">
        <v>947</v>
      </c>
    </row>
    <row r="187" ht="15" customHeight="1">
      <c r="A187" s="1"/>
      <c r="B187" s="1" t="s">
        <v>954</v>
      </c>
      <c r="C187" s="53">
        <v>-1049</v>
      </c>
      <c r="D187" s="53">
        <v>-1703</v>
      </c>
      <c r="E187" s="53">
        <v>-2425</v>
      </c>
      <c r="F187" s="53">
        <v>-1149</v>
      </c>
      <c r="G187" s="53">
        <v>-2047</v>
      </c>
      <c r="H187" s="1"/>
      <c r="I187" s="1"/>
      <c r="J187" s="1"/>
      <c r="K187" s="1"/>
      <c r="L187" s="1"/>
      <c r="M187" s="4" t="s">
        <v>947</v>
      </c>
    </row>
    <row r="188" ht="15" customHeight="1">
      <c r="A188" s="1"/>
      <c r="B188" s="1" t="s">
        <v>488</v>
      </c>
      <c r="C188" s="53">
        <v>-633</v>
      </c>
      <c r="D188" s="53">
        <v>-633</v>
      </c>
      <c r="E188" s="53">
        <v>-633</v>
      </c>
      <c r="F188" s="53">
        <v>-498</v>
      </c>
      <c r="G188" s="53">
        <v>-524</v>
      </c>
      <c r="H188" s="1"/>
      <c r="I188" s="1"/>
      <c r="J188" s="1"/>
      <c r="K188" s="1"/>
      <c r="L188" s="1"/>
      <c r="M188" s="4" t="s">
        <v>947</v>
      </c>
    </row>
    <row r="189" ht="15" customHeight="1">
      <c r="A189" s="1"/>
      <c r="B189" s="1" t="s">
        <v>955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1"/>
      <c r="I189" s="1"/>
      <c r="J189" s="1"/>
      <c r="K189" s="1"/>
      <c r="L189" s="1"/>
      <c r="M189" s="4" t="s">
        <v>947</v>
      </c>
    </row>
    <row r="190" ht="15" customHeight="1">
      <c r="A190" s="1"/>
      <c r="B190" s="1" t="s">
        <v>493</v>
      </c>
      <c r="C190" s="53">
        <v>9943</v>
      </c>
      <c r="D190" s="53">
        <v>10439</v>
      </c>
      <c r="E190" s="53">
        <v>13045</v>
      </c>
      <c r="F190" s="53">
        <v>5375</v>
      </c>
      <c r="G190" s="53">
        <v>4404</v>
      </c>
      <c r="H190" s="1"/>
      <c r="I190" s="1"/>
      <c r="J190" s="1"/>
      <c r="K190" s="1"/>
      <c r="L190" s="1"/>
      <c r="M190" s="4" t="s">
        <v>947</v>
      </c>
    </row>
    <row r="191" ht="15" customHeight="1">
      <c r="A191" s="1"/>
      <c r="B191" s="1" t="s">
        <v>956</v>
      </c>
      <c r="C191" s="53">
        <v>21</v>
      </c>
      <c r="D191" s="53">
        <v>1</v>
      </c>
      <c r="E191" s="53">
        <v>-27</v>
      </c>
      <c r="F191" s="53">
        <v>110</v>
      </c>
      <c r="G191" s="53">
        <v>481</v>
      </c>
      <c r="H191" s="1"/>
      <c r="I191" s="1"/>
      <c r="J191" s="1"/>
      <c r="K191" s="1"/>
      <c r="L191" s="1"/>
      <c r="M191" s="4" t="s">
        <v>947</v>
      </c>
    </row>
    <row r="192" ht="15" customHeight="1">
      <c r="A192" s="1"/>
      <c r="B192" s="1" t="s">
        <v>495</v>
      </c>
      <c r="C192" s="53">
        <v>15896</v>
      </c>
      <c r="D192" s="53">
        <v>22375</v>
      </c>
      <c r="E192" s="53">
        <v>24377</v>
      </c>
      <c r="F192" s="53">
        <v>3502</v>
      </c>
      <c r="G192" s="53">
        <v>6116</v>
      </c>
      <c r="H192" s="1"/>
      <c r="I192" s="1"/>
      <c r="J192" s="1"/>
      <c r="K192" s="1"/>
      <c r="L192" s="1"/>
      <c r="M192" s="4" t="s">
        <v>947</v>
      </c>
    </row>
    <row r="193" ht="15" customHeight="1">
      <c r="A193" s="1"/>
      <c r="B193" s="1" t="s">
        <v>497</v>
      </c>
      <c r="C193" s="53">
        <v>-7895</v>
      </c>
      <c r="D193" s="53">
        <v>-14896</v>
      </c>
      <c r="E193" s="53">
        <v>-18157</v>
      </c>
      <c r="F193" s="53">
        <v>-1524</v>
      </c>
      <c r="G193" s="53">
        <v>-5471</v>
      </c>
      <c r="H193" s="1"/>
      <c r="I193" s="1"/>
      <c r="J193" s="1"/>
      <c r="K193" s="1"/>
      <c r="L193" s="1"/>
      <c r="M193" s="4" t="s">
        <v>947</v>
      </c>
    </row>
    <row r="194" ht="15" customHeight="1">
      <c r="A194" s="1"/>
      <c r="B194" s="1" t="s">
        <v>499</v>
      </c>
      <c r="C194" s="53">
        <v>22</v>
      </c>
      <c r="D194" s="53">
        <v>48</v>
      </c>
      <c r="E194" s="53">
        <v>57</v>
      </c>
      <c r="F194" s="53">
        <v>7</v>
      </c>
      <c r="G194" s="53">
        <v>7</v>
      </c>
      <c r="H194" s="1"/>
      <c r="I194" s="1"/>
      <c r="J194" s="1"/>
      <c r="K194" s="1"/>
      <c r="L194" s="1"/>
      <c r="M194" s="4" t="s">
        <v>947</v>
      </c>
    </row>
    <row r="195" ht="15" customHeight="1">
      <c r="A195" s="1"/>
      <c r="B195" s="1" t="s">
        <v>957</v>
      </c>
      <c r="C195" s="53">
        <v>-2564</v>
      </c>
      <c r="D195" s="53">
        <v>-4915</v>
      </c>
      <c r="E195" s="53">
        <v>-5814</v>
      </c>
      <c r="F195" s="53">
        <v>-1911</v>
      </c>
      <c r="G195" s="53">
        <v>-4215</v>
      </c>
      <c r="H195" s="1"/>
      <c r="I195" s="1"/>
      <c r="J195" s="1"/>
      <c r="K195" s="1"/>
      <c r="L195" s="1"/>
      <c r="M195" s="4" t="s">
        <v>947</v>
      </c>
    </row>
    <row r="196" ht="15" customHeight="1">
      <c r="A196" s="1"/>
      <c r="B196" s="1" t="s">
        <v>958</v>
      </c>
      <c r="C196" s="53">
        <v>-1102</v>
      </c>
      <c r="D196" s="53">
        <v>-1688</v>
      </c>
      <c r="E196" s="53">
        <v>-2271</v>
      </c>
      <c r="F196" s="53">
        <v>-583</v>
      </c>
      <c r="G196" s="53">
        <v>-1248</v>
      </c>
      <c r="H196" s="1"/>
      <c r="I196" s="1"/>
      <c r="J196" s="1"/>
      <c r="K196" s="1"/>
      <c r="L196" s="1"/>
      <c r="M196" s="4" t="s">
        <v>947</v>
      </c>
    </row>
    <row r="197" ht="15" customHeight="1">
      <c r="A197" s="1"/>
      <c r="B197" s="1" t="s">
        <v>504</v>
      </c>
      <c r="C197" s="53">
        <v>194</v>
      </c>
      <c r="D197" s="53">
        <v>285</v>
      </c>
      <c r="E197" s="53">
        <v>405</v>
      </c>
      <c r="F197" s="53">
        <v>57</v>
      </c>
      <c r="G197" s="53">
        <v>51</v>
      </c>
      <c r="H197" s="1"/>
      <c r="I197" s="1"/>
      <c r="J197" s="1"/>
      <c r="K197" s="1"/>
      <c r="L197" s="1"/>
      <c r="M197" s="4" t="s">
        <v>947</v>
      </c>
    </row>
    <row r="198" ht="15" customHeight="1">
      <c r="A198" s="1"/>
      <c r="B198" s="1" t="s">
        <v>959</v>
      </c>
      <c r="C198" s="53">
        <v>9128</v>
      </c>
      <c r="D198" s="53">
        <v>15361</v>
      </c>
      <c r="E198" s="53">
        <v>18428</v>
      </c>
      <c r="F198" s="53">
        <v>3804</v>
      </c>
      <c r="G198" s="53">
        <v>9175</v>
      </c>
      <c r="H198" s="1"/>
      <c r="I198" s="1"/>
      <c r="J198" s="1"/>
      <c r="K198" s="1"/>
      <c r="L198" s="1"/>
      <c r="M198" s="4" t="s">
        <v>947</v>
      </c>
    </row>
    <row r="199" ht="15" customHeight="1">
      <c r="A199" s="1"/>
      <c r="B199" s="1" t="s">
        <v>960</v>
      </c>
      <c r="C199" s="53">
        <v>-6346</v>
      </c>
      <c r="D199" s="53">
        <v>-12944</v>
      </c>
      <c r="E199" s="53">
        <v>-22891</v>
      </c>
      <c r="F199" s="53">
        <v>-2872</v>
      </c>
      <c r="G199" s="53">
        <v>-11849</v>
      </c>
      <c r="H199" s="1"/>
      <c r="I199" s="1"/>
      <c r="J199" s="1"/>
      <c r="K199" s="1"/>
      <c r="L199" s="1"/>
      <c r="M199" s="4" t="s">
        <v>947</v>
      </c>
    </row>
    <row r="200" ht="15" customHeight="1">
      <c r="A200" s="1"/>
      <c r="B200" s="1" t="s">
        <v>961</v>
      </c>
      <c r="C200" s="53">
        <v>14321</v>
      </c>
      <c r="D200" s="53">
        <v>11364</v>
      </c>
      <c r="E200" s="53">
        <v>11210</v>
      </c>
      <c r="F200" s="53">
        <v>4976</v>
      </c>
      <c r="G200" s="53">
        <v>74</v>
      </c>
      <c r="H200" s="1"/>
      <c r="I200" s="1"/>
      <c r="J200" s="1"/>
      <c r="K200" s="1"/>
      <c r="L200" s="1"/>
      <c r="M200" s="4" t="s">
        <v>947</v>
      </c>
    </row>
    <row r="201" ht="15" customHeight="1">
      <c r="A201" s="1"/>
      <c r="B201" s="1" t="s">
        <v>962</v>
      </c>
      <c r="C201" s="53">
        <v>17297</v>
      </c>
      <c r="D201" s="53">
        <v>14066</v>
      </c>
      <c r="E201" s="53">
        <v>7152</v>
      </c>
      <c r="F201" s="53">
        <v>5965</v>
      </c>
      <c r="G201" s="53">
        <v>-2549</v>
      </c>
      <c r="H201" s="1"/>
      <c r="I201" s="1"/>
      <c r="J201" s="1"/>
      <c r="K201" s="1"/>
      <c r="L201" s="1"/>
      <c r="M201" s="4" t="s">
        <v>947</v>
      </c>
    </row>
    <row r="202" ht="1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ht="15" customHeight="1">
      <c r="A203" s="1"/>
      <c r="B203" s="30" t="s">
        <v>963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ht="34.5" customHeight="1">
      <c r="A204" s="1"/>
      <c r="B204" s="13" t="s">
        <v>964</v>
      </c>
      <c r="C204" s="14" t="s">
        <v>965</v>
      </c>
      <c r="D204" s="14" t="s">
        <v>966</v>
      </c>
      <c r="E204" s="14" t="s">
        <v>967</v>
      </c>
      <c r="F204" s="14" t="s">
        <v>968</v>
      </c>
      <c r="G204" s="14" t="s">
        <v>969</v>
      </c>
      <c r="H204" s="13"/>
      <c r="I204" s="13"/>
      <c r="J204" s="13"/>
      <c r="K204" s="13"/>
      <c r="L204" s="13"/>
      <c r="M204" s="1"/>
    </row>
    <row r="205" ht="15" customHeight="1">
      <c r="A205" s="1"/>
      <c r="B205" s="1" t="s">
        <v>970</v>
      </c>
      <c r="C205" s="91">
        <v>92</v>
      </c>
      <c r="D205" s="91">
        <v>92</v>
      </c>
      <c r="E205" s="91">
        <v>366</v>
      </c>
      <c r="F205" s="91">
        <v>90</v>
      </c>
      <c r="G205" s="91">
        <v>91</v>
      </c>
      <c r="H205" s="1"/>
      <c r="I205" s="1"/>
      <c r="J205" s="1"/>
      <c r="K205" s="1"/>
      <c r="L205" s="1"/>
      <c r="M205" s="4" t="s">
        <v>971</v>
      </c>
    </row>
    <row r="206" ht="15" customHeight="1">
      <c r="A206" s="1"/>
      <c r="B206" s="1" t="s">
        <v>972</v>
      </c>
      <c r="C206" s="53">
        <v>8780</v>
      </c>
      <c r="D206" s="53">
        <v>9177</v>
      </c>
      <c r="E206" s="53">
        <v>35192</v>
      </c>
      <c r="F206" s="53">
        <v>8743</v>
      </c>
      <c r="G206" s="53">
        <v>9361</v>
      </c>
      <c r="H206" s="1"/>
      <c r="I206" s="1"/>
      <c r="J206" s="1"/>
      <c r="K206" s="1"/>
      <c r="L206" s="1"/>
      <c r="M206" s="4" t="s">
        <v>973</v>
      </c>
    </row>
    <row r="207" ht="15" customHeight="1">
      <c r="A207" s="1"/>
      <c r="B207" s="1" t="s">
        <v>974</v>
      </c>
      <c r="C207" s="53">
        <v>2170</v>
      </c>
      <c r="D207" s="53">
        <v>2245</v>
      </c>
      <c r="E207" s="53">
        <v>8449</v>
      </c>
      <c r="F207" s="53">
        <v>2333</v>
      </c>
      <c r="G207" s="53">
        <v>2480</v>
      </c>
      <c r="H207" s="1"/>
      <c r="I207" s="1"/>
      <c r="J207" s="1"/>
      <c r="K207" s="1"/>
      <c r="L207" s="1"/>
      <c r="M207" s="4" t="s">
        <v>973</v>
      </c>
    </row>
    <row r="208" ht="15" customHeight="1">
      <c r="A208" s="1"/>
      <c r="B208" s="1" t="s">
        <v>975</v>
      </c>
      <c r="C208" s="53">
        <v>1680</v>
      </c>
      <c r="D208" s="53">
        <v>1719</v>
      </c>
      <c r="E208" s="53">
        <v>6765</v>
      </c>
      <c r="F208" s="53">
        <v>1722</v>
      </c>
      <c r="G208" s="53">
        <v>1828</v>
      </c>
      <c r="H208" s="1"/>
      <c r="I208" s="1"/>
      <c r="J208" s="1"/>
      <c r="K208" s="1"/>
      <c r="L208" s="1"/>
      <c r="M208" s="4" t="s">
        <v>973</v>
      </c>
    </row>
    <row r="209" ht="15" customHeight="1">
      <c r="A209" s="1"/>
      <c r="B209" s="1" t="s">
        <v>976</v>
      </c>
      <c r="C209" s="53">
        <v>12630</v>
      </c>
      <c r="D209" s="53">
        <v>13141</v>
      </c>
      <c r="E209" s="53">
        <v>50406</v>
      </c>
      <c r="F209" s="53">
        <v>12798</v>
      </c>
      <c r="G209" s="53">
        <v>13669</v>
      </c>
      <c r="H209" s="1"/>
      <c r="I209" s="1"/>
      <c r="J209" s="1"/>
      <c r="K209" s="1"/>
      <c r="L209" s="1"/>
      <c r="M209" s="4" t="s">
        <v>973</v>
      </c>
    </row>
    <row r="210" ht="15" customHeight="1">
      <c r="A210" s="1"/>
      <c r="B210" s="1" t="s">
        <v>977</v>
      </c>
      <c r="C210" s="53">
        <v>5442</v>
      </c>
      <c r="D210" s="53">
        <v>5503</v>
      </c>
      <c r="E210" s="53">
        <v>21095</v>
      </c>
      <c r="F210" s="53">
        <v>5552</v>
      </c>
      <c r="G210" s="53">
        <v>5648</v>
      </c>
      <c r="H210" s="1"/>
      <c r="I210" s="1"/>
      <c r="J210" s="1"/>
      <c r="K210" s="1"/>
      <c r="L210" s="1"/>
      <c r="M210" s="4" t="s">
        <v>973</v>
      </c>
    </row>
    <row r="211" ht="15" customHeight="1">
      <c r="A211" s="1"/>
      <c r="B211" s="1" t="s">
        <v>978</v>
      </c>
      <c r="C211" s="53">
        <v>18</v>
      </c>
      <c r="D211" s="53">
        <v>18</v>
      </c>
      <c r="E211" s="53">
        <v>86</v>
      </c>
      <c r="F211" s="53">
        <v>14</v>
      </c>
      <c r="G211" s="53">
        <v>17</v>
      </c>
      <c r="H211" s="1"/>
      <c r="I211" s="1"/>
      <c r="J211" s="1"/>
      <c r="K211" s="1"/>
      <c r="L211" s="1"/>
      <c r="M211" s="4" t="s">
        <v>973</v>
      </c>
    </row>
    <row r="212" ht="15" customHeight="1">
      <c r="A212" s="1"/>
      <c r="B212" s="1" t="s">
        <v>979</v>
      </c>
      <c r="C212" s="53">
        <v>689</v>
      </c>
      <c r="D212" s="53">
        <v>556</v>
      </c>
      <c r="E212" s="53">
        <v>2614</v>
      </c>
      <c r="F212" s="53">
        <v>569</v>
      </c>
      <c r="G212" s="53">
        <v>599</v>
      </c>
      <c r="H212" s="1"/>
      <c r="I212" s="1"/>
      <c r="J212" s="1"/>
      <c r="K212" s="1"/>
      <c r="L212" s="1"/>
      <c r="M212" s="4" t="s">
        <v>973</v>
      </c>
    </row>
    <row r="213" ht="15" customHeight="1">
      <c r="A213" s="1"/>
      <c r="B213" s="1" t="s">
        <v>980</v>
      </c>
      <c r="C213" s="53">
        <v>1446</v>
      </c>
      <c r="D213" s="53">
        <v>1397</v>
      </c>
      <c r="E213" s="53">
        <v>5695</v>
      </c>
      <c r="F213" s="53">
        <v>1337</v>
      </c>
      <c r="G213" s="53">
        <v>1374</v>
      </c>
      <c r="H213" s="1"/>
      <c r="I213" s="1"/>
      <c r="J213" s="1"/>
      <c r="K213" s="1"/>
      <c r="L213" s="1"/>
      <c r="M213" s="4" t="s">
        <v>973</v>
      </c>
    </row>
    <row r="214" ht="15" customHeight="1">
      <c r="A214" s="1"/>
      <c r="B214" s="1" t="s">
        <v>981</v>
      </c>
      <c r="C214" s="53">
        <v>697</v>
      </c>
      <c r="D214" s="53">
        <v>642</v>
      </c>
      <c r="E214" s="53">
        <v>2557</v>
      </c>
      <c r="F214" s="53">
        <v>629</v>
      </c>
      <c r="G214" s="53">
        <v>703</v>
      </c>
      <c r="H214" s="1"/>
      <c r="I214" s="1"/>
      <c r="J214" s="1"/>
      <c r="K214" s="1"/>
      <c r="L214" s="1"/>
      <c r="M214" s="4" t="s">
        <v>973</v>
      </c>
    </row>
    <row r="215" ht="15" customHeight="1">
      <c r="A215" s="1"/>
      <c r="B215" s="1" t="s">
        <v>982</v>
      </c>
      <c r="C215" s="53">
        <v>4006</v>
      </c>
      <c r="D215" s="53">
        <v>4038</v>
      </c>
      <c r="E215" s="53">
        <v>15543</v>
      </c>
      <c r="F215" s="53">
        <v>4169</v>
      </c>
      <c r="G215" s="53">
        <v>4187</v>
      </c>
      <c r="H215" s="1"/>
      <c r="I215" s="1"/>
      <c r="J215" s="1"/>
      <c r="K215" s="1"/>
      <c r="L215" s="1"/>
      <c r="M215" s="4" t="s">
        <v>973</v>
      </c>
    </row>
    <row r="216" ht="15" customHeight="1">
      <c r="A216" s="1"/>
      <c r="B216" s="1" t="s">
        <v>983</v>
      </c>
      <c r="C216" s="53">
        <v>16636</v>
      </c>
      <c r="D216" s="53">
        <v>17179</v>
      </c>
      <c r="E216" s="53">
        <v>65949</v>
      </c>
      <c r="F216" s="53">
        <v>16967</v>
      </c>
      <c r="G216" s="53">
        <v>17856</v>
      </c>
      <c r="H216" s="1"/>
      <c r="I216" s="1"/>
      <c r="J216" s="1"/>
      <c r="K216" s="1"/>
      <c r="L216" s="1"/>
      <c r="M216" s="4" t="s">
        <v>973</v>
      </c>
    </row>
    <row r="217" ht="15" customHeight="1">
      <c r="A217" s="1"/>
      <c r="B217" s="1" t="s">
        <v>984</v>
      </c>
      <c r="C217" s="53">
        <v>1356</v>
      </c>
      <c r="D217" s="53">
        <v>1292</v>
      </c>
      <c r="E217" s="53">
        <v>5185</v>
      </c>
      <c r="F217" s="53">
        <v>1150</v>
      </c>
      <c r="G217" s="53">
        <v>1405</v>
      </c>
      <c r="H217" s="1"/>
      <c r="I217" s="1"/>
      <c r="J217" s="1"/>
      <c r="K217" s="1"/>
      <c r="L217" s="1"/>
      <c r="M217" s="4" t="s">
        <v>973</v>
      </c>
    </row>
    <row r="218" ht="15" customHeight="1">
      <c r="A218" s="1"/>
      <c r="B218" s="1" t="s">
        <v>985</v>
      </c>
      <c r="C218" s="53">
        <v>4168</v>
      </c>
      <c r="D218" s="53">
        <v>4430</v>
      </c>
      <c r="E218" s="53">
        <v>16599</v>
      </c>
      <c r="F218" s="53">
        <v>4378</v>
      </c>
      <c r="G218" s="53">
        <v>4618</v>
      </c>
      <c r="H218" s="1"/>
      <c r="I218" s="1"/>
      <c r="J218" s="1"/>
      <c r="K218" s="1"/>
      <c r="L218" s="1"/>
      <c r="M218" s="4" t="s">
        <v>973</v>
      </c>
    </row>
    <row r="219" ht="15" customHeight="1">
      <c r="A219" s="1"/>
      <c r="B219" s="1" t="s">
        <v>986</v>
      </c>
      <c r="C219" s="53">
        <v>1430</v>
      </c>
      <c r="D219" s="53">
        <v>1637</v>
      </c>
      <c r="E219" s="53">
        <v>5886</v>
      </c>
      <c r="F219" s="53">
        <v>1529</v>
      </c>
      <c r="G219" s="53">
        <v>1589</v>
      </c>
      <c r="H219" s="1"/>
      <c r="I219" s="1"/>
      <c r="J219" s="1"/>
      <c r="K219" s="1"/>
      <c r="L219" s="1"/>
      <c r="M219" s="4" t="s">
        <v>973</v>
      </c>
    </row>
    <row r="220" ht="15" customHeight="1">
      <c r="A220" s="1"/>
      <c r="B220" s="1" t="s">
        <v>987</v>
      </c>
      <c r="C220" s="53">
        <v>1179</v>
      </c>
      <c r="D220" s="53">
        <v>1278</v>
      </c>
      <c r="E220" s="53">
        <v>4782</v>
      </c>
      <c r="F220" s="53">
        <v>1328</v>
      </c>
      <c r="G220" s="53">
        <v>1301</v>
      </c>
      <c r="H220" s="1"/>
      <c r="I220" s="1"/>
      <c r="J220" s="1"/>
      <c r="K220" s="1"/>
      <c r="L220" s="1"/>
      <c r="M220" s="4" t="s">
        <v>973</v>
      </c>
    </row>
    <row r="221" ht="15" customHeight="1">
      <c r="A221" s="1"/>
      <c r="B221" s="1" t="s">
        <v>988</v>
      </c>
      <c r="C221" s="53">
        <v>1470</v>
      </c>
      <c r="D221" s="53">
        <v>1614</v>
      </c>
      <c r="E221" s="53">
        <v>6040</v>
      </c>
      <c r="F221" s="53">
        <v>1486</v>
      </c>
      <c r="G221" s="53">
        <v>1555</v>
      </c>
      <c r="H221" s="1"/>
      <c r="I221" s="1"/>
      <c r="J221" s="1"/>
      <c r="K221" s="1"/>
      <c r="L221" s="1"/>
      <c r="M221" s="4" t="s">
        <v>973</v>
      </c>
    </row>
    <row r="222" ht="15" customHeight="1">
      <c r="A222" s="1"/>
      <c r="B222" s="1" t="s">
        <v>989</v>
      </c>
      <c r="C222" s="53">
        <v>3829</v>
      </c>
      <c r="D222" s="53">
        <v>4172</v>
      </c>
      <c r="E222" s="53">
        <v>14562</v>
      </c>
      <c r="F222" s="53">
        <v>3766</v>
      </c>
      <c r="G222" s="53">
        <v>3838</v>
      </c>
      <c r="H222" s="1"/>
      <c r="I222" s="1"/>
      <c r="J222" s="1"/>
      <c r="K222" s="1"/>
      <c r="L222" s="1"/>
      <c r="M222" s="4" t="s">
        <v>973</v>
      </c>
    </row>
    <row r="223" ht="15" customHeight="1">
      <c r="A223" s="1"/>
      <c r="B223" s="1" t="s">
        <v>990</v>
      </c>
      <c r="C223" s="53">
        <v>12076</v>
      </c>
      <c r="D223" s="53">
        <v>13131</v>
      </c>
      <c r="E223" s="53">
        <v>47869</v>
      </c>
      <c r="F223" s="53">
        <v>12487</v>
      </c>
      <c r="G223" s="53">
        <v>12901</v>
      </c>
      <c r="H223" s="1"/>
      <c r="I223" s="1"/>
      <c r="J223" s="1"/>
      <c r="K223" s="1"/>
      <c r="L223" s="1"/>
      <c r="M223" s="4" t="s">
        <v>973</v>
      </c>
    </row>
    <row r="224" ht="15" customHeight="1">
      <c r="A224" s="1"/>
      <c r="B224" s="1" t="s">
        <v>991</v>
      </c>
      <c r="C224" s="53">
        <v>3204</v>
      </c>
      <c r="D224" s="53">
        <v>2756</v>
      </c>
      <c r="E224" s="53">
        <v>12895</v>
      </c>
      <c r="F224" s="53">
        <v>3330</v>
      </c>
      <c r="G224" s="53">
        <v>3550</v>
      </c>
      <c r="H224" s="1"/>
      <c r="I224" s="1"/>
      <c r="J224" s="1"/>
      <c r="K224" s="1"/>
      <c r="L224" s="1"/>
      <c r="M224" s="4" t="s">
        <v>973</v>
      </c>
    </row>
    <row r="225" ht="15" customHeight="1">
      <c r="A225" s="1"/>
      <c r="B225" s="1" t="s">
        <v>992</v>
      </c>
      <c r="C225" s="53">
        <v>2507</v>
      </c>
      <c r="D225" s="53">
        <v>2170</v>
      </c>
      <c r="E225" s="53">
        <v>10129</v>
      </c>
      <c r="F225" s="53">
        <v>2584</v>
      </c>
      <c r="G225" s="53">
        <v>2885</v>
      </c>
      <c r="H225" s="1"/>
      <c r="I225" s="1"/>
      <c r="J225" s="1"/>
      <c r="K225" s="1"/>
      <c r="L225" s="1"/>
      <c r="M225" s="4" t="s">
        <v>973</v>
      </c>
    </row>
    <row r="226" ht="15" customHeight="1">
      <c r="A226" s="1"/>
      <c r="B226" s="1" t="s">
        <v>993</v>
      </c>
      <c r="C226" s="53">
        <v>2474</v>
      </c>
      <c r="D226" s="53">
        <v>2139</v>
      </c>
      <c r="E226" s="53">
        <v>9995</v>
      </c>
      <c r="F226" s="53">
        <v>2552</v>
      </c>
      <c r="G226" s="53">
        <v>2852</v>
      </c>
      <c r="H226" s="1"/>
      <c r="I226" s="1"/>
      <c r="J226" s="1"/>
      <c r="K226" s="1"/>
      <c r="L226" s="1"/>
      <c r="M226" s="4" t="s">
        <v>973</v>
      </c>
    </row>
    <row r="227" ht="15" customHeight="1">
      <c r="A227" s="1"/>
      <c r="B227" s="1" t="s">
        <v>994</v>
      </c>
      <c r="C227" s="71">
        <v>3.49</v>
      </c>
      <c r="D227" s="71">
        <v>3.04</v>
      </c>
      <c r="E227" s="71">
        <v>14.01</v>
      </c>
      <c r="F227" s="71">
        <v>3.64</v>
      </c>
      <c r="G227" s="71">
        <v>4.08</v>
      </c>
      <c r="H227" s="1"/>
      <c r="I227" s="1"/>
      <c r="J227" s="1"/>
      <c r="K227" s="1"/>
      <c r="L227" s="1"/>
      <c r="M227" s="4" t="s">
        <v>973</v>
      </c>
    </row>
    <row r="228" ht="15" customHeight="1">
      <c r="A228" s="1"/>
      <c r="B228" s="1" t="s">
        <v>995</v>
      </c>
      <c r="C228" s="53">
        <v>16674</v>
      </c>
      <c r="D228" s="53">
        <v>17349</v>
      </c>
      <c r="E228" s="53">
        <v>66083</v>
      </c>
      <c r="F228" s="53">
        <v>17210</v>
      </c>
      <c r="G228" s="53">
        <v>17880</v>
      </c>
      <c r="H228" s="1"/>
      <c r="I228" s="1"/>
      <c r="J228" s="1"/>
      <c r="K228" s="1"/>
      <c r="L228" s="1"/>
      <c r="M228" s="4" t="s">
        <v>973</v>
      </c>
    </row>
    <row r="229" ht="15" customHeight="1">
      <c r="A229" s="1"/>
      <c r="B229" s="1" t="s">
        <v>996</v>
      </c>
      <c r="C229" s="53">
        <v>388.1</v>
      </c>
      <c r="D229" s="53">
        <v>412.7</v>
      </c>
      <c r="E229" s="53">
        <v>1555.5</v>
      </c>
      <c r="F229" s="53">
        <v>393.6</v>
      </c>
      <c r="G229" s="53">
        <v>416.8</v>
      </c>
      <c r="H229" s="1"/>
      <c r="I229" s="1"/>
      <c r="J229" s="1"/>
      <c r="K229" s="1"/>
      <c r="L229" s="1"/>
      <c r="M229" s="4" t="s">
        <v>973</v>
      </c>
    </row>
    <row r="230" ht="15" customHeight="1">
      <c r="A230" s="1"/>
      <c r="B230" s="1" t="s">
        <v>997</v>
      </c>
      <c r="C230" s="53">
        <v>387.3</v>
      </c>
      <c r="D230" s="53">
        <v>408.4</v>
      </c>
      <c r="E230" s="53">
        <v>1550.9</v>
      </c>
      <c r="F230" s="53">
        <v>387.4</v>
      </c>
      <c r="G230" s="53">
        <v>416.3</v>
      </c>
      <c r="H230" s="1"/>
      <c r="I230" s="1"/>
      <c r="J230" s="1"/>
      <c r="K230" s="1"/>
      <c r="L230" s="1"/>
      <c r="M230" s="4" t="s">
        <v>998</v>
      </c>
    </row>
    <row r="231" ht="15" customHeight="1">
      <c r="A231" s="1"/>
      <c r="B231" s="1" t="s">
        <v>999</v>
      </c>
      <c r="C231" s="53">
        <v>441</v>
      </c>
      <c r="D231" s="53">
        <v>464</v>
      </c>
      <c r="E231" s="53">
        <v>1764.8</v>
      </c>
      <c r="F231" s="53">
        <v>439.6</v>
      </c>
      <c r="G231" s="53">
        <v>472</v>
      </c>
      <c r="H231" s="1"/>
      <c r="I231" s="1"/>
      <c r="J231" s="1"/>
      <c r="K231" s="1"/>
      <c r="L231" s="1"/>
      <c r="M231" s="4" t="s">
        <v>998</v>
      </c>
    </row>
    <row r="232" ht="15" customHeight="1">
      <c r="A232" s="1"/>
      <c r="B232" s="1" t="s">
        <v>1000</v>
      </c>
      <c r="C232" s="53">
        <v>82.9</v>
      </c>
      <c r="D232" s="53">
        <v>83.6</v>
      </c>
      <c r="E232" s="53">
        <v>83.6</v>
      </c>
      <c r="F232" s="53">
        <v>84.6</v>
      </c>
      <c r="G232" s="53">
        <v>85.2</v>
      </c>
      <c r="H232" s="1"/>
      <c r="I232" s="1"/>
      <c r="J232" s="1"/>
      <c r="K232" s="1"/>
      <c r="L232" s="1"/>
      <c r="M232" s="4" t="s">
        <v>998</v>
      </c>
    </row>
    <row r="233" ht="15" customHeight="1">
      <c r="A233" s="1"/>
      <c r="B233" s="1" t="s">
        <v>1001</v>
      </c>
      <c r="C233" s="53">
        <v>3.3</v>
      </c>
      <c r="D233" s="53">
        <v>3</v>
      </c>
      <c r="E233" s="53">
        <v>13</v>
      </c>
      <c r="F233" s="53">
        <v>3.4</v>
      </c>
      <c r="G233" s="53">
        <v>3.1</v>
      </c>
      <c r="H233" s="1"/>
      <c r="I233" s="1"/>
      <c r="J233" s="1"/>
      <c r="K233" s="1"/>
      <c r="L233" s="1"/>
      <c r="M233" s="4" t="s">
        <v>998</v>
      </c>
    </row>
    <row r="234" ht="15" customHeight="1">
      <c r="A234" s="1"/>
      <c r="B234" s="1" t="s">
        <v>1002</v>
      </c>
      <c r="C234" s="55">
        <v>105</v>
      </c>
      <c r="D234" s="55">
        <v>108</v>
      </c>
      <c r="E234" s="55">
        <v>103</v>
      </c>
      <c r="F234" s="55">
        <v>111</v>
      </c>
      <c r="G234" s="55">
        <v>117</v>
      </c>
      <c r="H234" s="1"/>
      <c r="I234" s="1"/>
      <c r="J234" s="1"/>
      <c r="K234" s="1"/>
      <c r="L234" s="1"/>
      <c r="M234" s="4" t="s">
        <v>998</v>
      </c>
    </row>
    <row r="235" ht="15" customHeight="1">
      <c r="A235" s="1"/>
      <c r="B235" s="1" t="s">
        <v>1003</v>
      </c>
      <c r="C235" s="81">
        <v>0.08</v>
      </c>
      <c r="D235" s="81">
        <v>0.078</v>
      </c>
      <c r="E235" s="81">
        <v>0.079</v>
      </c>
      <c r="F235" s="81">
        <v>0.082</v>
      </c>
      <c r="G235" s="81">
        <v>0.079</v>
      </c>
      <c r="H235" s="1"/>
      <c r="I235" s="1"/>
      <c r="J235" s="1"/>
      <c r="K235" s="1"/>
      <c r="L235" s="1"/>
      <c r="M235" s="4" t="s">
        <v>998</v>
      </c>
    </row>
    <row r="236" ht="15" customHeight="1">
      <c r="A236" s="1"/>
      <c r="B236" s="1" t="s">
        <v>1004</v>
      </c>
      <c r="C236" s="53">
        <v>193590</v>
      </c>
      <c r="D236" s="53">
        <v>199085</v>
      </c>
      <c r="E236" s="53">
        <v>199085</v>
      </c>
      <c r="F236" s="53">
        <v>197706</v>
      </c>
      <c r="G236" s="53">
        <v>201873</v>
      </c>
      <c r="H236" s="1"/>
      <c r="I236" s="1"/>
      <c r="J236" s="1"/>
      <c r="K236" s="1"/>
      <c r="L236" s="1"/>
      <c r="M236" s="4" t="s">
        <v>998</v>
      </c>
    </row>
    <row r="237" ht="15" customHeight="1">
      <c r="A237" s="1"/>
      <c r="B237" s="1" t="s">
        <v>1005</v>
      </c>
      <c r="C237" s="53">
        <v>135438</v>
      </c>
      <c r="D237" s="53">
        <v>139413</v>
      </c>
      <c r="E237" s="53">
        <v>139413</v>
      </c>
      <c r="F237" s="53">
        <v>146396</v>
      </c>
      <c r="G237" s="53">
        <v>149386</v>
      </c>
      <c r="H237" s="1"/>
      <c r="I237" s="1"/>
      <c r="J237" s="1"/>
      <c r="K237" s="1"/>
      <c r="L237" s="1"/>
      <c r="M237" s="4" t="s">
        <v>998</v>
      </c>
    </row>
    <row r="238" ht="15" customHeight="1">
      <c r="A238" s="1"/>
      <c r="B238" s="1" t="s">
        <v>1006</v>
      </c>
      <c r="C238" s="53">
        <v>47918</v>
      </c>
      <c r="D238" s="53">
        <v>40640</v>
      </c>
      <c r="E238" s="53">
        <v>40640</v>
      </c>
      <c r="F238" s="53">
        <v>52508</v>
      </c>
      <c r="G238" s="53">
        <v>57937</v>
      </c>
      <c r="H238" s="1"/>
      <c r="I238" s="1"/>
      <c r="J238" s="1"/>
      <c r="K238" s="1"/>
      <c r="L238" s="1"/>
      <c r="M238" s="4" t="s">
        <v>998</v>
      </c>
    </row>
    <row r="239" ht="15" customHeight="1">
      <c r="A239" s="1"/>
      <c r="B239" s="1" t="s">
        <v>1007</v>
      </c>
      <c r="C239" s="53">
        <v>704</v>
      </c>
      <c r="D239" s="53">
        <v>702</v>
      </c>
      <c r="E239" s="53">
        <v>702</v>
      </c>
      <c r="F239" s="53">
        <v>701</v>
      </c>
      <c r="G239" s="53">
        <v>696</v>
      </c>
      <c r="H239" s="1"/>
      <c r="I239" s="1"/>
      <c r="J239" s="1"/>
      <c r="K239" s="1"/>
      <c r="L239" s="1"/>
      <c r="M239" s="4" t="s">
        <v>998</v>
      </c>
    </row>
    <row r="240" ht="15" customHeight="1">
      <c r="A240" s="1"/>
      <c r="B240" s="1" t="s">
        <v>1008</v>
      </c>
      <c r="C240" s="53">
        <v>708</v>
      </c>
      <c r="D240" s="53">
        <v>703</v>
      </c>
      <c r="E240" s="53">
        <v>712</v>
      </c>
      <c r="F240" s="53">
        <v>701</v>
      </c>
      <c r="G240" s="53">
        <v>698</v>
      </c>
      <c r="H240" s="1"/>
      <c r="I240" s="1"/>
      <c r="J240" s="1"/>
      <c r="K240" s="1"/>
      <c r="L240" s="1"/>
      <c r="M240" s="4" t="s">
        <v>998</v>
      </c>
    </row>
    <row r="241" ht="15" customHeight="1">
      <c r="A241" s="1"/>
      <c r="B241" s="1" t="s">
        <v>1009</v>
      </c>
      <c r="C241" s="53">
        <v>709</v>
      </c>
      <c r="D241" s="53">
        <v>704</v>
      </c>
      <c r="E241" s="53">
        <v>713</v>
      </c>
      <c r="F241" s="53">
        <v>702</v>
      </c>
      <c r="G241" s="53">
        <v>699</v>
      </c>
      <c r="H241" s="1"/>
      <c r="I241" s="1"/>
      <c r="J241" s="1"/>
      <c r="K241" s="1"/>
      <c r="L241" s="1"/>
      <c r="M241" s="4" t="s">
        <v>998</v>
      </c>
    </row>
    <row r="242" ht="15" customHeight="1">
      <c r="A242" s="1"/>
      <c r="B242" s="1" t="s">
        <v>1010</v>
      </c>
      <c r="C242" s="16">
        <f>Inputs!C231-Inputs!C230</f>
        <v>53.69999999999999</v>
      </c>
      <c r="D242" s="16">
        <f>Inputs!D231-Inputs!D230</f>
        <v>55.60000000000002</v>
      </c>
      <c r="E242" s="16">
        <f>Inputs!E231-Inputs!E230</f>
        <v>213.89999999999986</v>
      </c>
      <c r="F242" s="16">
        <f>Inputs!F231-Inputs!F230</f>
        <v>52.200000000000045</v>
      </c>
      <c r="G242" s="16">
        <f>Inputs!G231-Inputs!G230</f>
        <v>55.69999999999999</v>
      </c>
      <c r="H242" s="1"/>
      <c r="I242" s="1"/>
      <c r="J242" s="1"/>
      <c r="K242" s="1"/>
      <c r="L242" s="1"/>
      <c r="M242" s="1"/>
    </row>
    <row r="243" ht="15" customHeight="1">
      <c r="A243" s="1"/>
      <c r="B243" s="1" t="s">
        <v>1011</v>
      </c>
      <c r="C243" s="16">
        <f>Inputs!C206/Inputs!C230*10</f>
        <v>226.69765040020653</v>
      </c>
      <c r="D243" s="16">
        <f>Inputs!D206/Inputs!D230*10</f>
        <v>224.70617042115575</v>
      </c>
      <c r="E243" s="16">
        <f>Inputs!E206/Inputs!E230*10</f>
        <v>226.91340511960794</v>
      </c>
      <c r="F243" s="16">
        <f>Inputs!F206/Inputs!F230*10</f>
        <v>225.68404749612802</v>
      </c>
      <c r="G243" s="16">
        <f>Inputs!G206/Inputs!G230*10</f>
        <v>224.86187845303868</v>
      </c>
      <c r="H243" s="1"/>
      <c r="I243" s="1"/>
      <c r="J243" s="1"/>
      <c r="K243" s="1"/>
      <c r="L243" s="1"/>
      <c r="M243" s="1"/>
    </row>
    <row r="244" ht="15" customHeight="1">
      <c r="A244" s="1"/>
      <c r="B244" s="1" t="s">
        <v>1012</v>
      </c>
      <c r="C244" s="16">
        <f>Inputs!C218/Inputs!C230*10</f>
        <v>107.61683449522334</v>
      </c>
      <c r="D244" s="16">
        <f>Inputs!D218/Inputs!D230*10</f>
        <v>108.4720861900098</v>
      </c>
      <c r="E244" s="16">
        <f>Inputs!E218/Inputs!E230*10</f>
        <v>107.02817718743955</v>
      </c>
      <c r="F244" s="16">
        <f>Inputs!F218/Inputs!F230*10</f>
        <v>113.00980898296336</v>
      </c>
      <c r="G244" s="16">
        <f>Inputs!G218/Inputs!G230*10</f>
        <v>110.92961806389623</v>
      </c>
      <c r="H244" s="1"/>
      <c r="I244" s="1"/>
      <c r="J244" s="1"/>
      <c r="K244" s="1"/>
      <c r="L244" s="1"/>
      <c r="M244" s="1"/>
    </row>
    <row r="245" ht="15" customHeight="1">
      <c r="A245" s="1"/>
      <c r="B245" s="1" t="s">
        <v>1013</v>
      </c>
      <c r="C245" s="16">
        <f>Inputs!C219/Inputs!C230*10</f>
        <v>36.92228246837077</v>
      </c>
      <c r="D245" s="16">
        <f>Inputs!D219/Inputs!D230*10</f>
        <v>40.08325171400588</v>
      </c>
      <c r="E245" s="16">
        <f>Inputs!E219/Inputs!E230*10</f>
        <v>37.95215681217358</v>
      </c>
      <c r="F245" s="16">
        <f>Inputs!F219/Inputs!F230*10</f>
        <v>39.468249870934436</v>
      </c>
      <c r="G245" s="16">
        <f>Inputs!G219/Inputs!G230*10</f>
        <v>38.16958923852991</v>
      </c>
      <c r="H245" s="1"/>
      <c r="I245" s="1"/>
      <c r="J245" s="1"/>
      <c r="K245" s="1"/>
      <c r="L245" s="1"/>
      <c r="M245" s="1"/>
    </row>
    <row r="246" ht="15" customHeight="1">
      <c r="A246" s="1"/>
      <c r="B246" s="1" t="s">
        <v>1014</v>
      </c>
      <c r="C246" s="16">
        <f>Inputs!C218+Inputs!C219+Inputs!C220</f>
        <v>6777</v>
      </c>
      <c r="D246" s="16">
        <f>Inputs!D218+Inputs!D219+Inputs!D220</f>
        <v>7345</v>
      </c>
      <c r="E246" s="16">
        <f>Inputs!E218+Inputs!E219+Inputs!E220</f>
        <v>27267</v>
      </c>
      <c r="F246" s="16">
        <f>Inputs!F218+Inputs!F219+Inputs!F220</f>
        <v>7235</v>
      </c>
      <c r="G246" s="16">
        <f>Inputs!G218+Inputs!G219+Inputs!G220</f>
        <v>7508</v>
      </c>
      <c r="H246" s="1"/>
      <c r="I246" s="1"/>
      <c r="J246" s="1"/>
      <c r="K246" s="1"/>
      <c r="L246" s="1"/>
      <c r="M246" s="1"/>
    </row>
    <row r="247" ht="15" customHeight="1">
      <c r="A247" s="1"/>
      <c r="B247" s="1" t="s">
        <v>1015</v>
      </c>
      <c r="C247" s="82">
        <f>Inputs!C246/Inputs!C216</f>
        <v>0.4073695599903823</v>
      </c>
      <c r="D247" s="82">
        <f>Inputs!D246/Inputs!D216</f>
        <v>0.42755690086733805</v>
      </c>
      <c r="E247" s="82">
        <f>Inputs!E246/Inputs!E216</f>
        <v>0.4134558522494655</v>
      </c>
      <c r="F247" s="82">
        <f>Inputs!F246/Inputs!F216</f>
        <v>0.42641598396888075</v>
      </c>
      <c r="G247" s="82">
        <f>Inputs!G246/Inputs!G216</f>
        <v>0.4204749103942652</v>
      </c>
      <c r="H247" s="1"/>
      <c r="I247" s="1"/>
      <c r="J247" s="1"/>
      <c r="K247" s="1"/>
      <c r="L247" s="1"/>
      <c r="M247" s="1"/>
    </row>
    <row r="248" ht="15" customHeight="1">
      <c r="A248" s="1"/>
      <c r="B248" s="1" t="s">
        <v>1016</v>
      </c>
      <c r="C248" s="82">
        <f>Inputs!C224/Inputs!C216</f>
        <v>0.19259437364751142</v>
      </c>
      <c r="D248" s="82">
        <f>Inputs!D224/Inputs!D216</f>
        <v>0.1604284300599569</v>
      </c>
      <c r="E248" s="82">
        <f>Inputs!E224/Inputs!E216</f>
        <v>0.1955298791490394</v>
      </c>
      <c r="F248" s="82">
        <f>Inputs!F224/Inputs!F216</f>
        <v>0.1962633347085519</v>
      </c>
      <c r="G248" s="82">
        <f>Inputs!G224/Inputs!G216</f>
        <v>0.19881272401433692</v>
      </c>
      <c r="H248" s="1"/>
      <c r="I248" s="1"/>
      <c r="J248" s="1"/>
      <c r="K248" s="1"/>
      <c r="L248" s="1"/>
      <c r="M248" s="1"/>
    </row>
    <row r="249" ht="15" customHeight="1">
      <c r="A249" s="1"/>
      <c r="B249" s="1" t="s">
        <v>1017</v>
      </c>
      <c r="C249" s="82">
        <f>1-Inputs!C225/Inputs!C224</f>
        <v>0.21754057428214735</v>
      </c>
      <c r="D249" s="82">
        <f>1-Inputs!D225/Inputs!D224</f>
        <v>0.21262699564586363</v>
      </c>
      <c r="E249" s="82">
        <f>1-Inputs!E225/Inputs!E224</f>
        <v>0.21450174486234974</v>
      </c>
      <c r="F249" s="82">
        <f>1-Inputs!F225/Inputs!F224</f>
        <v>0.224024024024024</v>
      </c>
      <c r="G249" s="82">
        <f>1-Inputs!G225/Inputs!G224</f>
        <v>0.1873239436619718</v>
      </c>
      <c r="H249" s="1"/>
      <c r="I249" s="1"/>
      <c r="J249" s="1"/>
      <c r="K249" s="1"/>
      <c r="L249" s="1"/>
      <c r="M249" s="1"/>
    </row>
    <row r="250" ht="15" customHeight="1">
      <c r="A250" s="1"/>
      <c r="B250" s="1" t="s">
        <v>1018</v>
      </c>
      <c r="C250" s="82">
        <f>Inputs!C228/Inputs!C216-1</f>
        <v>0.0022842029333973723</v>
      </c>
      <c r="D250" s="82">
        <f>Inputs!D228/Inputs!D216-1</f>
        <v>0.009895803015309346</v>
      </c>
      <c r="E250" s="82">
        <f>Inputs!E228/Inputs!E216-1</f>
        <v>0.002031873114072935</v>
      </c>
      <c r="F250" s="82">
        <f>Inputs!F228/Inputs!F216-1</f>
        <v>0.01432191901927271</v>
      </c>
      <c r="G250" s="82">
        <f>Inputs!G228/Inputs!G216-1</f>
        <v>0.0013440860215054862</v>
      </c>
      <c r="H250" s="1"/>
      <c r="I250" s="1"/>
      <c r="J250" s="1"/>
      <c r="K250" s="1"/>
      <c r="L250" s="1"/>
      <c r="M250" s="1"/>
    </row>
    <row r="251" ht="15" customHeight="1">
      <c r="A251" s="1"/>
      <c r="B251" s="1" t="s">
        <v>1019</v>
      </c>
      <c r="C251" s="82">
        <f>Inputs!C229/Inputs!C230-1</f>
        <v>0.0020655822359927356</v>
      </c>
      <c r="D251" s="82">
        <f>Inputs!D229/Inputs!D230-1</f>
        <v>0.010528893241919635</v>
      </c>
      <c r="E251" s="82">
        <f>Inputs!E229/Inputs!E230-1</f>
        <v>0.0029660197304790525</v>
      </c>
      <c r="F251" s="82">
        <f>Inputs!F229/Inputs!F230-1</f>
        <v>0.016004130098089986</v>
      </c>
      <c r="G251" s="82">
        <f>Inputs!G229/Inputs!G230-1</f>
        <v>0.0012010569300984208</v>
      </c>
      <c r="H251" s="1"/>
      <c r="I251" s="1"/>
      <c r="J251" s="1"/>
      <c r="K251" s="1"/>
      <c r="L251" s="1"/>
      <c r="M251" s="1"/>
    </row>
    <row r="252" ht="15" customHeight="1">
      <c r="A252" s="1"/>
      <c r="B252" s="1" t="s">
        <v>1020</v>
      </c>
      <c r="C252" s="53">
        <v>5028</v>
      </c>
      <c r="D252" s="53">
        <v>5314</v>
      </c>
      <c r="E252" s="53">
        <v>20137</v>
      </c>
      <c r="F252" s="53">
        <v>5243</v>
      </c>
      <c r="G252" s="53">
        <v>5540</v>
      </c>
      <c r="H252" s="1"/>
      <c r="I252" s="1"/>
      <c r="J252" s="1"/>
      <c r="K252" s="1"/>
      <c r="L252" s="1"/>
      <c r="M252" s="4" t="s">
        <v>998</v>
      </c>
    </row>
    <row r="253" ht="15" customHeight="1">
      <c r="A253" s="1"/>
      <c r="B253" s="1" t="s">
        <v>1021</v>
      </c>
      <c r="C253" s="53">
        <v>3722</v>
      </c>
      <c r="D253" s="53">
        <v>3753</v>
      </c>
      <c r="E253" s="53">
        <v>14430</v>
      </c>
      <c r="F253" s="53">
        <v>3763</v>
      </c>
      <c r="G253" s="53">
        <v>3795</v>
      </c>
      <c r="H253" s="1"/>
      <c r="I253" s="1"/>
      <c r="J253" s="1"/>
      <c r="K253" s="1"/>
      <c r="L253" s="1"/>
      <c r="M253" s="4" t="s">
        <v>998</v>
      </c>
    </row>
    <row r="254" ht="15" customHeight="1">
      <c r="A254" s="1"/>
      <c r="B254" s="1" t="s">
        <v>1022</v>
      </c>
      <c r="C254" s="53">
        <v>806</v>
      </c>
      <c r="D254" s="53">
        <v>815</v>
      </c>
      <c r="E254" s="53">
        <v>3140</v>
      </c>
      <c r="F254" s="53">
        <v>757</v>
      </c>
      <c r="G254" s="53">
        <v>782</v>
      </c>
      <c r="H254" s="1"/>
      <c r="I254" s="1"/>
      <c r="J254" s="1"/>
      <c r="K254" s="1"/>
      <c r="L254" s="1"/>
      <c r="M254" s="4" t="s">
        <v>998</v>
      </c>
    </row>
    <row r="255" ht="15" customHeight="1">
      <c r="A255" s="1"/>
      <c r="B255" s="1" t="s">
        <v>1023</v>
      </c>
      <c r="C255" s="53">
        <v>812</v>
      </c>
      <c r="D255" s="53">
        <v>784</v>
      </c>
      <c r="E255" s="53">
        <v>3029</v>
      </c>
      <c r="F255" s="53">
        <v>631</v>
      </c>
      <c r="G255" s="53">
        <v>829</v>
      </c>
      <c r="H255" s="1"/>
      <c r="I255" s="1"/>
      <c r="J255" s="1"/>
      <c r="K255" s="1"/>
      <c r="L255" s="1"/>
      <c r="M255" s="4" t="s">
        <v>998</v>
      </c>
    </row>
    <row r="256" ht="15" customHeight="1">
      <c r="A256" s="1"/>
      <c r="B256" s="1" t="s">
        <v>1024</v>
      </c>
      <c r="C256" s="53">
        <v>3570</v>
      </c>
      <c r="D256" s="53">
        <v>3816</v>
      </c>
      <c r="E256" s="53">
        <v>14329</v>
      </c>
      <c r="F256" s="53">
        <v>3882</v>
      </c>
      <c r="G256" s="53">
        <v>3967</v>
      </c>
      <c r="H256" s="1"/>
      <c r="I256" s="1"/>
      <c r="J256" s="1"/>
      <c r="K256" s="1"/>
      <c r="L256" s="1"/>
      <c r="M256" s="4" t="s">
        <v>998</v>
      </c>
    </row>
    <row r="257" ht="15" customHeight="1">
      <c r="A257" s="1"/>
      <c r="B257" s="1" t="s">
        <v>1025</v>
      </c>
      <c r="C257" s="53">
        <v>755</v>
      </c>
      <c r="D257" s="53">
        <v>813</v>
      </c>
      <c r="E257" s="53">
        <v>3051</v>
      </c>
      <c r="F257" s="53">
        <v>765</v>
      </c>
      <c r="G257" s="53">
        <v>800</v>
      </c>
      <c r="H257" s="1"/>
      <c r="I257" s="1"/>
      <c r="J257" s="1"/>
      <c r="K257" s="1"/>
      <c r="L257" s="1"/>
      <c r="M257" s="4" t="s">
        <v>998</v>
      </c>
    </row>
    <row r="258" ht="15" customHeight="1">
      <c r="A258" s="1"/>
      <c r="B258" s="1" t="s">
        <v>1026</v>
      </c>
      <c r="C258" s="53">
        <v>1148</v>
      </c>
      <c r="D258" s="53">
        <v>1294</v>
      </c>
      <c r="E258" s="53">
        <v>4641</v>
      </c>
      <c r="F258" s="53">
        <v>1239</v>
      </c>
      <c r="G258" s="53">
        <v>1281</v>
      </c>
      <c r="H258" s="1"/>
      <c r="I258" s="1"/>
      <c r="J258" s="1"/>
      <c r="K258" s="1"/>
      <c r="L258" s="1"/>
      <c r="M258" s="4" t="s">
        <v>998</v>
      </c>
    </row>
    <row r="259" ht="15" customHeight="1">
      <c r="A259" s="1"/>
      <c r="B259" s="1" t="s">
        <v>1027</v>
      </c>
      <c r="C259" s="53">
        <v>162.3</v>
      </c>
      <c r="D259" s="53">
        <v>174</v>
      </c>
      <c r="E259" s="53">
        <v>654.8</v>
      </c>
      <c r="F259" s="53">
        <v>164.3</v>
      </c>
      <c r="G259" s="53">
        <v>176.5</v>
      </c>
      <c r="H259" s="1"/>
      <c r="I259" s="1"/>
      <c r="J259" s="1"/>
      <c r="K259" s="1"/>
      <c r="L259" s="1"/>
      <c r="M259" s="4" t="s">
        <v>998</v>
      </c>
    </row>
    <row r="260" ht="15" customHeight="1">
      <c r="A260" s="1"/>
      <c r="B260" s="1" t="s">
        <v>1028</v>
      </c>
      <c r="C260" s="53">
        <v>45.7</v>
      </c>
      <c r="D260" s="53">
        <v>46.3</v>
      </c>
      <c r="E260" s="53">
        <v>46.3</v>
      </c>
      <c r="F260" s="53">
        <v>46.8</v>
      </c>
      <c r="G260" s="53">
        <v>47.3</v>
      </c>
      <c r="H260" s="1"/>
      <c r="I260" s="1"/>
      <c r="J260" s="1"/>
      <c r="K260" s="1"/>
      <c r="L260" s="1"/>
      <c r="M260" s="4" t="s">
        <v>998</v>
      </c>
    </row>
    <row r="261" ht="15" customHeight="1">
      <c r="A261" s="1"/>
      <c r="B261" s="1" t="s">
        <v>1029</v>
      </c>
      <c r="C261" s="55">
        <v>5091</v>
      </c>
      <c r="D261" s="55">
        <v>5387</v>
      </c>
      <c r="E261" s="55">
        <v>20707</v>
      </c>
      <c r="F261" s="55">
        <v>5014</v>
      </c>
      <c r="G261" s="55">
        <v>5322</v>
      </c>
      <c r="H261" s="1"/>
      <c r="I261" s="1"/>
      <c r="J261" s="1"/>
      <c r="K261" s="1"/>
      <c r="L261" s="1"/>
      <c r="M261" s="4" t="s">
        <v>998</v>
      </c>
    </row>
    <row r="262" ht="15" customHeight="1">
      <c r="A262" s="1"/>
      <c r="B262" s="1" t="s">
        <v>1030</v>
      </c>
      <c r="C262" s="53">
        <v>99920</v>
      </c>
      <c r="D262" s="53">
        <v>107051</v>
      </c>
      <c r="E262" s="53">
        <v>107051</v>
      </c>
      <c r="F262" s="53">
        <v>102896</v>
      </c>
      <c r="G262" s="53">
        <v>105784</v>
      </c>
      <c r="H262" s="1"/>
      <c r="I262" s="1"/>
      <c r="J262" s="1"/>
      <c r="K262" s="1"/>
      <c r="L262" s="1"/>
      <c r="M262" s="4" t="s">
        <v>998</v>
      </c>
    </row>
    <row r="263" ht="15" customHeight="1">
      <c r="A263" s="1"/>
      <c r="B263" s="1" t="s">
        <v>1031</v>
      </c>
      <c r="C263" s="81">
        <v>0.024</v>
      </c>
      <c r="D263" s="81">
        <v>0.024</v>
      </c>
      <c r="E263" s="81">
        <v>0.025</v>
      </c>
      <c r="F263" s="81">
        <v>0.027</v>
      </c>
      <c r="G263" s="81">
        <v>0.024</v>
      </c>
      <c r="H263" s="1"/>
      <c r="I263" s="1"/>
      <c r="J263" s="1"/>
      <c r="K263" s="1"/>
      <c r="L263" s="1"/>
      <c r="M263" s="4" t="s">
        <v>998</v>
      </c>
    </row>
    <row r="264" ht="15" customHeight="1">
      <c r="A264" s="1"/>
      <c r="B264" s="1" t="s">
        <v>1032</v>
      </c>
      <c r="C264" s="81">
        <v>0.013</v>
      </c>
      <c r="D264" s="81">
        <v>0.013</v>
      </c>
      <c r="E264" s="81">
        <v>0.013</v>
      </c>
      <c r="F264" s="81">
        <v>0.013</v>
      </c>
      <c r="G264" s="81">
        <v>0.012</v>
      </c>
      <c r="H264" s="1"/>
      <c r="I264" s="1"/>
      <c r="J264" s="1"/>
      <c r="K264" s="1"/>
      <c r="L264" s="1"/>
      <c r="M264" s="4" t="s">
        <v>998</v>
      </c>
    </row>
    <row r="265" ht="15" customHeight="1">
      <c r="A265" s="1"/>
      <c r="B265" s="1" t="s">
        <v>1033</v>
      </c>
      <c r="C265" s="53">
        <v>32.1</v>
      </c>
      <c r="D265" s="53">
        <v>32.5</v>
      </c>
      <c r="E265" s="53">
        <v>32.5</v>
      </c>
      <c r="F265" s="53">
        <v>33</v>
      </c>
      <c r="G265" s="53">
        <v>33.4</v>
      </c>
      <c r="H265" s="1"/>
      <c r="I265" s="1"/>
      <c r="J265" s="1"/>
      <c r="K265" s="1"/>
      <c r="L265" s="1"/>
      <c r="M265" s="4" t="s">
        <v>998</v>
      </c>
    </row>
    <row r="266" ht="15" customHeight="1">
      <c r="A266" s="1"/>
      <c r="B266" s="1" t="s">
        <v>1034</v>
      </c>
      <c r="C266" s="19" t="s">
        <v>35</v>
      </c>
      <c r="D266" s="53">
        <v>102752</v>
      </c>
      <c r="E266" s="53">
        <v>98928</v>
      </c>
      <c r="F266" s="53">
        <v>103237</v>
      </c>
      <c r="G266" s="53">
        <v>104488</v>
      </c>
      <c r="H266" s="1"/>
      <c r="I266" s="1"/>
      <c r="J266" s="1"/>
      <c r="K266" s="1"/>
      <c r="L266" s="1"/>
      <c r="M266" s="4" t="s">
        <v>1035</v>
      </c>
    </row>
    <row r="267" ht="15" customHeight="1">
      <c r="A267" s="1"/>
      <c r="B267" s="1" t="s">
        <v>1036</v>
      </c>
      <c r="C267" s="16">
        <f>Inputs!C253-Inputs!C254</f>
        <v>2916</v>
      </c>
      <c r="D267" s="16">
        <f>Inputs!D253-Inputs!D254</f>
        <v>2938</v>
      </c>
      <c r="E267" s="16">
        <f>Inputs!E253-Inputs!E254</f>
        <v>11290</v>
      </c>
      <c r="F267" s="16">
        <f>Inputs!F253-Inputs!F254</f>
        <v>3006</v>
      </c>
      <c r="G267" s="16">
        <f>Inputs!G253-Inputs!G254</f>
        <v>3013</v>
      </c>
      <c r="H267" s="1"/>
      <c r="I267" s="1"/>
      <c r="J267" s="1"/>
      <c r="K267" s="1"/>
      <c r="L267" s="1"/>
      <c r="M267" s="1"/>
    </row>
    <row r="268" ht="15" customHeight="1">
      <c r="A268" s="1"/>
      <c r="B268" s="1" t="s">
        <v>1037</v>
      </c>
      <c r="C268" s="16">
        <f>Inputs!C252+Inputs!C267</f>
        <v>7944</v>
      </c>
      <c r="D268" s="16">
        <f>Inputs!D252+Inputs!D267</f>
        <v>8252</v>
      </c>
      <c r="E268" s="16">
        <f>Inputs!E252+Inputs!E267</f>
        <v>31427</v>
      </c>
      <c r="F268" s="16">
        <f>Inputs!F252+Inputs!F267</f>
        <v>8249</v>
      </c>
      <c r="G268" s="16">
        <f>Inputs!G252+Inputs!G267</f>
        <v>8553</v>
      </c>
      <c r="H268" s="1"/>
      <c r="I268" s="1"/>
      <c r="J268" s="1"/>
      <c r="K268" s="1"/>
      <c r="L268" s="1"/>
      <c r="M268" s="1"/>
    </row>
    <row r="269" ht="15" customHeight="1">
      <c r="A269" s="1"/>
      <c r="B269" s="1" t="s">
        <v>1038</v>
      </c>
      <c r="C269" s="16">
        <f>Inputs!C256+Inputs!C257+Inputs!C258</f>
        <v>5473</v>
      </c>
      <c r="D269" s="16">
        <f>Inputs!D256+Inputs!D257+Inputs!D258</f>
        <v>5923</v>
      </c>
      <c r="E269" s="16">
        <f>Inputs!E256+Inputs!E257+Inputs!E258</f>
        <v>22021</v>
      </c>
      <c r="F269" s="16">
        <f>Inputs!F256+Inputs!F257+Inputs!F258</f>
        <v>5886</v>
      </c>
      <c r="G269" s="16">
        <f>Inputs!G256+Inputs!G257+Inputs!G258</f>
        <v>6048</v>
      </c>
      <c r="H269" s="1"/>
      <c r="I269" s="1"/>
      <c r="J269" s="1"/>
      <c r="K269" s="1"/>
      <c r="L269" s="1"/>
      <c r="M269" s="1"/>
    </row>
    <row r="270" ht="15" customHeight="1">
      <c r="A270" s="1"/>
      <c r="B270" s="1" t="s">
        <v>1039</v>
      </c>
      <c r="C270" s="16">
        <f>Inputs!C268-Inputs!C255-Inputs!C269</f>
        <v>1659</v>
      </c>
      <c r="D270" s="16">
        <f>Inputs!D268-Inputs!D255-Inputs!D269</f>
        <v>1545</v>
      </c>
      <c r="E270" s="16">
        <f>Inputs!E268-Inputs!E255-Inputs!E269</f>
        <v>6377</v>
      </c>
      <c r="F270" s="16">
        <f>Inputs!F268-Inputs!F255-Inputs!F269</f>
        <v>1732</v>
      </c>
      <c r="G270" s="16">
        <f>Inputs!G268-Inputs!G255-Inputs!G269</f>
        <v>1676</v>
      </c>
      <c r="H270" s="1"/>
      <c r="I270" s="1"/>
      <c r="J270" s="1"/>
      <c r="K270" s="1"/>
      <c r="L270" s="1"/>
      <c r="M270" s="1"/>
    </row>
    <row r="271" ht="15" customHeight="1">
      <c r="A271" s="1"/>
      <c r="B271" s="1" t="s">
        <v>1040</v>
      </c>
      <c r="C271" s="82">
        <f>Inputs!C270/Inputs!C268</f>
        <v>0.2088368580060423</v>
      </c>
      <c r="D271" s="82">
        <f>Inputs!D270/Inputs!D268</f>
        <v>0.18722733882695103</v>
      </c>
      <c r="E271" s="82">
        <f>Inputs!E270/Inputs!E268</f>
        <v>0.2029146911891049</v>
      </c>
      <c r="F271" s="82">
        <f>Inputs!F270/Inputs!F268</f>
        <v>0.20996484422354225</v>
      </c>
      <c r="G271" s="82">
        <f>Inputs!G270/Inputs!G268</f>
        <v>0.19595463580030398</v>
      </c>
      <c r="H271" s="1"/>
      <c r="I271" s="1"/>
      <c r="J271" s="1"/>
      <c r="K271" s="1"/>
      <c r="L271" s="1"/>
      <c r="M271" s="1"/>
    </row>
    <row r="272" ht="15" customHeight="1">
      <c r="A272" s="1"/>
      <c r="B272" s="1" t="s">
        <v>1041</v>
      </c>
      <c r="C272" s="16">
        <f>Inputs!C252/Inputs!C259*10</f>
        <v>309.7966728280961</v>
      </c>
      <c r="D272" s="16">
        <f>Inputs!D252/Inputs!D259*10</f>
        <v>305.4022988505747</v>
      </c>
      <c r="E272" s="16">
        <f>Inputs!E252/Inputs!E259*10</f>
        <v>307.52901649358586</v>
      </c>
      <c r="F272" s="16">
        <f>Inputs!F252/Inputs!F259*10</f>
        <v>319.11138161898964</v>
      </c>
      <c r="G272" s="16">
        <f>Inputs!G252/Inputs!G259*10</f>
        <v>313.8810198300283</v>
      </c>
      <c r="H272" s="1"/>
      <c r="I272" s="1"/>
      <c r="J272" s="1"/>
      <c r="K272" s="1"/>
      <c r="L272" s="1"/>
      <c r="M272" s="1"/>
    </row>
    <row r="273" ht="15" customHeight="1">
      <c r="A273" s="1"/>
      <c r="B273" s="1" t="s">
        <v>1042</v>
      </c>
      <c r="C273" s="16">
        <f>Inputs!C256/Inputs!C259*10</f>
        <v>219.9630314232902</v>
      </c>
      <c r="D273" s="16">
        <f>Inputs!D256/Inputs!D259*10</f>
        <v>219.3103448275862</v>
      </c>
      <c r="E273" s="16">
        <f>Inputs!E256/Inputs!E259*10</f>
        <v>218.83017715332926</v>
      </c>
      <c r="F273" s="16">
        <f>Inputs!F256/Inputs!F259*10</f>
        <v>236.27510651247715</v>
      </c>
      <c r="G273" s="16">
        <f>Inputs!G256/Inputs!G259*10</f>
        <v>224.75920679886684</v>
      </c>
      <c r="H273" s="1"/>
      <c r="I273" s="1"/>
      <c r="J273" s="1"/>
      <c r="K273" s="1"/>
      <c r="L273" s="1"/>
      <c r="M273" s="1"/>
    </row>
    <row r="274" ht="15" customHeight="1">
      <c r="A274" s="1"/>
      <c r="B274" s="1" t="s">
        <v>1043</v>
      </c>
      <c r="C274" s="19" t="s">
        <v>35</v>
      </c>
      <c r="D274" s="82">
        <f>Inputs!D267/Inputs!D266*365/Inputs!D205</f>
        <v>0.11344008537229362</v>
      </c>
      <c r="E274" s="82">
        <f>Inputs!E267/Inputs!E266*365/Inputs!E205</f>
        <v>0.11381159030268964</v>
      </c>
      <c r="F274" s="82">
        <f>Inputs!F267/Inputs!F266*365/Inputs!F205</f>
        <v>0.11808750738591785</v>
      </c>
      <c r="G274" s="82">
        <f>Inputs!G267/Inputs!G266*365/Inputs!G205</f>
        <v>0.11566026615601686</v>
      </c>
      <c r="H274" s="1"/>
      <c r="I274" s="1"/>
      <c r="J274" s="1"/>
      <c r="K274" s="1"/>
      <c r="L274" s="1"/>
      <c r="M274" s="1"/>
    </row>
    <row r="275" ht="15" customHeight="1">
      <c r="A275" s="1"/>
      <c r="B275" s="1" t="s">
        <v>1044</v>
      </c>
      <c r="C275" s="19" t="s">
        <v>35</v>
      </c>
      <c r="D275" s="82">
        <f>Inputs!D255/Inputs!D266*365/Inputs!D205</f>
        <v>0.030271282141551458</v>
      </c>
      <c r="E275" s="82">
        <f>Inputs!E255/Inputs!E266*365/Inputs!E205</f>
        <v>0.030534571038693257</v>
      </c>
      <c r="F275" s="82">
        <f>Inputs!F255/Inputs!F266*365/Inputs!F205</f>
        <v>0.024788162728048624</v>
      </c>
      <c r="G275" s="82">
        <f>Inputs!G255/Inputs!G266*365/Inputs!G205</f>
        <v>0.03182288770107467</v>
      </c>
      <c r="H275" s="1"/>
      <c r="I275" s="1"/>
      <c r="J275" s="1"/>
      <c r="K275" s="1"/>
      <c r="L275" s="1"/>
      <c r="M275" s="1"/>
    </row>
    <row r="276" ht="15" customHeight="1">
      <c r="A276" s="1"/>
      <c r="B276" s="1" t="s">
        <v>1045</v>
      </c>
      <c r="C276" s="53">
        <v>3304</v>
      </c>
      <c r="D276" s="53">
        <v>3388</v>
      </c>
      <c r="E276" s="53">
        <v>13219</v>
      </c>
      <c r="F276" s="53">
        <v>3265</v>
      </c>
      <c r="G276" s="53">
        <v>3422</v>
      </c>
      <c r="H276" s="1"/>
      <c r="I276" s="1"/>
      <c r="J276" s="1"/>
      <c r="K276" s="1"/>
      <c r="L276" s="1"/>
      <c r="M276" s="4" t="s">
        <v>998</v>
      </c>
    </row>
    <row r="277" ht="15" customHeight="1">
      <c r="A277" s="1"/>
      <c r="B277" s="1" t="s">
        <v>1046</v>
      </c>
      <c r="C277" s="53">
        <v>1142</v>
      </c>
      <c r="D277" s="53">
        <v>1176</v>
      </c>
      <c r="E277" s="53">
        <v>4374</v>
      </c>
      <c r="F277" s="53">
        <v>1202</v>
      </c>
      <c r="G277" s="53">
        <v>1240</v>
      </c>
      <c r="H277" s="1"/>
      <c r="I277" s="1"/>
      <c r="J277" s="1"/>
      <c r="K277" s="1"/>
      <c r="L277" s="1"/>
      <c r="M277" s="4" t="s">
        <v>998</v>
      </c>
    </row>
    <row r="278" ht="15" customHeight="1">
      <c r="A278" s="1"/>
      <c r="B278" s="1" t="s">
        <v>1047</v>
      </c>
      <c r="C278" s="53">
        <v>448</v>
      </c>
      <c r="D278" s="53">
        <v>442</v>
      </c>
      <c r="E278" s="53">
        <v>1734</v>
      </c>
      <c r="F278" s="53">
        <v>432</v>
      </c>
      <c r="G278" s="53">
        <v>450</v>
      </c>
      <c r="H278" s="1"/>
      <c r="I278" s="1"/>
      <c r="J278" s="1"/>
      <c r="K278" s="1"/>
      <c r="L278" s="1"/>
      <c r="M278" s="4" t="s">
        <v>998</v>
      </c>
    </row>
    <row r="279" ht="15" customHeight="1">
      <c r="A279" s="1"/>
      <c r="B279" s="1" t="s">
        <v>1048</v>
      </c>
      <c r="C279" s="53">
        <v>374</v>
      </c>
      <c r="D279" s="53">
        <v>311</v>
      </c>
      <c r="E279" s="53">
        <v>1389</v>
      </c>
      <c r="F279" s="53">
        <v>329</v>
      </c>
      <c r="G279" s="53">
        <v>360</v>
      </c>
      <c r="H279" s="1"/>
      <c r="I279" s="1"/>
      <c r="J279" s="1"/>
      <c r="K279" s="1"/>
      <c r="L279" s="1"/>
      <c r="M279" s="4" t="s">
        <v>998</v>
      </c>
    </row>
    <row r="280" ht="15" customHeight="1">
      <c r="A280" s="1"/>
      <c r="B280" s="1" t="s">
        <v>1049</v>
      </c>
      <c r="C280" s="53">
        <v>1627</v>
      </c>
      <c r="D280" s="53">
        <v>1751</v>
      </c>
      <c r="E280" s="53">
        <v>6504</v>
      </c>
      <c r="F280" s="53">
        <v>1746</v>
      </c>
      <c r="G280" s="53">
        <v>1790</v>
      </c>
      <c r="H280" s="1"/>
      <c r="I280" s="1"/>
      <c r="J280" s="1"/>
      <c r="K280" s="1"/>
      <c r="L280" s="1"/>
      <c r="M280" s="4" t="s">
        <v>998</v>
      </c>
    </row>
    <row r="281" ht="15" customHeight="1">
      <c r="A281" s="1"/>
      <c r="B281" s="1" t="s">
        <v>1050</v>
      </c>
      <c r="C281" s="53">
        <v>308</v>
      </c>
      <c r="D281" s="53">
        <v>360</v>
      </c>
      <c r="E281" s="53">
        <v>1319</v>
      </c>
      <c r="F281" s="53">
        <v>337</v>
      </c>
      <c r="G281" s="53">
        <v>331</v>
      </c>
      <c r="H281" s="1"/>
      <c r="I281" s="1"/>
      <c r="J281" s="1"/>
      <c r="K281" s="1"/>
      <c r="L281" s="1"/>
      <c r="M281" s="4" t="s">
        <v>998</v>
      </c>
    </row>
    <row r="282" ht="15" customHeight="1">
      <c r="A282" s="1"/>
      <c r="B282" s="1" t="s">
        <v>1051</v>
      </c>
      <c r="C282" s="53">
        <v>781</v>
      </c>
      <c r="D282" s="53">
        <v>886</v>
      </c>
      <c r="E282" s="53">
        <v>3142</v>
      </c>
      <c r="F282" s="53">
        <v>787</v>
      </c>
      <c r="G282" s="53">
        <v>826</v>
      </c>
      <c r="H282" s="1"/>
      <c r="I282" s="1"/>
      <c r="J282" s="1"/>
      <c r="K282" s="1"/>
      <c r="L282" s="1"/>
      <c r="M282" s="4" t="s">
        <v>998</v>
      </c>
    </row>
    <row r="283" ht="15" customHeight="1">
      <c r="A283" s="1"/>
      <c r="B283" s="1" t="s">
        <v>1052</v>
      </c>
      <c r="C283" s="53">
        <v>131</v>
      </c>
      <c r="D283" s="53">
        <v>136</v>
      </c>
      <c r="E283" s="53">
        <v>526.5</v>
      </c>
      <c r="F283" s="53">
        <v>129.2</v>
      </c>
      <c r="G283" s="53">
        <v>135.5</v>
      </c>
      <c r="H283" s="1"/>
      <c r="I283" s="1"/>
      <c r="J283" s="1"/>
      <c r="K283" s="1"/>
      <c r="L283" s="1"/>
      <c r="M283" s="4" t="s">
        <v>998</v>
      </c>
    </row>
    <row r="284" ht="15" customHeight="1">
      <c r="A284" s="1"/>
      <c r="B284" s="1" t="s">
        <v>1053</v>
      </c>
      <c r="C284" s="53">
        <v>15.5</v>
      </c>
      <c r="D284" s="53">
        <v>15.4</v>
      </c>
      <c r="E284" s="53">
        <v>15.4</v>
      </c>
      <c r="F284" s="53">
        <v>15.5</v>
      </c>
      <c r="G284" s="53">
        <v>15.4</v>
      </c>
      <c r="H284" s="1"/>
      <c r="I284" s="1"/>
      <c r="J284" s="1"/>
      <c r="K284" s="1"/>
      <c r="L284" s="1"/>
      <c r="M284" s="4" t="s">
        <v>998</v>
      </c>
    </row>
    <row r="285" ht="15" customHeight="1">
      <c r="A285" s="1"/>
      <c r="B285" s="1" t="s">
        <v>1054</v>
      </c>
      <c r="C285" s="55">
        <v>8474</v>
      </c>
      <c r="D285" s="55">
        <v>8804</v>
      </c>
      <c r="E285" s="55">
        <v>34130</v>
      </c>
      <c r="F285" s="55">
        <v>8380</v>
      </c>
      <c r="G285" s="55">
        <v>8782</v>
      </c>
      <c r="H285" s="1"/>
      <c r="I285" s="1"/>
      <c r="J285" s="1"/>
      <c r="K285" s="1"/>
      <c r="L285" s="1"/>
      <c r="M285" s="4" t="s">
        <v>998</v>
      </c>
    </row>
    <row r="286" ht="15" customHeight="1">
      <c r="A286" s="1"/>
      <c r="B286" s="1" t="s">
        <v>1055</v>
      </c>
      <c r="C286" s="53">
        <v>56210</v>
      </c>
      <c r="D286" s="53">
        <v>54592</v>
      </c>
      <c r="E286" s="53">
        <v>54592</v>
      </c>
      <c r="F286" s="53">
        <v>57412</v>
      </c>
      <c r="G286" s="53">
        <v>55098</v>
      </c>
      <c r="H286" s="1"/>
      <c r="I286" s="1"/>
      <c r="J286" s="1"/>
      <c r="K286" s="1"/>
      <c r="L286" s="1"/>
      <c r="M286" s="4" t="s">
        <v>998</v>
      </c>
    </row>
    <row r="287" ht="15" customHeight="1">
      <c r="A287" s="1"/>
      <c r="B287" s="1" t="s">
        <v>1056</v>
      </c>
      <c r="C287" s="81">
        <v>0.02</v>
      </c>
      <c r="D287" s="81">
        <v>0.02</v>
      </c>
      <c r="E287" s="81">
        <v>0.02</v>
      </c>
      <c r="F287" s="81">
        <v>0.022</v>
      </c>
      <c r="G287" s="81">
        <v>0.022</v>
      </c>
      <c r="H287" s="1"/>
      <c r="I287" s="1"/>
      <c r="J287" s="1"/>
      <c r="K287" s="1"/>
      <c r="L287" s="1"/>
      <c r="M287" s="4" t="s">
        <v>998</v>
      </c>
    </row>
    <row r="288" ht="15" customHeight="1">
      <c r="A288" s="1"/>
      <c r="B288" s="1" t="s">
        <v>1057</v>
      </c>
      <c r="C288" s="81">
        <v>0.014</v>
      </c>
      <c r="D288" s="81">
        <v>0.015</v>
      </c>
      <c r="E288" s="81">
        <v>0.015</v>
      </c>
      <c r="F288" s="81">
        <v>0.015</v>
      </c>
      <c r="G288" s="81">
        <v>0.015</v>
      </c>
      <c r="H288" s="1"/>
      <c r="I288" s="1"/>
      <c r="J288" s="1"/>
      <c r="K288" s="1"/>
      <c r="L288" s="1"/>
      <c r="M288" s="4" t="s">
        <v>998</v>
      </c>
    </row>
    <row r="289" ht="15" customHeight="1">
      <c r="A289" s="1"/>
      <c r="B289" s="1" t="s">
        <v>1058</v>
      </c>
      <c r="C289" s="19" t="s">
        <v>35</v>
      </c>
      <c r="D289" s="53">
        <v>56269</v>
      </c>
      <c r="E289" s="53">
        <v>54362</v>
      </c>
      <c r="F289" s="53">
        <v>55538</v>
      </c>
      <c r="G289" s="53">
        <v>57113</v>
      </c>
      <c r="H289" s="1"/>
      <c r="I289" s="1"/>
      <c r="J289" s="1"/>
      <c r="K289" s="1"/>
      <c r="L289" s="1"/>
      <c r="M289" s="4" t="s">
        <v>1035</v>
      </c>
    </row>
    <row r="290" ht="15" customHeight="1">
      <c r="A290" s="1"/>
      <c r="B290" s="1" t="s">
        <v>1059</v>
      </c>
      <c r="C290" s="16">
        <f>Inputs!C277-Inputs!C278</f>
        <v>694</v>
      </c>
      <c r="D290" s="16">
        <f>Inputs!D277-Inputs!D278</f>
        <v>734</v>
      </c>
      <c r="E290" s="16">
        <f>Inputs!E277-Inputs!E278</f>
        <v>2640</v>
      </c>
      <c r="F290" s="16">
        <f>Inputs!F277-Inputs!F278</f>
        <v>770</v>
      </c>
      <c r="G290" s="16">
        <f>Inputs!G277-Inputs!G278</f>
        <v>790</v>
      </c>
      <c r="H290" s="1"/>
      <c r="I290" s="1"/>
      <c r="J290" s="1"/>
      <c r="K290" s="1"/>
      <c r="L290" s="1"/>
      <c r="M290" s="1"/>
    </row>
    <row r="291" ht="15" customHeight="1">
      <c r="A291" s="1"/>
      <c r="B291" s="1" t="s">
        <v>1060</v>
      </c>
      <c r="C291" s="16">
        <f>Inputs!C276+Inputs!C290</f>
        <v>3998</v>
      </c>
      <c r="D291" s="16">
        <f>Inputs!D276+Inputs!D290</f>
        <v>4122</v>
      </c>
      <c r="E291" s="16">
        <f>Inputs!E276+Inputs!E290</f>
        <v>15859</v>
      </c>
      <c r="F291" s="16">
        <f>Inputs!F276+Inputs!F290</f>
        <v>4035</v>
      </c>
      <c r="G291" s="16">
        <f>Inputs!G276+Inputs!G290</f>
        <v>4212</v>
      </c>
      <c r="H291" s="1"/>
      <c r="I291" s="1"/>
      <c r="J291" s="1"/>
      <c r="K291" s="1"/>
      <c r="L291" s="1"/>
      <c r="M291" s="1"/>
    </row>
    <row r="292" ht="15" customHeight="1">
      <c r="A292" s="1"/>
      <c r="B292" s="1" t="s">
        <v>1061</v>
      </c>
      <c r="C292" s="16">
        <f>Inputs!C280+Inputs!C281+Inputs!C282</f>
        <v>2716</v>
      </c>
      <c r="D292" s="16">
        <f>Inputs!D280+Inputs!D281+Inputs!D282</f>
        <v>2997</v>
      </c>
      <c r="E292" s="16">
        <f>Inputs!E280+Inputs!E281+Inputs!E282</f>
        <v>10965</v>
      </c>
      <c r="F292" s="16">
        <f>Inputs!F280+Inputs!F281+Inputs!F282</f>
        <v>2870</v>
      </c>
      <c r="G292" s="16">
        <f>Inputs!G280+Inputs!G281+Inputs!G282</f>
        <v>2947</v>
      </c>
      <c r="H292" s="1"/>
      <c r="I292" s="1"/>
      <c r="J292" s="1"/>
      <c r="K292" s="1"/>
      <c r="L292" s="1"/>
      <c r="M292" s="1"/>
    </row>
    <row r="293" ht="15" customHeight="1">
      <c r="A293" s="1"/>
      <c r="B293" s="1" t="s">
        <v>1062</v>
      </c>
      <c r="C293" s="16">
        <f>Inputs!C291-Inputs!C279-Inputs!C292</f>
        <v>908</v>
      </c>
      <c r="D293" s="16">
        <f>Inputs!D291-Inputs!D279-Inputs!D292</f>
        <v>814</v>
      </c>
      <c r="E293" s="16">
        <f>Inputs!E291-Inputs!E279-Inputs!E292</f>
        <v>3505</v>
      </c>
      <c r="F293" s="16">
        <f>Inputs!F291-Inputs!F279-Inputs!F292</f>
        <v>836</v>
      </c>
      <c r="G293" s="16">
        <f>Inputs!G291-Inputs!G279-Inputs!G292</f>
        <v>905</v>
      </c>
      <c r="H293" s="1"/>
      <c r="I293" s="1"/>
      <c r="J293" s="1"/>
      <c r="K293" s="1"/>
      <c r="L293" s="1"/>
      <c r="M293" s="1"/>
    </row>
    <row r="294" ht="15" customHeight="1">
      <c r="A294" s="1"/>
      <c r="B294" s="1" t="s">
        <v>1063</v>
      </c>
      <c r="C294" s="82">
        <f>Inputs!C293/Inputs!C291</f>
        <v>0.2271135567783892</v>
      </c>
      <c r="D294" s="82">
        <f>Inputs!D293/Inputs!D291</f>
        <v>0.19747695293546821</v>
      </c>
      <c r="E294" s="82">
        <f>Inputs!E293/Inputs!E291</f>
        <v>0.2210101519641844</v>
      </c>
      <c r="F294" s="82">
        <f>Inputs!F293/Inputs!F291</f>
        <v>0.20718711276332094</v>
      </c>
      <c r="G294" s="82">
        <f>Inputs!G293/Inputs!G291</f>
        <v>0.21486229819563152</v>
      </c>
      <c r="H294" s="1"/>
      <c r="I294" s="1"/>
      <c r="J294" s="1"/>
      <c r="K294" s="1"/>
      <c r="L294" s="1"/>
      <c r="M294" s="1"/>
    </row>
    <row r="295" ht="15" customHeight="1">
      <c r="A295" s="1"/>
      <c r="B295" s="1" t="s">
        <v>1064</v>
      </c>
      <c r="C295" s="16">
        <f>Inputs!C276/Inputs!C283*10</f>
        <v>252.21374045801525</v>
      </c>
      <c r="D295" s="16">
        <f>Inputs!D276/Inputs!D283*10</f>
        <v>249.1176470588235</v>
      </c>
      <c r="E295" s="16">
        <f>Inputs!E276/Inputs!E283*10</f>
        <v>251.07312440645774</v>
      </c>
      <c r="F295" s="16">
        <f>Inputs!F276/Inputs!F283*10</f>
        <v>252.7089783281734</v>
      </c>
      <c r="G295" s="16">
        <f>Inputs!G276/Inputs!G283*10</f>
        <v>252.5461254612546</v>
      </c>
      <c r="H295" s="1"/>
      <c r="I295" s="1"/>
      <c r="J295" s="1"/>
      <c r="K295" s="1"/>
      <c r="L295" s="1"/>
      <c r="M295" s="1"/>
    </row>
    <row r="296" ht="15" customHeight="1">
      <c r="A296" s="1"/>
      <c r="B296" s="1" t="s">
        <v>1065</v>
      </c>
      <c r="C296" s="16">
        <f>Inputs!C280/Inputs!C283*10</f>
        <v>124.19847328244275</v>
      </c>
      <c r="D296" s="16">
        <f>Inputs!D280/Inputs!D283*10</f>
        <v>128.75</v>
      </c>
      <c r="E296" s="16">
        <f>Inputs!E280/Inputs!E283*10</f>
        <v>123.53276353276354</v>
      </c>
      <c r="F296" s="16">
        <f>Inputs!F280/Inputs!F283*10</f>
        <v>135.13931888544892</v>
      </c>
      <c r="G296" s="16">
        <f>Inputs!G280/Inputs!G283*10</f>
        <v>132.10332103321034</v>
      </c>
      <c r="H296" s="1"/>
      <c r="I296" s="1"/>
      <c r="J296" s="1"/>
      <c r="K296" s="1"/>
      <c r="L296" s="1"/>
      <c r="M296" s="1"/>
    </row>
    <row r="297" ht="15" customHeight="1">
      <c r="A297" s="1"/>
      <c r="B297" s="1" t="s">
        <v>1066</v>
      </c>
      <c r="C297" s="19" t="s">
        <v>35</v>
      </c>
      <c r="D297" s="82">
        <f>Inputs!D290/Inputs!D289*365/Inputs!D205</f>
        <v>0.05175256744195391</v>
      </c>
      <c r="E297" s="82">
        <f>Inputs!E290/Inputs!E289*365/Inputs!E205</f>
        <v>0.048430647975532565</v>
      </c>
      <c r="F297" s="82">
        <f>Inputs!F290/Inputs!F289*365/Inputs!F205</f>
        <v>0.05622776797468</v>
      </c>
      <c r="G297" s="82">
        <f>Inputs!G290/Inputs!G289*365/Inputs!G205</f>
        <v>0.05548091185336646</v>
      </c>
      <c r="H297" s="1"/>
      <c r="I297" s="1"/>
      <c r="J297" s="1"/>
      <c r="K297" s="1"/>
      <c r="L297" s="1"/>
      <c r="M297" s="1"/>
    </row>
    <row r="298" ht="15" customHeight="1">
      <c r="A298" s="1"/>
      <c r="B298" s="1" t="s">
        <v>1067</v>
      </c>
      <c r="C298" s="19" t="s">
        <v>35</v>
      </c>
      <c r="D298" s="82">
        <f>Inputs!D279/Inputs!D289*365/Inputs!D205</f>
        <v>0.021927858957013165</v>
      </c>
      <c r="E298" s="82">
        <f>Inputs!E279/Inputs!E289*365/Inputs!E205</f>
        <v>0.02548112501439952</v>
      </c>
      <c r="F298" s="82">
        <f>Inputs!F279/Inputs!F289*365/Inputs!F205</f>
        <v>0.024024591770999637</v>
      </c>
      <c r="G298" s="82">
        <f>Inputs!G279/Inputs!G289*365/Inputs!G205</f>
        <v>0.025282440844572054</v>
      </c>
      <c r="H298" s="1"/>
      <c r="I298" s="1"/>
      <c r="J298" s="1"/>
      <c r="K298" s="1"/>
      <c r="L298" s="1"/>
      <c r="M298" s="1"/>
    </row>
    <row r="299" ht="15" customHeight="1">
      <c r="A299" s="1"/>
      <c r="B299" s="1" t="s">
        <v>1068</v>
      </c>
      <c r="C299" s="53">
        <v>2659</v>
      </c>
      <c r="D299" s="53">
        <v>2725</v>
      </c>
      <c r="E299" s="53">
        <v>10369</v>
      </c>
      <c r="F299" s="53">
        <v>2646</v>
      </c>
      <c r="G299" s="53">
        <v>2947</v>
      </c>
      <c r="H299" s="1"/>
      <c r="I299" s="1"/>
      <c r="J299" s="1"/>
      <c r="K299" s="1"/>
      <c r="L299" s="1"/>
      <c r="M299" s="4" t="s">
        <v>998</v>
      </c>
    </row>
    <row r="300" ht="15" customHeight="1">
      <c r="A300" s="1"/>
      <c r="B300" s="1" t="s">
        <v>1069</v>
      </c>
      <c r="C300" s="53">
        <v>588</v>
      </c>
      <c r="D300" s="53">
        <v>583</v>
      </c>
      <c r="E300" s="53">
        <v>2331</v>
      </c>
      <c r="F300" s="53">
        <v>596</v>
      </c>
      <c r="G300" s="53">
        <v>620</v>
      </c>
      <c r="H300" s="1"/>
      <c r="I300" s="1"/>
      <c r="J300" s="1"/>
      <c r="K300" s="1"/>
      <c r="L300" s="1"/>
      <c r="M300" s="4" t="s">
        <v>998</v>
      </c>
    </row>
    <row r="301" ht="15" customHeight="1">
      <c r="A301" s="1"/>
      <c r="B301" s="1" t="s">
        <v>1070</v>
      </c>
      <c r="C301" s="53">
        <v>311</v>
      </c>
      <c r="D301" s="53">
        <v>318</v>
      </c>
      <c r="E301" s="53">
        <v>1239</v>
      </c>
      <c r="F301" s="53">
        <v>306</v>
      </c>
      <c r="G301" s="53">
        <v>335</v>
      </c>
      <c r="H301" s="1"/>
      <c r="I301" s="1"/>
      <c r="J301" s="1"/>
      <c r="K301" s="1"/>
      <c r="L301" s="1"/>
      <c r="M301" s="4" t="s">
        <v>998</v>
      </c>
    </row>
    <row r="302" ht="15" customHeight="1">
      <c r="A302" s="1"/>
      <c r="B302" s="1" t="s">
        <v>1071</v>
      </c>
      <c r="C302" s="53">
        <v>158</v>
      </c>
      <c r="D302" s="53">
        <v>194</v>
      </c>
      <c r="E302" s="53">
        <v>726</v>
      </c>
      <c r="F302" s="53">
        <v>192</v>
      </c>
      <c r="G302" s="53">
        <v>210</v>
      </c>
      <c r="H302" s="1"/>
      <c r="I302" s="1"/>
      <c r="J302" s="1"/>
      <c r="K302" s="1"/>
      <c r="L302" s="1"/>
      <c r="M302" s="4" t="s">
        <v>998</v>
      </c>
    </row>
    <row r="303" ht="15" customHeight="1">
      <c r="A303" s="1"/>
      <c r="B303" s="1" t="s">
        <v>1072</v>
      </c>
      <c r="C303" s="53">
        <v>1296</v>
      </c>
      <c r="D303" s="53">
        <v>1442</v>
      </c>
      <c r="E303" s="53">
        <v>5243</v>
      </c>
      <c r="F303" s="53">
        <v>1312</v>
      </c>
      <c r="G303" s="53">
        <v>1452</v>
      </c>
      <c r="H303" s="1"/>
      <c r="I303" s="1"/>
      <c r="J303" s="1"/>
      <c r="K303" s="1"/>
      <c r="L303" s="1"/>
      <c r="M303" s="4" t="s">
        <v>998</v>
      </c>
    </row>
    <row r="304" ht="15" customHeight="1">
      <c r="A304" s="1"/>
      <c r="B304" s="1" t="s">
        <v>1073</v>
      </c>
      <c r="C304" s="53">
        <v>287</v>
      </c>
      <c r="D304" s="53">
        <v>306</v>
      </c>
      <c r="E304" s="53">
        <v>1235</v>
      </c>
      <c r="F304" s="53">
        <v>300</v>
      </c>
      <c r="G304" s="53">
        <v>322</v>
      </c>
      <c r="H304" s="1"/>
      <c r="I304" s="1"/>
      <c r="J304" s="1"/>
      <c r="K304" s="1"/>
      <c r="L304" s="1"/>
      <c r="M304" s="4" t="s">
        <v>998</v>
      </c>
    </row>
    <row r="305" ht="15" customHeight="1">
      <c r="A305" s="1"/>
      <c r="B305" s="1" t="s">
        <v>1074</v>
      </c>
      <c r="C305" s="53">
        <v>740</v>
      </c>
      <c r="D305" s="53">
        <v>1014</v>
      </c>
      <c r="E305" s="53">
        <v>3226</v>
      </c>
      <c r="F305" s="53">
        <v>751</v>
      </c>
      <c r="G305" s="53">
        <v>783</v>
      </c>
      <c r="H305" s="1"/>
      <c r="I305" s="1"/>
      <c r="J305" s="1"/>
      <c r="K305" s="1"/>
      <c r="L305" s="1"/>
      <c r="M305" s="4" t="s">
        <v>998</v>
      </c>
    </row>
    <row r="306" ht="15" customHeight="1">
      <c r="A306" s="1"/>
      <c r="B306" s="1" t="s">
        <v>1075</v>
      </c>
      <c r="C306" s="53">
        <v>93.6</v>
      </c>
      <c r="D306" s="53">
        <v>97.7</v>
      </c>
      <c r="E306" s="53">
        <v>366.9</v>
      </c>
      <c r="F306" s="53">
        <v>92.9</v>
      </c>
      <c r="G306" s="53">
        <v>103.9</v>
      </c>
      <c r="H306" s="1"/>
      <c r="I306" s="1"/>
      <c r="J306" s="1"/>
      <c r="K306" s="1"/>
      <c r="L306" s="1"/>
      <c r="M306" s="4" t="s">
        <v>998</v>
      </c>
    </row>
    <row r="307" ht="15" customHeight="1">
      <c r="A307" s="1"/>
      <c r="B307" s="1" t="s">
        <v>1076</v>
      </c>
      <c r="C307" s="53">
        <v>21.7</v>
      </c>
      <c r="D307" s="53">
        <v>21.9</v>
      </c>
      <c r="E307" s="53">
        <v>21.9</v>
      </c>
      <c r="F307" s="53">
        <v>22.3</v>
      </c>
      <c r="G307" s="53">
        <v>22.5</v>
      </c>
      <c r="H307" s="1"/>
      <c r="I307" s="1"/>
      <c r="J307" s="1"/>
      <c r="K307" s="1"/>
      <c r="L307" s="1"/>
      <c r="M307" s="4" t="s">
        <v>998</v>
      </c>
    </row>
    <row r="308" ht="15" customHeight="1">
      <c r="A308" s="1"/>
      <c r="B308" s="1" t="s">
        <v>1077</v>
      </c>
      <c r="C308" s="55">
        <v>5829</v>
      </c>
      <c r="D308" s="55">
        <v>6003</v>
      </c>
      <c r="E308" s="55">
        <v>22965</v>
      </c>
      <c r="F308" s="55">
        <v>5619</v>
      </c>
      <c r="G308" s="55">
        <v>6197</v>
      </c>
      <c r="H308" s="1"/>
      <c r="I308" s="1"/>
      <c r="J308" s="1"/>
      <c r="K308" s="1"/>
      <c r="L308" s="1"/>
      <c r="M308" s="4" t="s">
        <v>998</v>
      </c>
    </row>
    <row r="309" ht="15" customHeight="1">
      <c r="A309" s="1"/>
      <c r="B309" s="1" t="s">
        <v>1078</v>
      </c>
      <c r="C309" s="53">
        <v>37460</v>
      </c>
      <c r="D309" s="53">
        <v>37442</v>
      </c>
      <c r="E309" s="53">
        <v>37442</v>
      </c>
      <c r="F309" s="53">
        <v>37398</v>
      </c>
      <c r="G309" s="53">
        <v>40991</v>
      </c>
      <c r="H309" s="1"/>
      <c r="I309" s="1"/>
      <c r="J309" s="1"/>
      <c r="K309" s="1"/>
      <c r="L309" s="1"/>
      <c r="M309" s="4" t="s">
        <v>998</v>
      </c>
    </row>
    <row r="310" ht="15" customHeight="1">
      <c r="A310" s="1"/>
      <c r="B310" s="1" t="s">
        <v>1079</v>
      </c>
      <c r="C310" s="81">
        <v>0.018</v>
      </c>
      <c r="D310" s="81">
        <v>0.017</v>
      </c>
      <c r="E310" s="81">
        <v>0.019</v>
      </c>
      <c r="F310" s="81">
        <v>0.018</v>
      </c>
      <c r="G310" s="81">
        <v>0.02</v>
      </c>
      <c r="H310" s="1"/>
      <c r="I310" s="1"/>
      <c r="J310" s="1"/>
      <c r="K310" s="1"/>
      <c r="L310" s="1"/>
      <c r="M310" s="4" t="s">
        <v>998</v>
      </c>
    </row>
    <row r="311" ht="15" customHeight="1">
      <c r="A311" s="1"/>
      <c r="B311" s="1" t="s">
        <v>1080</v>
      </c>
      <c r="C311" s="81">
        <v>0.01</v>
      </c>
      <c r="D311" s="81">
        <v>0.01</v>
      </c>
      <c r="E311" s="81">
        <v>0.01</v>
      </c>
      <c r="F311" s="81">
        <v>0.011</v>
      </c>
      <c r="G311" s="81">
        <v>0.011</v>
      </c>
      <c r="H311" s="1"/>
      <c r="I311" s="1"/>
      <c r="J311" s="1"/>
      <c r="K311" s="1"/>
      <c r="L311" s="1"/>
      <c r="M311" s="4" t="s">
        <v>998</v>
      </c>
    </row>
    <row r="312" ht="15" customHeight="1">
      <c r="A312" s="1"/>
      <c r="B312" s="1" t="s">
        <v>1081</v>
      </c>
      <c r="C312" s="53">
        <v>16.2</v>
      </c>
      <c r="D312" s="53">
        <v>16.4</v>
      </c>
      <c r="E312" s="53">
        <v>16.4</v>
      </c>
      <c r="F312" s="53">
        <v>16.7</v>
      </c>
      <c r="G312" s="53">
        <v>16.9</v>
      </c>
      <c r="H312" s="1"/>
      <c r="I312" s="1"/>
      <c r="J312" s="1"/>
      <c r="K312" s="1"/>
      <c r="L312" s="1"/>
      <c r="M312" s="4" t="s">
        <v>998</v>
      </c>
    </row>
    <row r="313" ht="15" customHeight="1">
      <c r="A313" s="1"/>
      <c r="B313" s="1" t="s">
        <v>1082</v>
      </c>
      <c r="C313" s="19" t="s">
        <v>35</v>
      </c>
      <c r="D313" s="53">
        <v>37233</v>
      </c>
      <c r="E313" s="53">
        <v>35681</v>
      </c>
      <c r="F313" s="53">
        <v>36487</v>
      </c>
      <c r="G313" s="53">
        <v>39573</v>
      </c>
      <c r="H313" s="1"/>
      <c r="I313" s="1"/>
      <c r="J313" s="1"/>
      <c r="K313" s="1"/>
      <c r="L313" s="1"/>
      <c r="M313" s="4" t="s">
        <v>1035</v>
      </c>
    </row>
    <row r="314" ht="15" customHeight="1">
      <c r="A314" s="1"/>
      <c r="B314" s="1" t="s">
        <v>1083</v>
      </c>
      <c r="C314" s="16">
        <f>Inputs!C300-Inputs!C301</f>
        <v>277</v>
      </c>
      <c r="D314" s="16">
        <f>Inputs!D300-Inputs!D301</f>
        <v>265</v>
      </c>
      <c r="E314" s="16">
        <f>Inputs!E300-Inputs!E301</f>
        <v>1092</v>
      </c>
      <c r="F314" s="16">
        <f>Inputs!F300-Inputs!F301</f>
        <v>290</v>
      </c>
      <c r="G314" s="16">
        <f>Inputs!G300-Inputs!G301</f>
        <v>285</v>
      </c>
      <c r="H314" s="1"/>
      <c r="I314" s="1"/>
      <c r="J314" s="1"/>
      <c r="K314" s="1"/>
      <c r="L314" s="1"/>
      <c r="M314" s="1"/>
    </row>
    <row r="315" ht="15" customHeight="1">
      <c r="A315" s="1"/>
      <c r="B315" s="1" t="s">
        <v>1084</v>
      </c>
      <c r="C315" s="16">
        <f>Inputs!C299+Inputs!C314</f>
        <v>2936</v>
      </c>
      <c r="D315" s="16">
        <f>Inputs!D299+Inputs!D314</f>
        <v>2990</v>
      </c>
      <c r="E315" s="16">
        <f>Inputs!E299+Inputs!E314</f>
        <v>11461</v>
      </c>
      <c r="F315" s="16">
        <f>Inputs!F299+Inputs!F314</f>
        <v>2936</v>
      </c>
      <c r="G315" s="16">
        <f>Inputs!G299+Inputs!G314</f>
        <v>3232</v>
      </c>
      <c r="H315" s="1"/>
      <c r="I315" s="1"/>
      <c r="J315" s="1"/>
      <c r="K315" s="1"/>
      <c r="L315" s="1"/>
      <c r="M315" s="1"/>
    </row>
    <row r="316" ht="15" customHeight="1">
      <c r="A316" s="1"/>
      <c r="B316" s="1" t="s">
        <v>1085</v>
      </c>
      <c r="C316" s="16">
        <f>Inputs!C303+Inputs!C304+Inputs!C305</f>
        <v>2323</v>
      </c>
      <c r="D316" s="16">
        <f>Inputs!D303+Inputs!D304+Inputs!D305</f>
        <v>2762</v>
      </c>
      <c r="E316" s="16">
        <f>Inputs!E303+Inputs!E304+Inputs!E305</f>
        <v>9704</v>
      </c>
      <c r="F316" s="16">
        <f>Inputs!F303+Inputs!F304+Inputs!F305</f>
        <v>2363</v>
      </c>
      <c r="G316" s="16">
        <f>Inputs!G303+Inputs!G304+Inputs!G305</f>
        <v>2557</v>
      </c>
      <c r="H316" s="1"/>
      <c r="I316" s="1"/>
      <c r="J316" s="1"/>
      <c r="K316" s="1"/>
      <c r="L316" s="1"/>
      <c r="M316" s="1"/>
    </row>
    <row r="317" ht="15" customHeight="1">
      <c r="A317" s="1"/>
      <c r="B317" s="1" t="s">
        <v>1086</v>
      </c>
      <c r="C317" s="16">
        <f>Inputs!C315-Inputs!C302-Inputs!C316</f>
        <v>455</v>
      </c>
      <c r="D317" s="16">
        <f>Inputs!D315-Inputs!D302-Inputs!D316</f>
        <v>34</v>
      </c>
      <c r="E317" s="16">
        <f>Inputs!E315-Inputs!E302-Inputs!E316</f>
        <v>1031</v>
      </c>
      <c r="F317" s="16">
        <f>Inputs!F315-Inputs!F302-Inputs!F316</f>
        <v>381</v>
      </c>
      <c r="G317" s="16">
        <f>Inputs!G315-Inputs!G302-Inputs!G316</f>
        <v>465</v>
      </c>
      <c r="H317" s="1"/>
      <c r="I317" s="1"/>
      <c r="J317" s="1"/>
      <c r="K317" s="1"/>
      <c r="L317" s="1"/>
      <c r="M317" s="1"/>
    </row>
    <row r="318" ht="15" customHeight="1">
      <c r="A318" s="1"/>
      <c r="B318" s="1" t="s">
        <v>1087</v>
      </c>
      <c r="C318" s="82">
        <f>Inputs!C317/Inputs!C315</f>
        <v>0.15497275204359673</v>
      </c>
      <c r="D318" s="82">
        <f>Inputs!D317/Inputs!D315</f>
        <v>0.01137123745819398</v>
      </c>
      <c r="E318" s="82">
        <f>Inputs!E317/Inputs!E315</f>
        <v>0.0899572463135852</v>
      </c>
      <c r="F318" s="82">
        <f>Inputs!F317/Inputs!F315</f>
        <v>0.1297683923705722</v>
      </c>
      <c r="G318" s="82">
        <f>Inputs!G317/Inputs!G315</f>
        <v>0.1438737623762376</v>
      </c>
      <c r="H318" s="1"/>
      <c r="I318" s="1"/>
      <c r="J318" s="1"/>
      <c r="K318" s="1"/>
      <c r="L318" s="1"/>
      <c r="M318" s="1"/>
    </row>
    <row r="319" ht="15" customHeight="1">
      <c r="A319" s="1"/>
      <c r="B319" s="1" t="s">
        <v>1088</v>
      </c>
      <c r="C319" s="16">
        <f>Inputs!C299/Inputs!C306*10</f>
        <v>284.0811965811966</v>
      </c>
      <c r="D319" s="16">
        <f>Inputs!D299/Inputs!D306*10</f>
        <v>278.9150460593654</v>
      </c>
      <c r="E319" s="16">
        <f>Inputs!E299/Inputs!E306*10</f>
        <v>282.6110656854729</v>
      </c>
      <c r="F319" s="16">
        <f>Inputs!F299/Inputs!F306*10</f>
        <v>284.82238966630786</v>
      </c>
      <c r="G319" s="16">
        <f>Inputs!G299/Inputs!G306*10</f>
        <v>283.6381135707411</v>
      </c>
      <c r="H319" s="1"/>
      <c r="I319" s="1"/>
      <c r="J319" s="1"/>
      <c r="K319" s="1"/>
      <c r="L319" s="1"/>
      <c r="M319" s="1"/>
    </row>
    <row r="320" ht="15" customHeight="1">
      <c r="A320" s="1"/>
      <c r="B320" s="1" t="s">
        <v>1089</v>
      </c>
      <c r="C320" s="16">
        <f>Inputs!C303/Inputs!C306*10</f>
        <v>138.46153846153845</v>
      </c>
      <c r="D320" s="16">
        <f>Inputs!D303/Inputs!D306*10</f>
        <v>147.59467758444217</v>
      </c>
      <c r="E320" s="16">
        <f>Inputs!E303/Inputs!E306*10</f>
        <v>142.89997274461706</v>
      </c>
      <c r="F320" s="16">
        <f>Inputs!F303/Inputs!F306*10</f>
        <v>141.22712594187297</v>
      </c>
      <c r="G320" s="16">
        <f>Inputs!G303/Inputs!G306*10</f>
        <v>139.7497593840231</v>
      </c>
      <c r="H320" s="1"/>
      <c r="I320" s="1"/>
      <c r="J320" s="1"/>
      <c r="K320" s="1"/>
      <c r="L320" s="1"/>
      <c r="M320" s="1"/>
    </row>
    <row r="321" ht="15" customHeight="1">
      <c r="A321" s="1"/>
      <c r="B321" s="1" t="s">
        <v>1090</v>
      </c>
      <c r="C321" s="19" t="s">
        <v>35</v>
      </c>
      <c r="D321" s="82">
        <f>Inputs!D314/Inputs!D313*365/Inputs!D205</f>
        <v>0.028237281327106973</v>
      </c>
      <c r="E321" s="82">
        <f>Inputs!E314/Inputs!E313*365/Inputs!E205</f>
        <v>0.03052090449938687</v>
      </c>
      <c r="F321" s="82">
        <f>Inputs!F314/Inputs!F313*365/Inputs!F205</f>
        <v>0.032233702719081075</v>
      </c>
      <c r="G321" s="82">
        <f>Inputs!G314/Inputs!G313*365/Inputs!G205</f>
        <v>0.028886661818206052</v>
      </c>
      <c r="H321" s="1"/>
      <c r="I321" s="1"/>
      <c r="J321" s="1"/>
      <c r="K321" s="1"/>
      <c r="L321" s="1"/>
      <c r="M321" s="1"/>
    </row>
    <row r="322" ht="15" customHeight="1">
      <c r="A322" s="1"/>
      <c r="B322" s="1" t="s">
        <v>1091</v>
      </c>
      <c r="C322" s="19" t="s">
        <v>35</v>
      </c>
      <c r="D322" s="82">
        <f>Inputs!D302/Inputs!D313*365/Inputs!D205</f>
        <v>0.02067182104701416</v>
      </c>
      <c r="E322" s="82">
        <f>Inputs!E302/Inputs!E313*365/Inputs!E205</f>
        <v>0.020291370573768196</v>
      </c>
      <c r="F322" s="82">
        <f>Inputs!F302/Inputs!F313*365/Inputs!F205</f>
        <v>0.0213409342140123</v>
      </c>
      <c r="G322" s="82">
        <f>Inputs!G302/Inputs!G313*365/Inputs!G205</f>
        <v>0.021284908708151827</v>
      </c>
      <c r="H322" s="1"/>
      <c r="I322" s="1"/>
      <c r="J322" s="1"/>
      <c r="K322" s="1"/>
      <c r="L322" s="1"/>
      <c r="M322" s="1"/>
    </row>
    <row r="323" ht="15" customHeight="1">
      <c r="A323" s="1"/>
      <c r="B323" s="1" t="s">
        <v>1092</v>
      </c>
      <c r="C323" s="53">
        <v>1667</v>
      </c>
      <c r="D323" s="53">
        <v>1723</v>
      </c>
      <c r="E323" s="53">
        <v>6729</v>
      </c>
      <c r="F323" s="53">
        <v>1660</v>
      </c>
      <c r="G323" s="53">
        <v>1758</v>
      </c>
      <c r="H323" s="1"/>
      <c r="I323" s="1"/>
      <c r="J323" s="1"/>
      <c r="K323" s="1"/>
      <c r="L323" s="1"/>
      <c r="M323" s="4" t="s">
        <v>998</v>
      </c>
    </row>
    <row r="324" ht="15" customHeight="1">
      <c r="A324" s="1"/>
      <c r="B324" s="1" t="s">
        <v>1093</v>
      </c>
      <c r="C324" s="53">
        <v>11</v>
      </c>
      <c r="D324" s="53">
        <v>11</v>
      </c>
      <c r="E324" s="53">
        <v>52</v>
      </c>
      <c r="F324" s="53">
        <v>12</v>
      </c>
      <c r="G324" s="53">
        <v>10</v>
      </c>
      <c r="H324" s="1"/>
      <c r="I324" s="1"/>
      <c r="J324" s="1"/>
      <c r="K324" s="1"/>
      <c r="L324" s="1"/>
      <c r="M324" s="4" t="s">
        <v>998</v>
      </c>
    </row>
    <row r="325" ht="15" customHeight="1">
      <c r="A325" s="1"/>
      <c r="B325" s="1" t="s">
        <v>1094</v>
      </c>
      <c r="C325" s="53">
        <v>-169</v>
      </c>
      <c r="D325" s="53">
        <v>-160</v>
      </c>
      <c r="E325" s="53">
        <v>-703</v>
      </c>
      <c r="F325" s="53">
        <v>-143</v>
      </c>
      <c r="G325" s="53">
        <v>-165</v>
      </c>
      <c r="H325" s="1"/>
      <c r="I325" s="1"/>
      <c r="J325" s="1"/>
      <c r="K325" s="1"/>
      <c r="L325" s="1"/>
      <c r="M325" s="4" t="s">
        <v>998</v>
      </c>
    </row>
    <row r="326" ht="15" customHeight="1">
      <c r="A326" s="1"/>
      <c r="B326" s="1" t="s">
        <v>1095</v>
      </c>
      <c r="C326" s="53">
        <v>10</v>
      </c>
      <c r="D326" s="53">
        <v>6</v>
      </c>
      <c r="E326" s="53">
        <v>42</v>
      </c>
      <c r="F326" s="53">
        <v>-2</v>
      </c>
      <c r="G326" s="53">
        <v>5</v>
      </c>
      <c r="H326" s="1"/>
      <c r="I326" s="1"/>
      <c r="J326" s="1"/>
      <c r="K326" s="1"/>
      <c r="L326" s="1"/>
      <c r="M326" s="4" t="s">
        <v>998</v>
      </c>
    </row>
    <row r="327" ht="15" customHeight="1">
      <c r="A327" s="1"/>
      <c r="B327" s="1" t="s">
        <v>1096</v>
      </c>
      <c r="C327" s="53">
        <v>269</v>
      </c>
      <c r="D327" s="53">
        <v>322</v>
      </c>
      <c r="E327" s="53">
        <v>1148</v>
      </c>
      <c r="F327" s="53">
        <v>283</v>
      </c>
      <c r="G327" s="53">
        <v>288</v>
      </c>
      <c r="H327" s="1"/>
      <c r="I327" s="1"/>
      <c r="J327" s="1"/>
      <c r="K327" s="1"/>
      <c r="L327" s="1"/>
      <c r="M327" s="4" t="s">
        <v>998</v>
      </c>
    </row>
    <row r="328" ht="15" customHeight="1">
      <c r="A328" s="1"/>
      <c r="B328" s="1" t="s">
        <v>1097</v>
      </c>
      <c r="C328" s="53">
        <v>112</v>
      </c>
      <c r="D328" s="53">
        <v>130</v>
      </c>
      <c r="E328" s="53">
        <v>411</v>
      </c>
      <c r="F328" s="53">
        <v>76</v>
      </c>
      <c r="G328" s="53">
        <v>96</v>
      </c>
      <c r="H328" s="1"/>
      <c r="I328" s="1"/>
      <c r="J328" s="1"/>
      <c r="K328" s="1"/>
      <c r="L328" s="1"/>
      <c r="M328" s="4" t="s">
        <v>998</v>
      </c>
    </row>
    <row r="329" ht="15" customHeight="1">
      <c r="A329" s="1"/>
      <c r="B329" s="1" t="s">
        <v>1098</v>
      </c>
      <c r="C329" s="53">
        <v>465</v>
      </c>
      <c r="D329" s="53">
        <v>583</v>
      </c>
      <c r="E329" s="53">
        <v>1485</v>
      </c>
      <c r="F329" s="53">
        <v>468</v>
      </c>
      <c r="G329" s="53">
        <v>490</v>
      </c>
      <c r="H329" s="1"/>
      <c r="I329" s="1"/>
      <c r="J329" s="1"/>
      <c r="K329" s="1"/>
      <c r="L329" s="1"/>
      <c r="M329" s="4" t="s">
        <v>998</v>
      </c>
    </row>
    <row r="330" ht="15" customHeight="1">
      <c r="A330" s="1"/>
      <c r="B330" s="1" t="s">
        <v>1099</v>
      </c>
      <c r="C330" s="16">
        <f>Inputs!C324-Inputs!C325</f>
        <v>180</v>
      </c>
      <c r="D330" s="16">
        <f>Inputs!D324-Inputs!D325</f>
        <v>171</v>
      </c>
      <c r="E330" s="16">
        <f>Inputs!E324-Inputs!E325</f>
        <v>755</v>
      </c>
      <c r="F330" s="16">
        <f>Inputs!F324-Inputs!F325</f>
        <v>155</v>
      </c>
      <c r="G330" s="16">
        <f>Inputs!G324-Inputs!G325</f>
        <v>175</v>
      </c>
      <c r="H330" s="1"/>
      <c r="I330" s="1"/>
      <c r="J330" s="1"/>
      <c r="K330" s="1"/>
      <c r="L330" s="1"/>
      <c r="M330" s="1"/>
    </row>
    <row r="331" ht="15" customHeight="1">
      <c r="A331" s="1"/>
      <c r="B331" s="1" t="s">
        <v>1100</v>
      </c>
      <c r="C331" s="16">
        <f>Inputs!C323+Inputs!C330</f>
        <v>1847</v>
      </c>
      <c r="D331" s="16">
        <f>Inputs!D323+Inputs!D330</f>
        <v>1894</v>
      </c>
      <c r="E331" s="16">
        <f>Inputs!E323+Inputs!E330</f>
        <v>7484</v>
      </c>
      <c r="F331" s="16">
        <f>Inputs!F323+Inputs!F330</f>
        <v>1815</v>
      </c>
      <c r="G331" s="16">
        <f>Inputs!G323+Inputs!G330</f>
        <v>1933</v>
      </c>
      <c r="H331" s="1"/>
      <c r="I331" s="1"/>
      <c r="J331" s="1"/>
      <c r="K331" s="1"/>
      <c r="L331" s="1"/>
      <c r="M331" s="1"/>
    </row>
    <row r="332" ht="15" customHeight="1">
      <c r="A332" s="1"/>
      <c r="B332" s="1" t="s">
        <v>1101</v>
      </c>
      <c r="C332" s="16">
        <f>Inputs!C327+Inputs!C328+Inputs!C329</f>
        <v>846</v>
      </c>
      <c r="D332" s="16">
        <f>Inputs!D327+Inputs!D328+Inputs!D329</f>
        <v>1035</v>
      </c>
      <c r="E332" s="16">
        <f>Inputs!E327+Inputs!E328+Inputs!E329</f>
        <v>3044</v>
      </c>
      <c r="F332" s="16">
        <f>Inputs!F327+Inputs!F328+Inputs!F329</f>
        <v>827</v>
      </c>
      <c r="G332" s="16">
        <f>Inputs!G327+Inputs!G328+Inputs!G329</f>
        <v>874</v>
      </c>
      <c r="H332" s="1"/>
      <c r="I332" s="1"/>
      <c r="J332" s="1"/>
      <c r="K332" s="1"/>
      <c r="L332" s="1"/>
      <c r="M332" s="1"/>
    </row>
    <row r="333" ht="15" customHeight="1">
      <c r="A333" s="1"/>
      <c r="B333" s="1" t="s">
        <v>1102</v>
      </c>
      <c r="C333" s="16">
        <f>Inputs!C331-Inputs!C326-Inputs!C332</f>
        <v>991</v>
      </c>
      <c r="D333" s="16">
        <f>Inputs!D331-Inputs!D326-Inputs!D332</f>
        <v>853</v>
      </c>
      <c r="E333" s="16">
        <f>Inputs!E331-Inputs!E326-Inputs!E332</f>
        <v>4398</v>
      </c>
      <c r="F333" s="16">
        <f>Inputs!F331-Inputs!F326-Inputs!F332</f>
        <v>990</v>
      </c>
      <c r="G333" s="16">
        <f>Inputs!G331-Inputs!G326-Inputs!G332</f>
        <v>1054</v>
      </c>
      <c r="H333" s="1"/>
      <c r="I333" s="1"/>
      <c r="J333" s="1"/>
      <c r="K333" s="1"/>
      <c r="L333" s="1"/>
      <c r="M333" s="1"/>
    </row>
    <row r="334" ht="15" customHeight="1">
      <c r="A334" s="1"/>
      <c r="B334" s="1" t="s">
        <v>1103</v>
      </c>
      <c r="C334" s="82">
        <f>Inputs!C333/Inputs!C331</f>
        <v>0.5365457498646453</v>
      </c>
      <c r="D334" s="82">
        <f>Inputs!D333/Inputs!D331</f>
        <v>0.45036958817317846</v>
      </c>
      <c r="E334" s="82">
        <f>Inputs!E333/Inputs!E331</f>
        <v>0.5876536611437734</v>
      </c>
      <c r="F334" s="82">
        <f>Inputs!F333/Inputs!F331</f>
        <v>0.5454545454545454</v>
      </c>
      <c r="G334" s="82">
        <f>Inputs!G333/Inputs!G331</f>
        <v>0.545266425245732</v>
      </c>
      <c r="H334" s="1"/>
      <c r="I334" s="1"/>
      <c r="J334" s="1"/>
      <c r="K334" s="1"/>
      <c r="L334" s="1"/>
      <c r="M334" s="1"/>
    </row>
    <row r="335" ht="15" customHeight="1">
      <c r="A335" s="1"/>
      <c r="B335" s="1" t="s">
        <v>1104</v>
      </c>
      <c r="C335" s="16">
        <f>Inputs!C323/Inputs!C231*10</f>
        <v>37.800453514739225</v>
      </c>
      <c r="D335" s="16">
        <f>Inputs!D323/Inputs!D231*10</f>
        <v>37.133620689655174</v>
      </c>
      <c r="E335" s="16">
        <f>Inputs!E323/Inputs!E231*10</f>
        <v>38.128966455122395</v>
      </c>
      <c r="F335" s="16">
        <f>Inputs!F323/Inputs!F231*10</f>
        <v>37.76160145586897</v>
      </c>
      <c r="G335" s="16">
        <f>Inputs!G323/Inputs!G231*10</f>
        <v>37.24576271186441</v>
      </c>
      <c r="H335" s="1"/>
      <c r="I335" s="1"/>
      <c r="J335" s="1"/>
      <c r="K335" s="1"/>
      <c r="L335" s="1"/>
      <c r="M335" s="1"/>
    </row>
    <row r="336" ht="15" customHeight="1">
      <c r="A336" s="1"/>
      <c r="B336" s="1" t="s">
        <v>1105</v>
      </c>
      <c r="C336" s="16">
        <f>Inputs!C327/Inputs!C231*10</f>
        <v>6.099773242630385</v>
      </c>
      <c r="D336" s="16">
        <f>Inputs!D327/Inputs!D231*10</f>
        <v>6.939655172413794</v>
      </c>
      <c r="E336" s="16">
        <f>Inputs!E327/Inputs!E231*10</f>
        <v>6.504986400725294</v>
      </c>
      <c r="F336" s="16">
        <f>Inputs!F327/Inputs!F231*10</f>
        <v>6.4376706096451315</v>
      </c>
      <c r="G336" s="16">
        <f>Inputs!G327/Inputs!G231*10</f>
        <v>6.101694915254238</v>
      </c>
      <c r="H336" s="1"/>
      <c r="I336" s="1"/>
      <c r="J336" s="1"/>
      <c r="K336" s="1"/>
      <c r="L336" s="1"/>
      <c r="M336" s="1"/>
    </row>
    <row r="337" ht="15" customHeight="1">
      <c r="A337" s="1"/>
      <c r="B337" s="1" t="s">
        <v>1106</v>
      </c>
      <c r="C337" s="82">
        <f>Inputs!C259/Inputs!C230</f>
        <v>0.41905499612703334</v>
      </c>
      <c r="D337" s="82">
        <f>Inputs!D259/Inputs!D230</f>
        <v>0.426052889324192</v>
      </c>
      <c r="E337" s="82">
        <f>Inputs!E259/Inputs!E230</f>
        <v>0.4222064607647172</v>
      </c>
      <c r="F337" s="82">
        <f>Inputs!F259/Inputs!F230</f>
        <v>0.4241094475993805</v>
      </c>
      <c r="G337" s="82">
        <f>Inputs!G259/Inputs!G230</f>
        <v>0.42397309632476576</v>
      </c>
      <c r="H337" s="1"/>
      <c r="I337" s="1"/>
      <c r="J337" s="1"/>
      <c r="K337" s="1"/>
      <c r="L337" s="1"/>
      <c r="M337" s="1"/>
    </row>
    <row r="338" ht="15" customHeight="1">
      <c r="A338" s="1"/>
      <c r="B338" s="1" t="s">
        <v>1107</v>
      </c>
      <c r="C338" s="82">
        <f>Inputs!C283/Inputs!C230</f>
        <v>0.3382390911438162</v>
      </c>
      <c r="D338" s="82">
        <f>Inputs!D283/Inputs!D230</f>
        <v>0.3330068560235064</v>
      </c>
      <c r="E338" s="82">
        <f>Inputs!E283/Inputs!E230</f>
        <v>0.3394803017602682</v>
      </c>
      <c r="F338" s="82">
        <f>Inputs!F283/Inputs!F230</f>
        <v>0.3335054207537429</v>
      </c>
      <c r="G338" s="82">
        <f>Inputs!G283/Inputs!G230</f>
        <v>0.32548642805668987</v>
      </c>
      <c r="H338" s="1"/>
      <c r="I338" s="1"/>
      <c r="J338" s="1"/>
      <c r="K338" s="1"/>
      <c r="L338" s="1"/>
      <c r="M338" s="1"/>
    </row>
    <row r="339" ht="15" customHeight="1">
      <c r="A339" s="1"/>
      <c r="B339" s="1" t="s">
        <v>1108</v>
      </c>
      <c r="C339" s="82">
        <f>Inputs!C306/Inputs!C230</f>
        <v>0.24167312161115412</v>
      </c>
      <c r="D339" s="82">
        <f>Inputs!D306/Inputs!D230</f>
        <v>0.2392262487757101</v>
      </c>
      <c r="E339" s="82">
        <f>Inputs!E306/Inputs!E230</f>
        <v>0.23657231285060284</v>
      </c>
      <c r="F339" s="82">
        <f>Inputs!F306/Inputs!F230</f>
        <v>0.2398038203407331</v>
      </c>
      <c r="G339" s="82">
        <f>Inputs!G306/Inputs!G230</f>
        <v>0.24957963007446554</v>
      </c>
      <c r="H339" s="1"/>
      <c r="I339" s="1"/>
      <c r="J339" s="1"/>
      <c r="K339" s="1"/>
      <c r="L339" s="1"/>
      <c r="M339" s="1"/>
    </row>
    <row r="340" ht="15" customHeight="1">
      <c r="A340" s="1"/>
      <c r="B340" s="1" t="s">
        <v>1109</v>
      </c>
      <c r="C340" s="53">
        <v>63.7</v>
      </c>
      <c r="D340" s="53">
        <v>64.3</v>
      </c>
      <c r="E340" s="53">
        <v>64.3</v>
      </c>
      <c r="F340" s="53">
        <v>65.1</v>
      </c>
      <c r="G340" s="53">
        <v>65.6</v>
      </c>
      <c r="H340" s="1"/>
      <c r="I340" s="1"/>
      <c r="J340" s="1"/>
      <c r="K340" s="1"/>
      <c r="L340" s="1"/>
      <c r="M340" s="4" t="s">
        <v>1110</v>
      </c>
    </row>
    <row r="341" ht="15" customHeight="1">
      <c r="A341" s="1"/>
      <c r="B341" s="1" t="s">
        <v>1111</v>
      </c>
      <c r="C341" s="53">
        <v>145.5</v>
      </c>
      <c r="D341" s="53">
        <v>146.5</v>
      </c>
      <c r="E341" s="53">
        <v>146.5</v>
      </c>
      <c r="F341" s="53">
        <v>147.5</v>
      </c>
      <c r="G341" s="53">
        <v>149.4</v>
      </c>
      <c r="H341" s="1"/>
      <c r="I341" s="1"/>
      <c r="J341" s="1"/>
      <c r="K341" s="1"/>
      <c r="L341" s="1"/>
      <c r="M341" s="4" t="s">
        <v>1110</v>
      </c>
    </row>
    <row r="342" ht="15" customHeight="1">
      <c r="A342" s="1"/>
      <c r="B342" s="1" t="s">
        <v>1112</v>
      </c>
      <c r="C342" s="53">
        <v>122.4</v>
      </c>
      <c r="D342" s="53">
        <v>123.3</v>
      </c>
      <c r="E342" s="53">
        <v>123.3</v>
      </c>
      <c r="F342" s="53">
        <v>124.2</v>
      </c>
      <c r="G342" s="53">
        <v>126</v>
      </c>
      <c r="H342" s="1"/>
      <c r="I342" s="1"/>
      <c r="J342" s="1"/>
      <c r="K342" s="1"/>
      <c r="L342" s="1"/>
      <c r="M342" s="4" t="s">
        <v>1110</v>
      </c>
    </row>
    <row r="343" ht="15" customHeight="1">
      <c r="A343" s="1"/>
      <c r="B343" s="1" t="s">
        <v>1113</v>
      </c>
      <c r="C343" s="55">
        <v>6110</v>
      </c>
      <c r="D343" s="55">
        <v>6378</v>
      </c>
      <c r="E343" s="55">
        <v>24608</v>
      </c>
      <c r="F343" s="55">
        <v>5987</v>
      </c>
      <c r="G343" s="55">
        <v>6370</v>
      </c>
      <c r="H343" s="1"/>
      <c r="I343" s="1"/>
      <c r="J343" s="1"/>
      <c r="K343" s="1"/>
      <c r="L343" s="1"/>
      <c r="M343" s="4" t="s">
        <v>1110</v>
      </c>
    </row>
    <row r="344" ht="15" customHeight="1">
      <c r="A344" s="1"/>
      <c r="B344" s="1" t="s">
        <v>1114</v>
      </c>
      <c r="C344" s="53">
        <v>1268</v>
      </c>
      <c r="D344" s="53">
        <v>1240</v>
      </c>
      <c r="E344" s="53">
        <v>1240</v>
      </c>
      <c r="F344" s="53">
        <v>1110</v>
      </c>
      <c r="G344" s="53">
        <v>1258</v>
      </c>
      <c r="H344" s="1"/>
      <c r="I344" s="1"/>
      <c r="J344" s="1"/>
      <c r="K344" s="1"/>
      <c r="L344" s="1"/>
      <c r="M344" s="4" t="s">
        <v>1115</v>
      </c>
    </row>
    <row r="345" ht="15" customHeight="1">
      <c r="A345" s="1"/>
      <c r="B345" s="1" t="s">
        <v>1116</v>
      </c>
      <c r="C345" s="53">
        <v>53546</v>
      </c>
      <c r="D345" s="53">
        <v>49715</v>
      </c>
      <c r="E345" s="53">
        <v>49715</v>
      </c>
      <c r="F345" s="53">
        <v>51236</v>
      </c>
      <c r="G345" s="53">
        <v>58202</v>
      </c>
      <c r="H345" s="1"/>
      <c r="I345" s="1"/>
      <c r="J345" s="1"/>
      <c r="K345" s="1"/>
      <c r="L345" s="1"/>
      <c r="M345" s="4" t="s">
        <v>1115</v>
      </c>
    </row>
    <row r="346" ht="15" customHeight="1">
      <c r="A346" s="1"/>
      <c r="B346" s="1" t="s">
        <v>1117</v>
      </c>
      <c r="C346" s="53">
        <v>1457</v>
      </c>
      <c r="D346" s="53">
        <v>1374</v>
      </c>
      <c r="E346" s="53">
        <v>1374</v>
      </c>
      <c r="F346" s="53">
        <v>1559</v>
      </c>
      <c r="G346" s="53">
        <v>1493</v>
      </c>
      <c r="H346" s="1"/>
      <c r="I346" s="1"/>
      <c r="J346" s="1"/>
      <c r="K346" s="1"/>
      <c r="L346" s="1"/>
      <c r="M346" s="4" t="s">
        <v>1115</v>
      </c>
    </row>
    <row r="347" ht="15" customHeight="1">
      <c r="A347" s="1"/>
      <c r="B347" s="1" t="s">
        <v>329</v>
      </c>
      <c r="C347" s="53">
        <v>2049</v>
      </c>
      <c r="D347" s="53">
        <v>2102</v>
      </c>
      <c r="E347" s="53">
        <v>8198</v>
      </c>
      <c r="F347" s="53">
        <v>2120</v>
      </c>
      <c r="G347" s="53">
        <v>2152</v>
      </c>
      <c r="H347" s="1"/>
      <c r="I347" s="1"/>
      <c r="J347" s="1"/>
      <c r="K347" s="1"/>
      <c r="L347" s="1"/>
      <c r="M347" s="4" t="s">
        <v>1118</v>
      </c>
    </row>
    <row r="348" ht="15" customHeight="1">
      <c r="A348" s="1"/>
      <c r="B348" s="1" t="s">
        <v>331</v>
      </c>
      <c r="C348" s="53">
        <v>579</v>
      </c>
      <c r="D348" s="53">
        <v>698</v>
      </c>
      <c r="E348" s="53">
        <v>2274</v>
      </c>
      <c r="F348" s="53">
        <v>541</v>
      </c>
      <c r="G348" s="53">
        <v>591</v>
      </c>
      <c r="H348" s="1"/>
      <c r="I348" s="1"/>
      <c r="J348" s="1"/>
      <c r="K348" s="1"/>
      <c r="L348" s="1"/>
      <c r="M348" s="4" t="s">
        <v>1118</v>
      </c>
    </row>
    <row r="349" ht="15" customHeight="1">
      <c r="A349" s="1"/>
      <c r="B349" s="1" t="s">
        <v>333</v>
      </c>
      <c r="C349" s="53">
        <v>725</v>
      </c>
      <c r="D349" s="53">
        <v>805</v>
      </c>
      <c r="E349" s="53">
        <v>2888</v>
      </c>
      <c r="F349" s="53">
        <v>705</v>
      </c>
      <c r="G349" s="53">
        <v>720</v>
      </c>
      <c r="H349" s="1"/>
      <c r="I349" s="1"/>
      <c r="J349" s="1"/>
      <c r="K349" s="1"/>
      <c r="L349" s="1"/>
      <c r="M349" s="4" t="s">
        <v>1118</v>
      </c>
    </row>
    <row r="350" ht="15" customHeight="1">
      <c r="A350" s="1"/>
      <c r="B350" s="1" t="s">
        <v>1119</v>
      </c>
      <c r="C350" s="53">
        <v>476</v>
      </c>
      <c r="D350" s="53">
        <v>567</v>
      </c>
      <c r="E350" s="53">
        <v>1202</v>
      </c>
      <c r="F350" s="53">
        <v>400</v>
      </c>
      <c r="G350" s="53">
        <v>375</v>
      </c>
      <c r="H350" s="1"/>
      <c r="I350" s="1"/>
      <c r="J350" s="1"/>
      <c r="K350" s="1"/>
      <c r="L350" s="1"/>
      <c r="M350" s="4" t="s">
        <v>1118</v>
      </c>
    </row>
    <row r="351" ht="1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ht="15" customHeight="1">
      <c r="A352" s="1"/>
      <c r="B352" s="30" t="s">
        <v>1120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ht="15" customHeight="1">
      <c r="B353" s="1" t="s">
        <v>1121</v>
      </c>
      <c r="C353" s="71">
        <v>8.81</v>
      </c>
      <c r="D353" s="1"/>
      <c r="E353" s="1"/>
      <c r="F353" s="1"/>
      <c r="G353" s="1"/>
      <c r="H353" s="1"/>
      <c r="I353" s="1"/>
      <c r="J353" s="1"/>
      <c r="K353" s="1"/>
      <c r="L353" s="1"/>
      <c r="M353" s="4" t="s">
        <v>1122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2026-10-20T00:10:54Z</dcterms:created>
</cp:coreProperties>
</file>